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归档\2018-1-0378西安融创项目\P02\"/>
    </mc:Choice>
  </mc:AlternateContent>
  <bookViews>
    <workbookView xWindow="480" yWindow="216" windowWidth="12120" windowHeight="7620" tabRatio="812" firstSheet="12" activeTab="13"/>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车库" sheetId="70" r:id="rId31"/>
    <sheet name="不动产收益法-商业" sheetId="15" r:id="rId32"/>
    <sheet name="酒店收入计算" sheetId="57" state="hidden" r:id="rId33"/>
    <sheet name="成本逼近法" sheetId="11" state="hidden" r:id="rId34"/>
    <sheet name="不动产比较法-洋房" sheetId="71" r:id="rId35"/>
    <sheet name="不动产比较法-高层"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5" hidden="1">'不动产比较法-高层'!$A$1:$L$49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'不动产比较法-洋房'!$A$1:$L$49</definedName>
    <definedName name="_xlnm._FilterDatabase" localSheetId="10" hidden="1">'数据-基础表'!$A$12:$AT$572</definedName>
    <definedName name="_xlnm._FilterDatabase" localSheetId="18" hidden="1">土地案例!$A$1:$WWZ$51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4">'不动产比较法-洋房'!$B$88:$M$88</definedName>
    <definedName name="住宅朝向">'不动产比较法-高层'!$B$88:$M$88</definedName>
    <definedName name="住宅房型" localSheetId="34">'不动产比较法-洋房'!$B$118:$M$118</definedName>
    <definedName name="住宅房型">'不动产比较法-高层'!$B$118:$M$118</definedName>
    <definedName name="住宅公共部分装修" localSheetId="34">'不动产比较法-洋房'!$B$109:$M$109</definedName>
    <definedName name="住宅公共部分装修">'不动产比较法-高层'!$B$109:$M$109</definedName>
    <definedName name="住宅基础设施水平" localSheetId="34">'不动产比较法-洋房'!$B$116:$M$116</definedName>
    <definedName name="住宅基础设施水平">'不动产比较法-高层'!$B$116:$M$116</definedName>
    <definedName name="住宅建筑结构" localSheetId="34">'不动产比较法-洋房'!$B$105:$M$105</definedName>
    <definedName name="住宅建筑结构">'不动产比较法-高层'!$B$105:$M$105</definedName>
    <definedName name="住宅建筑类型" localSheetId="34">'不动产比较法-洋房'!$B$100:$M$100</definedName>
    <definedName name="住宅建筑类型">'不动产比较法-高层'!$B$100:$M$100</definedName>
    <definedName name="住宅建筑品质" localSheetId="34">'不动产比较法-洋房'!$B$107:$M$107</definedName>
    <definedName name="住宅建筑品质">'不动产比较法-高层'!$B$107:$M$107</definedName>
    <definedName name="住宅交易情况" localSheetId="34">'不动产比较法-洋房'!$A$61:$M$61</definedName>
    <definedName name="住宅交易情况">'不动产比较法-高层'!$A$61:$M$61</definedName>
    <definedName name="住宅楼层" localSheetId="34">'不动产比较法-洋房'!$B$86:$M$86</definedName>
    <definedName name="住宅楼层">'不动产比较法-高层'!$B$86:$M$86</definedName>
    <definedName name="住宅内部装修" localSheetId="34">'不动产比较法-洋房'!$B$122:$M$122</definedName>
    <definedName name="住宅内部装修">'不动产比较法-高层'!$B$122:$M$122</definedName>
    <definedName name="住宅物业管理" localSheetId="34">'不动产比较法-洋房'!$B$114:$M$114</definedName>
    <definedName name="住宅物业管理">'不动产比较法-高层'!$B$114:$M$114</definedName>
    <definedName name="住宅用途" localSheetId="34">'不动产比较法-洋房'!$B$63:$M$63</definedName>
    <definedName name="住宅用途">'不动产比较法-高层'!$B$63:$M$63</definedName>
    <definedName name="住宅主力户型面积" localSheetId="34">'不动产比较法-洋房'!$B$120:$M$120</definedName>
    <definedName name="住宅主力户型面积">'不动产比较法-高层'!$B$120:$M$120</definedName>
    <definedName name="注册房地产估价师">估价师及机构信息!$A$3:$A$24</definedName>
  </definedNames>
  <calcPr calcId="162913"/>
</workbook>
</file>

<file path=xl/calcChain.xml><?xml version="1.0" encoding="utf-8"?>
<calcChain xmlns="http://schemas.openxmlformats.org/spreadsheetml/2006/main">
  <c r="I33" i="21" l="1"/>
  <c r="I11" i="21"/>
  <c r="I5" i="21"/>
  <c r="E103" i="21"/>
  <c r="F103" i="21"/>
  <c r="G103" i="21" s="1"/>
  <c r="H103" i="21" s="1"/>
  <c r="I103" i="21" s="1"/>
  <c r="J103" i="21" s="1"/>
  <c r="K103" i="21" s="1"/>
  <c r="L103" i="21" s="1"/>
  <c r="D103" i="21"/>
  <c r="I48" i="39"/>
  <c r="G48" i="39"/>
  <c r="E48" i="39"/>
  <c r="I40" i="39"/>
  <c r="G40" i="39"/>
  <c r="E40" i="39"/>
  <c r="I9" i="39"/>
  <c r="E9" i="39"/>
  <c r="G9" i="39"/>
  <c r="I7" i="39"/>
  <c r="G7" i="39"/>
  <c r="E7" i="39"/>
  <c r="C145" i="71" l="1"/>
  <c r="K139" i="71" s="1"/>
  <c r="J142" i="71"/>
  <c r="J140" i="71"/>
  <c r="B130" i="71"/>
  <c r="H46" i="71" s="1"/>
  <c r="B128" i="71"/>
  <c r="B126" i="71"/>
  <c r="J44" i="71" s="1"/>
  <c r="D125" i="71"/>
  <c r="E125" i="71" s="1"/>
  <c r="F125" i="71" s="1"/>
  <c r="G125" i="71" s="1"/>
  <c r="D123" i="71"/>
  <c r="E123" i="71" s="1"/>
  <c r="F123" i="71" s="1"/>
  <c r="H42"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E113" i="71"/>
  <c r="F113" i="71" s="1"/>
  <c r="G113" i="71" s="1"/>
  <c r="D113" i="71"/>
  <c r="H111" i="71"/>
  <c r="G111" i="71"/>
  <c r="F111" i="71"/>
  <c r="E111" i="71"/>
  <c r="D111" i="71"/>
  <c r="C111" i="71"/>
  <c r="E110" i="71"/>
  <c r="F110" i="71" s="1"/>
  <c r="G110" i="71" s="1"/>
  <c r="H110" i="71" s="1"/>
  <c r="I110" i="71" s="1"/>
  <c r="J110" i="71" s="1"/>
  <c r="K110" i="71" s="1"/>
  <c r="L110" i="71" s="1"/>
  <c r="M110" i="71" s="1"/>
  <c r="D110" i="71"/>
  <c r="E108" i="71"/>
  <c r="F108" i="71" s="1"/>
  <c r="G108" i="71" s="1"/>
  <c r="H108" i="71" s="1"/>
  <c r="I108" i="71" s="1"/>
  <c r="J108" i="71" s="1"/>
  <c r="K108" i="71" s="1"/>
  <c r="L108" i="71" s="1"/>
  <c r="M108" i="71" s="1"/>
  <c r="D108" i="71"/>
  <c r="E106" i="71"/>
  <c r="F106" i="71" s="1"/>
  <c r="G106" i="71" s="1"/>
  <c r="H106" i="71" s="1"/>
  <c r="I106" i="71" s="1"/>
  <c r="J106" i="71" s="1"/>
  <c r="K106" i="71" s="1"/>
  <c r="L106" i="71" s="1"/>
  <c r="M106" i="71" s="1"/>
  <c r="D106" i="71"/>
  <c r="M102" i="71"/>
  <c r="L102" i="71"/>
  <c r="K102" i="71"/>
  <c r="J102" i="71"/>
  <c r="I102" i="71"/>
  <c r="H102" i="71"/>
  <c r="G102" i="71"/>
  <c r="F102" i="71"/>
  <c r="E102" i="71"/>
  <c r="D102" i="71"/>
  <c r="C102" i="71"/>
  <c r="D101" i="71"/>
  <c r="B98" i="71"/>
  <c r="B96" i="71"/>
  <c r="H30" i="71" s="1"/>
  <c r="B94" i="71"/>
  <c r="B92" i="71"/>
  <c r="H28" i="71" s="1"/>
  <c r="B90" i="71"/>
  <c r="E89" i="71"/>
  <c r="F89" i="71" s="1"/>
  <c r="G89" i="71" s="1"/>
  <c r="H89" i="71" s="1"/>
  <c r="I89" i="71" s="1"/>
  <c r="J89" i="71" s="1"/>
  <c r="K89" i="71" s="1"/>
  <c r="L89" i="71" s="1"/>
  <c r="M89" i="71" s="1"/>
  <c r="D89" i="71"/>
  <c r="M87" i="71"/>
  <c r="L87" i="71"/>
  <c r="K87" i="71"/>
  <c r="J87" i="71"/>
  <c r="I87" i="71"/>
  <c r="H87" i="71"/>
  <c r="G87" i="71"/>
  <c r="F87" i="71"/>
  <c r="E87" i="71"/>
  <c r="D87" i="71"/>
  <c r="D85" i="71"/>
  <c r="E85" i="71" s="1"/>
  <c r="F85" i="71" s="1"/>
  <c r="G85" i="71" s="1"/>
  <c r="D83" i="71"/>
  <c r="E83" i="71" s="1"/>
  <c r="F83" i="71" s="1"/>
  <c r="G83" i="71" s="1"/>
  <c r="E81" i="71"/>
  <c r="F81" i="71" s="1"/>
  <c r="G81" i="71" s="1"/>
  <c r="D81" i="71"/>
  <c r="E79" i="71"/>
  <c r="D79" i="71"/>
  <c r="D77" i="71"/>
  <c r="E77" i="71" s="1"/>
  <c r="F77" i="71" s="1"/>
  <c r="G77" i="71" s="1"/>
  <c r="B74" i="71"/>
  <c r="B72" i="71"/>
  <c r="B70" i="71"/>
  <c r="D69" i="71"/>
  <c r="E69" i="71" s="1"/>
  <c r="F69" i="71" s="1"/>
  <c r="G69" i="71" s="1"/>
  <c r="H69" i="71" s="1"/>
  <c r="M67" i="71"/>
  <c r="L67" i="71"/>
  <c r="K67" i="71"/>
  <c r="J67" i="71"/>
  <c r="I67" i="71"/>
  <c r="H67" i="71"/>
  <c r="G67" i="71"/>
  <c r="F67" i="71"/>
  <c r="E67" i="71"/>
  <c r="D67" i="71"/>
  <c r="C67" i="71"/>
  <c r="E66" i="71"/>
  <c r="F66" i="71" s="1"/>
  <c r="G66" i="71" s="1"/>
  <c r="H66" i="71" s="1"/>
  <c r="I66" i="71" s="1"/>
  <c r="D66" i="71"/>
  <c r="C63" i="71"/>
  <c r="H9" i="71" s="1"/>
  <c r="J59" i="71"/>
  <c r="I54" i="71"/>
  <c r="J54" i="71" s="1"/>
  <c r="G54" i="71"/>
  <c r="H54" i="71" s="1"/>
  <c r="E54" i="71"/>
  <c r="F54" i="71" s="1"/>
  <c r="P49" i="71"/>
  <c r="P48" i="71"/>
  <c r="V47" i="71"/>
  <c r="T47" i="71"/>
  <c r="R47" i="71"/>
  <c r="P47" i="71"/>
  <c r="Q46" i="71"/>
  <c r="Z46" i="71" s="1"/>
  <c r="J46" i="71"/>
  <c r="Q45" i="71"/>
  <c r="Z45" i="71" s="1"/>
  <c r="J45" i="71"/>
  <c r="W45" i="71" s="1"/>
  <c r="H45" i="71"/>
  <c r="AB45" i="71" s="1"/>
  <c r="F45" i="71"/>
  <c r="AA45" i="71" s="1"/>
  <c r="Q44" i="71"/>
  <c r="Z44" i="71" s="1"/>
  <c r="H44" i="71"/>
  <c r="AB44" i="71" s="1"/>
  <c r="Q43" i="71"/>
  <c r="Z43" i="71" s="1"/>
  <c r="J43" i="71"/>
  <c r="AC43" i="71" s="1"/>
  <c r="H43" i="71"/>
  <c r="AB43" i="71" s="1"/>
  <c r="F43" i="71"/>
  <c r="AA43" i="71" s="1"/>
  <c r="Q42" i="71"/>
  <c r="Z42" i="71" s="1"/>
  <c r="AC41" i="71"/>
  <c r="Q41" i="71"/>
  <c r="Z41" i="71" s="1"/>
  <c r="J41" i="71"/>
  <c r="W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Q36" i="71"/>
  <c r="Z36" i="71" s="1"/>
  <c r="J36" i="71"/>
  <c r="AC36" i="71" s="1"/>
  <c r="H36" i="71"/>
  <c r="AB36" i="71" s="1"/>
  <c r="F36" i="71"/>
  <c r="AA36" i="71" s="1"/>
  <c r="Q35" i="71"/>
  <c r="Z35" i="71" s="1"/>
  <c r="J35" i="71"/>
  <c r="W35" i="71" s="1"/>
  <c r="H35" i="71"/>
  <c r="AB35" i="71" s="1"/>
  <c r="F35" i="71"/>
  <c r="AA35" i="71" s="1"/>
  <c r="U34" i="71"/>
  <c r="Q34" i="71"/>
  <c r="Z34" i="71" s="1"/>
  <c r="J34" i="71"/>
  <c r="AC34" i="71" s="1"/>
  <c r="H34" i="71"/>
  <c r="AB34" i="71" s="1"/>
  <c r="F34" i="71"/>
  <c r="AA34" i="71" s="1"/>
  <c r="Q33" i="71"/>
  <c r="Z33" i="71" s="1"/>
  <c r="Q32" i="71"/>
  <c r="Z32" i="71" s="1"/>
  <c r="Q31" i="71"/>
  <c r="Z31" i="71" s="1"/>
  <c r="J31" i="71"/>
  <c r="AC31" i="71" s="1"/>
  <c r="H31" i="71"/>
  <c r="AB31" i="71" s="1"/>
  <c r="F31" i="71"/>
  <c r="AA31" i="71" s="1"/>
  <c r="Q30" i="71"/>
  <c r="Z30" i="71" s="1"/>
  <c r="J30" i="71"/>
  <c r="W30" i="71" s="1"/>
  <c r="F30" i="71"/>
  <c r="AA30" i="71" s="1"/>
  <c r="Q29" i="71"/>
  <c r="Z29" i="71" s="1"/>
  <c r="J29" i="71"/>
  <c r="AC29" i="71" s="1"/>
  <c r="H29" i="71"/>
  <c r="AB29" i="71" s="1"/>
  <c r="F29" i="71"/>
  <c r="AA29" i="71" s="1"/>
  <c r="AC28" i="71"/>
  <c r="Q28" i="71"/>
  <c r="Z28" i="71" s="1"/>
  <c r="J28" i="71"/>
  <c r="W28" i="71" s="1"/>
  <c r="F28" i="71"/>
  <c r="AA28" i="71" s="1"/>
  <c r="Q27" i="71"/>
  <c r="Z27" i="71" s="1"/>
  <c r="J27" i="71"/>
  <c r="AC27" i="71" s="1"/>
  <c r="H27" i="71"/>
  <c r="AB27" i="71" s="1"/>
  <c r="F27" i="71"/>
  <c r="AA27" i="71" s="1"/>
  <c r="Q26" i="71"/>
  <c r="Z26" i="71" s="1"/>
  <c r="J26" i="71"/>
  <c r="W26" i="71" s="1"/>
  <c r="H26" i="71"/>
  <c r="AB26" i="71" s="1"/>
  <c r="F26" i="71"/>
  <c r="AA26" i="71" s="1"/>
  <c r="U25" i="71"/>
  <c r="Q25" i="71"/>
  <c r="Z25" i="71" s="1"/>
  <c r="J25" i="71"/>
  <c r="AC25" i="71" s="1"/>
  <c r="H25" i="71"/>
  <c r="AB25" i="71" s="1"/>
  <c r="F25" i="71"/>
  <c r="AA25" i="71" s="1"/>
  <c r="Q23" i="71"/>
  <c r="Z23" i="71" s="1"/>
  <c r="J23" i="71"/>
  <c r="AC23" i="71" s="1"/>
  <c r="H23" i="71"/>
  <c r="AB23" i="71" s="1"/>
  <c r="F23" i="71"/>
  <c r="AA23" i="71" s="1"/>
  <c r="C23" i="71"/>
  <c r="AC21" i="71"/>
  <c r="Q21" i="71"/>
  <c r="Z21" i="71" s="1"/>
  <c r="J21" i="71"/>
  <c r="W21" i="71" s="1"/>
  <c r="H21" i="71"/>
  <c r="AB21" i="71" s="1"/>
  <c r="F21" i="71"/>
  <c r="AA21" i="71" s="1"/>
  <c r="C21" i="71"/>
  <c r="Q19" i="71"/>
  <c r="Z19" i="71" s="1"/>
  <c r="J19" i="71"/>
  <c r="AC19" i="71" s="1"/>
  <c r="H19" i="71"/>
  <c r="AB19" i="71" s="1"/>
  <c r="F19" i="71"/>
  <c r="AA19" i="71" s="1"/>
  <c r="C19" i="71"/>
  <c r="Q17" i="71"/>
  <c r="Z17" i="71" s="1"/>
  <c r="J17" i="71"/>
  <c r="W17" i="71" s="1"/>
  <c r="F17" i="71"/>
  <c r="AA17" i="71" s="1"/>
  <c r="C17" i="71"/>
  <c r="Q15" i="71"/>
  <c r="Z15" i="71" s="1"/>
  <c r="J15" i="71"/>
  <c r="W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W12" i="71" s="1"/>
  <c r="H12" i="71"/>
  <c r="AB12" i="71" s="1"/>
  <c r="F12" i="71"/>
  <c r="AA12" i="71" s="1"/>
  <c r="Q11" i="71"/>
  <c r="Z11" i="71" s="1"/>
  <c r="U10" i="71"/>
  <c r="Q10" i="71"/>
  <c r="Z10" i="71" s="1"/>
  <c r="J10" i="71"/>
  <c r="AC10" i="71" s="1"/>
  <c r="H10" i="71"/>
  <c r="AB10" i="71" s="1"/>
  <c r="F10" i="71"/>
  <c r="AA10" i="71" s="1"/>
  <c r="S9" i="71"/>
  <c r="Q9" i="71"/>
  <c r="Z9" i="71" s="1"/>
  <c r="J9" i="71"/>
  <c r="AC9" i="71" s="1"/>
  <c r="F9" i="71"/>
  <c r="AA9" i="71" s="1"/>
  <c r="J8" i="71"/>
  <c r="AC8" i="71" s="1"/>
  <c r="H8" i="71"/>
  <c r="U8" i="71" s="1"/>
  <c r="F8" i="71"/>
  <c r="AA8" i="71" s="1"/>
  <c r="C5" i="71"/>
  <c r="F59" i="21"/>
  <c r="Q73" i="70"/>
  <c r="Q60" i="70"/>
  <c r="D60" i="70"/>
  <c r="Q59" i="70"/>
  <c r="K59" i="70"/>
  <c r="F58" i="70"/>
  <c r="Q52" i="70"/>
  <c r="J50" i="70"/>
  <c r="M47" i="70"/>
  <c r="F33" i="70"/>
  <c r="F60" i="70" s="1"/>
  <c r="F31" i="70"/>
  <c r="F23" i="70"/>
  <c r="F21" i="70"/>
  <c r="F20" i="70"/>
  <c r="M19" i="70"/>
  <c r="F18" i="70"/>
  <c r="M17" i="70"/>
  <c r="F17" i="70"/>
  <c r="F15" i="70"/>
  <c r="B28" i="1"/>
  <c r="B27" i="1"/>
  <c r="C40" i="39"/>
  <c r="D73" i="39"/>
  <c r="E73" i="39" s="1"/>
  <c r="F73" i="39" s="1"/>
  <c r="G73" i="39" s="1"/>
  <c r="H73" i="39" s="1"/>
  <c r="I73" i="39" s="1"/>
  <c r="J73" i="39" s="1"/>
  <c r="K73" i="39" s="1"/>
  <c r="L73" i="39" s="1"/>
  <c r="M73" i="39" s="1"/>
  <c r="N73" i="39" s="1"/>
  <c r="N14" i="1"/>
  <c r="L14" i="1"/>
  <c r="AD13" i="3"/>
  <c r="AC15" i="71" l="1"/>
  <c r="AC17" i="71"/>
  <c r="F37" i="71"/>
  <c r="AA37" i="71" s="1"/>
  <c r="J37" i="71"/>
  <c r="W8" i="71"/>
  <c r="S8" i="71"/>
  <c r="AC12" i="71"/>
  <c r="AC26" i="71"/>
  <c r="AC30" i="71"/>
  <c r="AC35" i="71"/>
  <c r="U40" i="71"/>
  <c r="AC45" i="71"/>
  <c r="I69" i="71"/>
  <c r="J69" i="71" s="1"/>
  <c r="K69" i="71" s="1"/>
  <c r="L69" i="71" s="1"/>
  <c r="M69" i="71" s="1"/>
  <c r="AB42" i="71"/>
  <c r="U42" i="71"/>
  <c r="S35" i="71"/>
  <c r="U36" i="71"/>
  <c r="S37" i="71"/>
  <c r="U38" i="71"/>
  <c r="W39" i="71"/>
  <c r="S41" i="71"/>
  <c r="W43" i="71"/>
  <c r="S45" i="71"/>
  <c r="AC46" i="71"/>
  <c r="W46" i="71"/>
  <c r="F79" i="71"/>
  <c r="G79" i="71" s="1"/>
  <c r="H17" i="71"/>
  <c r="AB28" i="71"/>
  <c r="U28" i="71"/>
  <c r="AB30" i="71"/>
  <c r="U30" i="71"/>
  <c r="E101" i="71"/>
  <c r="H32" i="71"/>
  <c r="H113" i="71"/>
  <c r="H37" i="71"/>
  <c r="AB8" i="71"/>
  <c r="S14" i="71"/>
  <c r="S19" i="71"/>
  <c r="S23" i="71"/>
  <c r="W9" i="71"/>
  <c r="S12" i="71"/>
  <c r="U13" i="71"/>
  <c r="W14" i="71"/>
  <c r="S15" i="71"/>
  <c r="S17" i="71"/>
  <c r="W19" i="71"/>
  <c r="S21" i="71"/>
  <c r="W23" i="71"/>
  <c r="S26" i="71"/>
  <c r="U27" i="71"/>
  <c r="S28" i="71"/>
  <c r="U29" i="71"/>
  <c r="S30" i="71"/>
  <c r="U31" i="71"/>
  <c r="S39" i="71"/>
  <c r="S43" i="71"/>
  <c r="U44" i="71"/>
  <c r="AB9" i="71"/>
  <c r="U9" i="71"/>
  <c r="G123" i="71"/>
  <c r="H123" i="71" s="1"/>
  <c r="I123" i="71" s="1"/>
  <c r="J123" i="71" s="1"/>
  <c r="K123" i="71" s="1"/>
  <c r="L123" i="71" s="1"/>
  <c r="M123" i="71" s="1"/>
  <c r="J42" i="71"/>
  <c r="F42" i="71"/>
  <c r="AC44" i="71"/>
  <c r="W44" i="71"/>
  <c r="AB46" i="71"/>
  <c r="U46" i="71"/>
  <c r="K143" i="71"/>
  <c r="K141" i="71"/>
  <c r="K144" i="71"/>
  <c r="K145" i="71"/>
  <c r="S10" i="71"/>
  <c r="W10" i="71"/>
  <c r="U12" i="71"/>
  <c r="S13" i="71"/>
  <c r="W13" i="71"/>
  <c r="U14" i="71"/>
  <c r="U15" i="71"/>
  <c r="U19" i="71"/>
  <c r="U21" i="71"/>
  <c r="U23" i="71"/>
  <c r="S25" i="71"/>
  <c r="W25" i="71"/>
  <c r="U26" i="71"/>
  <c r="S27" i="71"/>
  <c r="W27" i="71"/>
  <c r="S29" i="71"/>
  <c r="W29" i="71"/>
  <c r="S31" i="71"/>
  <c r="W31" i="71"/>
  <c r="S34" i="71"/>
  <c r="W34" i="71"/>
  <c r="U35" i="71"/>
  <c r="S36" i="71"/>
  <c r="W36" i="71"/>
  <c r="S38" i="71"/>
  <c r="W38" i="71"/>
  <c r="U39" i="71"/>
  <c r="S40" i="71"/>
  <c r="W40" i="71"/>
  <c r="U41" i="71"/>
  <c r="U43" i="71"/>
  <c r="F44" i="71"/>
  <c r="U45" i="71"/>
  <c r="F46" i="71"/>
  <c r="D23" i="70"/>
  <c r="D22" i="70"/>
  <c r="D24" i="70"/>
  <c r="L46" i="70"/>
  <c r="P75" i="70"/>
  <c r="P62" i="70"/>
  <c r="N8" i="1"/>
  <c r="N9" i="1"/>
  <c r="F101" i="71" l="1"/>
  <c r="G101" i="71" s="1"/>
  <c r="H101" i="71" s="1"/>
  <c r="I101" i="71" s="1"/>
  <c r="J101" i="71" s="1"/>
  <c r="K101" i="71" s="1"/>
  <c r="L101" i="71" s="1"/>
  <c r="M101" i="71" s="1"/>
  <c r="J32" i="71"/>
  <c r="F32" i="71"/>
  <c r="AC37" i="71"/>
  <c r="W37" i="71"/>
  <c r="AA46" i="71"/>
  <c r="S46" i="71"/>
  <c r="AA44" i="71"/>
  <c r="S44" i="71"/>
  <c r="AA42" i="71"/>
  <c r="S42" i="71"/>
  <c r="AB37" i="71"/>
  <c r="U37" i="71"/>
  <c r="AB32" i="71"/>
  <c r="U32" i="71"/>
  <c r="AB17" i="71"/>
  <c r="U17" i="71"/>
  <c r="AC42" i="71"/>
  <c r="W42" i="71"/>
  <c r="C106" i="9"/>
  <c r="BB13" i="3"/>
  <c r="BC13" i="3"/>
  <c r="BD13" i="3"/>
  <c r="BE13" i="3"/>
  <c r="BF13" i="3"/>
  <c r="BG13" i="3"/>
  <c r="BH13" i="3"/>
  <c r="BI13" i="3"/>
  <c r="BJ13" i="3"/>
  <c r="BK13" i="3"/>
  <c r="BM13" i="3"/>
  <c r="BN13" i="3"/>
  <c r="BO13" i="3"/>
  <c r="BP13" i="3"/>
  <c r="BQ13" i="3"/>
  <c r="BR13" i="3"/>
  <c r="BS13" i="3"/>
  <c r="BT13" i="3"/>
  <c r="BB14" i="3"/>
  <c r="BC14" i="3"/>
  <c r="BA14" i="3" s="1"/>
  <c r="BD14" i="3"/>
  <c r="BE14" i="3"/>
  <c r="BF14" i="3"/>
  <c r="BG14" i="3"/>
  <c r="BH14" i="3"/>
  <c r="BI14" i="3"/>
  <c r="BJ14" i="3"/>
  <c r="BK14" i="3"/>
  <c r="BM14" i="3"/>
  <c r="BN14" i="3"/>
  <c r="BO14" i="3"/>
  <c r="BP14" i="3"/>
  <c r="BQ14" i="3"/>
  <c r="BR14" i="3"/>
  <c r="BS14" i="3"/>
  <c r="BT14" i="3"/>
  <c r="BL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B17" i="3"/>
  <c r="BC17" i="3"/>
  <c r="BA17" i="3" s="1"/>
  <c r="AZ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s="1"/>
  <c r="AZ18" i="3" s="1"/>
  <c r="BO18" i="3"/>
  <c r="BP18" i="3"/>
  <c r="BQ18" i="3"/>
  <c r="BR18" i="3"/>
  <c r="BS18" i="3"/>
  <c r="BT18" i="3"/>
  <c r="BB19" i="3"/>
  <c r="BC19" i="3"/>
  <c r="BD19" i="3"/>
  <c r="BE19" i="3"/>
  <c r="BF19" i="3"/>
  <c r="BG19" i="3"/>
  <c r="BH19" i="3"/>
  <c r="BI19" i="3"/>
  <c r="BJ19" i="3"/>
  <c r="BK19" i="3"/>
  <c r="BA19" i="3" s="1"/>
  <c r="AZ19" i="3" s="1"/>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L20" i="3" s="1"/>
  <c r="AZ20" i="3" s="1"/>
  <c r="BB21" i="3"/>
  <c r="BC21" i="3"/>
  <c r="BD21" i="3"/>
  <c r="BE21" i="3"/>
  <c r="BF21" i="3"/>
  <c r="BG21" i="3"/>
  <c r="BH21" i="3"/>
  <c r="BI21" i="3"/>
  <c r="BJ21" i="3"/>
  <c r="BK21" i="3"/>
  <c r="BA21" i="3"/>
  <c r="BM21" i="3"/>
  <c r="BN21" i="3"/>
  <c r="BO21" i="3"/>
  <c r="BP21" i="3"/>
  <c r="BQ21" i="3"/>
  <c r="BR21" i="3"/>
  <c r="BL21" i="3" s="1"/>
  <c r="AZ21" i="3" s="1"/>
  <c r="BS21" i="3"/>
  <c r="BT21" i="3"/>
  <c r="BB22" i="3"/>
  <c r="BC22" i="3"/>
  <c r="BA22" i="3" s="1"/>
  <c r="AZ22" i="3" s="1"/>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L23" i="3" s="1"/>
  <c r="AZ23" i="3" s="1"/>
  <c r="BO23" i="3"/>
  <c r="BP23" i="3"/>
  <c r="BQ23" i="3"/>
  <c r="BR23" i="3"/>
  <c r="BS23" i="3"/>
  <c r="BT23" i="3"/>
  <c r="BB24" i="3"/>
  <c r="BC24" i="3"/>
  <c r="BD24" i="3"/>
  <c r="BE24" i="3"/>
  <c r="BF24" i="3"/>
  <c r="BG24" i="3"/>
  <c r="BA24" i="3" s="1"/>
  <c r="AZ24" i="3" s="1"/>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L25" i="3" s="1"/>
  <c r="AZ25" i="3" s="1"/>
  <c r="BS25" i="3"/>
  <c r="BT25" i="3"/>
  <c r="BB26" i="3"/>
  <c r="BC26" i="3"/>
  <c r="BD26" i="3"/>
  <c r="BE26" i="3"/>
  <c r="BF26" i="3"/>
  <c r="BG26" i="3"/>
  <c r="BH26" i="3"/>
  <c r="BI26" i="3"/>
  <c r="BJ26" i="3"/>
  <c r="BK26" i="3"/>
  <c r="BA26" i="3"/>
  <c r="BM26" i="3"/>
  <c r="BN26" i="3"/>
  <c r="BO26" i="3"/>
  <c r="BP26" i="3"/>
  <c r="BQ26" i="3"/>
  <c r="BR26" i="3"/>
  <c r="BL26" i="3" s="1"/>
  <c r="AZ26" i="3" s="1"/>
  <c r="BS26" i="3"/>
  <c r="BT26" i="3"/>
  <c r="BB27" i="3"/>
  <c r="BC27" i="3"/>
  <c r="BD27" i="3"/>
  <c r="BE27" i="3"/>
  <c r="BF27" i="3"/>
  <c r="BG27" i="3"/>
  <c r="BH27" i="3"/>
  <c r="BI27" i="3"/>
  <c r="BJ27" i="3"/>
  <c r="BK27" i="3"/>
  <c r="BA27" i="3"/>
  <c r="BM27" i="3"/>
  <c r="BN27" i="3"/>
  <c r="BO27" i="3"/>
  <c r="BP27" i="3"/>
  <c r="BQ27" i="3"/>
  <c r="BR27" i="3"/>
  <c r="BS27" i="3"/>
  <c r="BT27" i="3"/>
  <c r="BL27" i="3"/>
  <c r="AZ27" i="3" s="1"/>
  <c r="BB28" i="3"/>
  <c r="BC28" i="3"/>
  <c r="BD28" i="3"/>
  <c r="BE28" i="3"/>
  <c r="BF28" i="3"/>
  <c r="BG28" i="3"/>
  <c r="BH28" i="3"/>
  <c r="BI28" i="3"/>
  <c r="BJ28" i="3"/>
  <c r="BK28" i="3"/>
  <c r="BA28" i="3"/>
  <c r="BM28" i="3"/>
  <c r="BN28" i="3"/>
  <c r="BO28" i="3"/>
  <c r="BP28" i="3"/>
  <c r="BQ28" i="3"/>
  <c r="BR28" i="3"/>
  <c r="BL28" i="3" s="1"/>
  <c r="AZ28" i="3" s="1"/>
  <c r="BS28" i="3"/>
  <c r="BT28" i="3"/>
  <c r="BB29" i="3"/>
  <c r="BC29" i="3"/>
  <c r="BD29" i="3"/>
  <c r="BE29" i="3"/>
  <c r="BF29" i="3"/>
  <c r="BG29" i="3"/>
  <c r="BH29" i="3"/>
  <c r="BI29" i="3"/>
  <c r="BJ29" i="3"/>
  <c r="BK29" i="3"/>
  <c r="BA29" i="3"/>
  <c r="BM29" i="3"/>
  <c r="BN29" i="3"/>
  <c r="BO29" i="3"/>
  <c r="BP29" i="3"/>
  <c r="BL29" i="3" s="1"/>
  <c r="AZ29" i="3" s="1"/>
  <c r="BQ29" i="3"/>
  <c r="BR29" i="3"/>
  <c r="BS29" i="3"/>
  <c r="BT29" i="3"/>
  <c r="BB30" i="3"/>
  <c r="BC30" i="3"/>
  <c r="BD30" i="3"/>
  <c r="BE30" i="3"/>
  <c r="BF30" i="3"/>
  <c r="BG30" i="3"/>
  <c r="BH30" i="3"/>
  <c r="BI30" i="3"/>
  <c r="BJ30" i="3"/>
  <c r="BK30" i="3"/>
  <c r="BA30" i="3"/>
  <c r="BM30" i="3"/>
  <c r="BN30" i="3"/>
  <c r="BO30" i="3"/>
  <c r="BP30" i="3"/>
  <c r="BQ30" i="3"/>
  <c r="BR30" i="3"/>
  <c r="BS30" i="3"/>
  <c r="BT30" i="3"/>
  <c r="BL30" i="3" s="1"/>
  <c r="AZ30" i="3" s="1"/>
  <c r="BB31" i="3"/>
  <c r="BC31" i="3"/>
  <c r="BD31" i="3"/>
  <c r="BE31" i="3"/>
  <c r="BF31" i="3"/>
  <c r="BG31" i="3"/>
  <c r="BH31" i="3"/>
  <c r="BI31" i="3"/>
  <c r="BJ31" i="3"/>
  <c r="BK31" i="3"/>
  <c r="BA31" i="3"/>
  <c r="BM31" i="3"/>
  <c r="BN31" i="3"/>
  <c r="BO31" i="3"/>
  <c r="BP31" i="3"/>
  <c r="BQ31" i="3"/>
  <c r="BR31" i="3"/>
  <c r="BL31" i="3" s="1"/>
  <c r="AZ31" i="3" s="1"/>
  <c r="BS31" i="3"/>
  <c r="BT31" i="3"/>
  <c r="BB32" i="3"/>
  <c r="BC32" i="3"/>
  <c r="BD32" i="3"/>
  <c r="BE32" i="3"/>
  <c r="BF32" i="3"/>
  <c r="BG32" i="3"/>
  <c r="BH32" i="3"/>
  <c r="BI32" i="3"/>
  <c r="BJ32" i="3"/>
  <c r="BK32" i="3"/>
  <c r="BA32" i="3" s="1"/>
  <c r="AZ32" i="3" s="1"/>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L34" i="3" s="1"/>
  <c r="AZ34" i="3" s="1"/>
  <c r="BS34" i="3"/>
  <c r="BT34" i="3"/>
  <c r="BB35" i="3"/>
  <c r="BC35" i="3"/>
  <c r="BD35" i="3"/>
  <c r="BE35" i="3"/>
  <c r="BF35" i="3"/>
  <c r="BG35" i="3"/>
  <c r="BH35" i="3"/>
  <c r="BI35" i="3"/>
  <c r="BJ35" i="3"/>
  <c r="BK35" i="3"/>
  <c r="BA35" i="3"/>
  <c r="BM35" i="3"/>
  <c r="BN35" i="3"/>
  <c r="BO35" i="3"/>
  <c r="BP35" i="3"/>
  <c r="BQ35" i="3"/>
  <c r="BR35" i="3"/>
  <c r="BS35" i="3"/>
  <c r="BT35" i="3"/>
  <c r="BL35" i="3" s="1"/>
  <c r="AZ35" i="3" s="1"/>
  <c r="BB36" i="3"/>
  <c r="BC36" i="3"/>
  <c r="BD36" i="3"/>
  <c r="BE36" i="3"/>
  <c r="BF36" i="3"/>
  <c r="BG36" i="3"/>
  <c r="BH36" i="3"/>
  <c r="BI36" i="3"/>
  <c r="BJ36" i="3"/>
  <c r="BK36" i="3"/>
  <c r="BA36" i="3"/>
  <c r="BM36" i="3"/>
  <c r="BN36" i="3"/>
  <c r="BO36" i="3"/>
  <c r="BP36" i="3"/>
  <c r="BQ36" i="3"/>
  <c r="BR36" i="3"/>
  <c r="BS36" i="3"/>
  <c r="BT36" i="3"/>
  <c r="BL36" i="3" s="1"/>
  <c r="AZ36" i="3" s="1"/>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s="1"/>
  <c r="AZ38" i="3" s="1"/>
  <c r="BB39" i="3"/>
  <c r="BC39" i="3"/>
  <c r="BD39" i="3"/>
  <c r="BE39" i="3"/>
  <c r="BF39" i="3"/>
  <c r="BG39" i="3"/>
  <c r="BH39" i="3"/>
  <c r="BI39" i="3"/>
  <c r="BJ39" i="3"/>
  <c r="BK39" i="3"/>
  <c r="BA39" i="3"/>
  <c r="BM39" i="3"/>
  <c r="BN39" i="3"/>
  <c r="BO39" i="3"/>
  <c r="BP39" i="3"/>
  <c r="BQ39" i="3"/>
  <c r="BR39" i="3"/>
  <c r="BL39" i="3" s="1"/>
  <c r="AZ39" i="3" s="1"/>
  <c r="BS39" i="3"/>
  <c r="BT39" i="3"/>
  <c r="BB40" i="3"/>
  <c r="BC40" i="3"/>
  <c r="BD40" i="3"/>
  <c r="BE40" i="3"/>
  <c r="BF40" i="3"/>
  <c r="BG40" i="3"/>
  <c r="BH40" i="3"/>
  <c r="BI40" i="3"/>
  <c r="BJ40" i="3"/>
  <c r="BK40" i="3"/>
  <c r="BA40" i="3" s="1"/>
  <c r="AZ40" i="3" s="1"/>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L41" i="3" s="1"/>
  <c r="AZ41" i="3" s="1"/>
  <c r="BB42" i="3"/>
  <c r="BC42" i="3"/>
  <c r="BD42" i="3"/>
  <c r="BE42" i="3"/>
  <c r="BF42" i="3"/>
  <c r="BG42" i="3"/>
  <c r="BH42" i="3"/>
  <c r="BI42" i="3"/>
  <c r="BJ42" i="3"/>
  <c r="BK42" i="3"/>
  <c r="BA42" i="3"/>
  <c r="BM42" i="3"/>
  <c r="BN42" i="3"/>
  <c r="BO42" i="3"/>
  <c r="BP42" i="3"/>
  <c r="BQ42" i="3"/>
  <c r="BR42" i="3"/>
  <c r="BL42" i="3" s="1"/>
  <c r="AZ42" i="3" s="1"/>
  <c r="BS42" i="3"/>
  <c r="BT42" i="3"/>
  <c r="BB43" i="3"/>
  <c r="BC43" i="3"/>
  <c r="BD43" i="3"/>
  <c r="BE43" i="3"/>
  <c r="BF43" i="3"/>
  <c r="BG43" i="3"/>
  <c r="BH43" i="3"/>
  <c r="BI43" i="3"/>
  <c r="BJ43" i="3"/>
  <c r="BK43" i="3"/>
  <c r="BA43" i="3"/>
  <c r="BM43" i="3"/>
  <c r="BN43" i="3"/>
  <c r="BO43" i="3"/>
  <c r="BP43" i="3"/>
  <c r="BQ43" i="3"/>
  <c r="BR43" i="3"/>
  <c r="BL43" i="3" s="1"/>
  <c r="AZ43" i="3" s="1"/>
  <c r="BS43" i="3"/>
  <c r="BT43" i="3"/>
  <c r="BB44" i="3"/>
  <c r="BC44" i="3"/>
  <c r="BD44" i="3"/>
  <c r="BE44" i="3"/>
  <c r="BF44" i="3"/>
  <c r="BG44" i="3"/>
  <c r="BH44" i="3"/>
  <c r="BI44" i="3"/>
  <c r="BJ44" i="3"/>
  <c r="BK44" i="3"/>
  <c r="BA44" i="3" s="1"/>
  <c r="AZ44" i="3" s="1"/>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L45" i="3" s="1"/>
  <c r="AZ45" i="3" s="1"/>
  <c r="BB46" i="3"/>
  <c r="BC46" i="3"/>
  <c r="BD46" i="3"/>
  <c r="BE46" i="3"/>
  <c r="BF46" i="3"/>
  <c r="BG46" i="3"/>
  <c r="BH46" i="3"/>
  <c r="BI46" i="3"/>
  <c r="BJ46" i="3"/>
  <c r="BK46" i="3"/>
  <c r="BA46" i="3"/>
  <c r="BM46" i="3"/>
  <c r="BN46" i="3"/>
  <c r="BO46" i="3"/>
  <c r="BP46" i="3"/>
  <c r="BQ46" i="3"/>
  <c r="BR46" i="3"/>
  <c r="BS46" i="3"/>
  <c r="BT46" i="3"/>
  <c r="BL46" i="3" s="1"/>
  <c r="AZ46" i="3" s="1"/>
  <c r="BB47" i="3"/>
  <c r="BC47" i="3"/>
  <c r="BD47" i="3"/>
  <c r="BE47" i="3"/>
  <c r="BF47" i="3"/>
  <c r="BG47" i="3"/>
  <c r="BH47" i="3"/>
  <c r="BI47" i="3"/>
  <c r="BJ47" i="3"/>
  <c r="BK47" i="3"/>
  <c r="BA47" i="3"/>
  <c r="BM47" i="3"/>
  <c r="BN47" i="3"/>
  <c r="BO47" i="3"/>
  <c r="BP47" i="3"/>
  <c r="BQ47" i="3"/>
  <c r="BR47" i="3"/>
  <c r="BS47" i="3"/>
  <c r="BT47" i="3"/>
  <c r="BL47" i="3" s="1"/>
  <c r="AZ47" i="3" s="1"/>
  <c r="BB48" i="3"/>
  <c r="BC48" i="3"/>
  <c r="BD48" i="3"/>
  <c r="BE48" i="3"/>
  <c r="BF48" i="3"/>
  <c r="BG48" i="3"/>
  <c r="BH48" i="3"/>
  <c r="BI48" i="3"/>
  <c r="BJ48" i="3"/>
  <c r="BK48" i="3"/>
  <c r="BA48" i="3"/>
  <c r="BM48" i="3"/>
  <c r="BN48" i="3"/>
  <c r="BO48" i="3"/>
  <c r="BP48" i="3"/>
  <c r="BQ48" i="3"/>
  <c r="BR48" i="3"/>
  <c r="BL48" i="3" s="1"/>
  <c r="AZ48" i="3" s="1"/>
  <c r="BS48" i="3"/>
  <c r="BT48" i="3"/>
  <c r="BB49" i="3"/>
  <c r="BC49" i="3"/>
  <c r="BD49" i="3"/>
  <c r="BE49" i="3"/>
  <c r="BF49" i="3"/>
  <c r="BG49" i="3"/>
  <c r="BH49" i="3"/>
  <c r="BI49" i="3"/>
  <c r="BJ49" i="3"/>
  <c r="BK49" i="3"/>
  <c r="BA49" i="3"/>
  <c r="BM49" i="3"/>
  <c r="BN49" i="3"/>
  <c r="BO49" i="3"/>
  <c r="BP49" i="3"/>
  <c r="BQ49" i="3"/>
  <c r="BR49" i="3"/>
  <c r="BL49" i="3" s="1"/>
  <c r="AZ49" i="3" s="1"/>
  <c r="BS49" i="3"/>
  <c r="BT49" i="3"/>
  <c r="BB50" i="3"/>
  <c r="BC50" i="3"/>
  <c r="BD50" i="3"/>
  <c r="BE50" i="3"/>
  <c r="BF50" i="3"/>
  <c r="BG50" i="3"/>
  <c r="BH50" i="3"/>
  <c r="BI50" i="3"/>
  <c r="BJ50" i="3"/>
  <c r="BK50" i="3"/>
  <c r="BA50" i="3" s="1"/>
  <c r="AZ50" i="3" s="1"/>
  <c r="BM50" i="3"/>
  <c r="BN50" i="3"/>
  <c r="BO50" i="3"/>
  <c r="BP50" i="3"/>
  <c r="BQ50" i="3"/>
  <c r="BR50" i="3"/>
  <c r="BS50" i="3"/>
  <c r="BT50" i="3"/>
  <c r="BL50" i="3"/>
  <c r="BB51" i="3"/>
  <c r="BC51" i="3"/>
  <c r="BD51" i="3"/>
  <c r="BE51" i="3"/>
  <c r="BF51" i="3"/>
  <c r="BG51" i="3"/>
  <c r="BH51" i="3"/>
  <c r="BI51" i="3"/>
  <c r="BJ51" i="3"/>
  <c r="BK51" i="3"/>
  <c r="BA51" i="3"/>
  <c r="BM51" i="3"/>
  <c r="BN51" i="3"/>
  <c r="BO51" i="3"/>
  <c r="BP51" i="3"/>
  <c r="BL51" i="3" s="1"/>
  <c r="AZ51" i="3" s="1"/>
  <c r="BQ51" i="3"/>
  <c r="BR51" i="3"/>
  <c r="BS51" i="3"/>
  <c r="BT51" i="3"/>
  <c r="BB52" i="3"/>
  <c r="BC52" i="3"/>
  <c r="BD52" i="3"/>
  <c r="BE52" i="3"/>
  <c r="BF52" i="3"/>
  <c r="BG52" i="3"/>
  <c r="BH52" i="3"/>
  <c r="BI52" i="3"/>
  <c r="BA52" i="3" s="1"/>
  <c r="AZ52" i="3" s="1"/>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L53" i="3" s="1"/>
  <c r="AZ53" i="3" s="1"/>
  <c r="BQ53" i="3"/>
  <c r="BR53" i="3"/>
  <c r="BS53" i="3"/>
  <c r="BT53" i="3"/>
  <c r="BB54" i="3"/>
  <c r="BC54" i="3"/>
  <c r="BD54" i="3"/>
  <c r="BE54" i="3"/>
  <c r="BF54" i="3"/>
  <c r="BG54" i="3"/>
  <c r="BH54" i="3"/>
  <c r="BI54" i="3"/>
  <c r="BA54" i="3" s="1"/>
  <c r="AZ54" i="3" s="1"/>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D56" i="3"/>
  <c r="BE56" i="3"/>
  <c r="BF56" i="3"/>
  <c r="BG56" i="3"/>
  <c r="BH56" i="3"/>
  <c r="BI56" i="3"/>
  <c r="BJ56" i="3"/>
  <c r="BK56" i="3"/>
  <c r="BA56" i="3" s="1"/>
  <c r="AZ56" i="3" s="1"/>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L57" i="3" s="1"/>
  <c r="AZ57" i="3" s="1"/>
  <c r="BS57" i="3"/>
  <c r="BT57" i="3"/>
  <c r="BB58" i="3"/>
  <c r="BC58" i="3"/>
  <c r="BD58" i="3"/>
  <c r="BE58" i="3"/>
  <c r="BF58" i="3"/>
  <c r="BG58" i="3"/>
  <c r="BH58" i="3"/>
  <c r="BI58" i="3"/>
  <c r="BJ58" i="3"/>
  <c r="BK58" i="3"/>
  <c r="BA58" i="3" s="1"/>
  <c r="BM58" i="3"/>
  <c r="BN58" i="3"/>
  <c r="BO58" i="3"/>
  <c r="BP58" i="3"/>
  <c r="BQ58" i="3"/>
  <c r="BR58" i="3"/>
  <c r="BS58" i="3"/>
  <c r="BT58" i="3"/>
  <c r="BL58" i="3" s="1"/>
  <c r="BB59" i="3"/>
  <c r="BC59" i="3"/>
  <c r="BD59" i="3"/>
  <c r="BE59" i="3"/>
  <c r="BF59" i="3"/>
  <c r="BG59" i="3"/>
  <c r="BH59" i="3"/>
  <c r="BI59" i="3"/>
  <c r="BJ59" i="3"/>
  <c r="BK59" i="3"/>
  <c r="BA59" i="3"/>
  <c r="BM59" i="3"/>
  <c r="BN59" i="3"/>
  <c r="BO59" i="3"/>
  <c r="BP59" i="3"/>
  <c r="BQ59" i="3"/>
  <c r="BR59" i="3"/>
  <c r="BS59" i="3"/>
  <c r="BT59" i="3"/>
  <c r="BL59" i="3" s="1"/>
  <c r="AZ59" i="3" s="1"/>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s="1"/>
  <c r="AZ61" i="3" s="1"/>
  <c r="BB62" i="3"/>
  <c r="BC62" i="3"/>
  <c r="BD62" i="3"/>
  <c r="BE62" i="3"/>
  <c r="BF62" i="3"/>
  <c r="BG62" i="3"/>
  <c r="BH62" i="3"/>
  <c r="BI62" i="3"/>
  <c r="BJ62" i="3"/>
  <c r="BK62" i="3"/>
  <c r="BA62" i="3"/>
  <c r="BM62" i="3"/>
  <c r="BN62" i="3"/>
  <c r="BO62" i="3"/>
  <c r="BP62" i="3"/>
  <c r="BL62" i="3" s="1"/>
  <c r="AZ62" i="3" s="1"/>
  <c r="BQ62" i="3"/>
  <c r="BR62" i="3"/>
  <c r="BS62" i="3"/>
  <c r="BT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L64" i="3" s="1"/>
  <c r="AZ64" i="3" s="1"/>
  <c r="BO64" i="3"/>
  <c r="BP64" i="3"/>
  <c r="BQ64" i="3"/>
  <c r="BR64" i="3"/>
  <c r="BS64" i="3"/>
  <c r="BT64" i="3"/>
  <c r="BB65" i="3"/>
  <c r="BC65" i="3"/>
  <c r="BD65" i="3"/>
  <c r="BE65" i="3"/>
  <c r="BF65" i="3"/>
  <c r="BG65" i="3"/>
  <c r="BH65" i="3"/>
  <c r="BI65" i="3"/>
  <c r="BJ65" i="3"/>
  <c r="BK65" i="3"/>
  <c r="BA65" i="3"/>
  <c r="BM65" i="3"/>
  <c r="BN65" i="3"/>
  <c r="BO65" i="3"/>
  <c r="BP65" i="3"/>
  <c r="BQ65" i="3"/>
  <c r="BR65" i="3"/>
  <c r="BL65" i="3" s="1"/>
  <c r="AZ65" i="3" s="1"/>
  <c r="BS65" i="3"/>
  <c r="BT65" i="3"/>
  <c r="BB66" i="3"/>
  <c r="BC66" i="3"/>
  <c r="BD66" i="3"/>
  <c r="BE66" i="3"/>
  <c r="BF66" i="3"/>
  <c r="BG66" i="3"/>
  <c r="BH66" i="3"/>
  <c r="BI66" i="3"/>
  <c r="BJ66" i="3"/>
  <c r="BK66" i="3"/>
  <c r="BA66" i="3"/>
  <c r="BM66" i="3"/>
  <c r="BN66" i="3"/>
  <c r="BO66" i="3"/>
  <c r="BP66" i="3"/>
  <c r="BQ66" i="3"/>
  <c r="BR66" i="3"/>
  <c r="BS66" i="3"/>
  <c r="BT66" i="3"/>
  <c r="BL66" i="3" s="1"/>
  <c r="AZ66" i="3" s="1"/>
  <c r="BB67" i="3"/>
  <c r="BC67" i="3"/>
  <c r="BD67" i="3"/>
  <c r="BE67" i="3"/>
  <c r="BF67" i="3"/>
  <c r="BG67" i="3"/>
  <c r="BH67" i="3"/>
  <c r="BI67" i="3"/>
  <c r="BJ67" i="3"/>
  <c r="BK67" i="3"/>
  <c r="BA67" i="3" s="1"/>
  <c r="BM67" i="3"/>
  <c r="BN67" i="3"/>
  <c r="BO67" i="3"/>
  <c r="BP67" i="3"/>
  <c r="BQ67" i="3"/>
  <c r="BR67" i="3"/>
  <c r="BS67" i="3"/>
  <c r="BT67" i="3"/>
  <c r="BL67" i="3" s="1"/>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s="1"/>
  <c r="AZ69" i="3" s="1"/>
  <c r="BB70" i="3"/>
  <c r="BC70" i="3"/>
  <c r="BD70" i="3"/>
  <c r="BE70" i="3"/>
  <c r="BF70" i="3"/>
  <c r="BG70" i="3"/>
  <c r="BH70" i="3"/>
  <c r="BI70" i="3"/>
  <c r="BJ70" i="3"/>
  <c r="BK70" i="3"/>
  <c r="BA70" i="3"/>
  <c r="BM70" i="3"/>
  <c r="BN70" i="3"/>
  <c r="BO70" i="3"/>
  <c r="BP70" i="3"/>
  <c r="BQ70" i="3"/>
  <c r="BR70" i="3"/>
  <c r="BS70" i="3"/>
  <c r="BT70" i="3"/>
  <c r="BL70" i="3" s="1"/>
  <c r="AZ70" i="3" s="1"/>
  <c r="BB71" i="3"/>
  <c r="BC71" i="3"/>
  <c r="BD71" i="3"/>
  <c r="BE71" i="3"/>
  <c r="BF71" i="3"/>
  <c r="BG71" i="3"/>
  <c r="BH71" i="3"/>
  <c r="BI71" i="3"/>
  <c r="BJ71" i="3"/>
  <c r="BK71" i="3"/>
  <c r="BA71" i="3"/>
  <c r="BM71" i="3"/>
  <c r="BN71" i="3"/>
  <c r="BL71" i="3" s="1"/>
  <c r="AZ71" i="3" s="1"/>
  <c r="BO71" i="3"/>
  <c r="BP71" i="3"/>
  <c r="BQ71" i="3"/>
  <c r="BR71" i="3"/>
  <c r="BS71" i="3"/>
  <c r="BT71" i="3"/>
  <c r="BB72" i="3"/>
  <c r="BC72" i="3"/>
  <c r="BD72" i="3"/>
  <c r="BE72" i="3"/>
  <c r="BF72" i="3"/>
  <c r="BG72" i="3"/>
  <c r="BH72" i="3"/>
  <c r="BI72" i="3"/>
  <c r="BA72" i="3" s="1"/>
  <c r="AZ72" i="3" s="1"/>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L73" i="3" s="1"/>
  <c r="AZ73" i="3" s="1"/>
  <c r="BS73" i="3"/>
  <c r="BT73" i="3"/>
  <c r="BB74" i="3"/>
  <c r="BC74" i="3"/>
  <c r="BD74" i="3"/>
  <c r="BE74" i="3"/>
  <c r="BF74" i="3"/>
  <c r="BG74" i="3"/>
  <c r="BH74" i="3"/>
  <c r="BI74" i="3"/>
  <c r="BJ74" i="3"/>
  <c r="BK74" i="3"/>
  <c r="BA74" i="3" s="1"/>
  <c r="BM74" i="3"/>
  <c r="BN74" i="3"/>
  <c r="BO74" i="3"/>
  <c r="BP74" i="3"/>
  <c r="BQ74" i="3"/>
  <c r="BR74" i="3"/>
  <c r="BL74" i="3" s="1"/>
  <c r="BS74" i="3"/>
  <c r="BT74" i="3"/>
  <c r="BB75" i="3"/>
  <c r="BC75" i="3"/>
  <c r="BD75" i="3"/>
  <c r="BE75" i="3"/>
  <c r="BF75" i="3"/>
  <c r="BG75" i="3"/>
  <c r="BH75" i="3"/>
  <c r="BI75" i="3"/>
  <c r="BJ75" i="3"/>
  <c r="BK75" i="3"/>
  <c r="BA75" i="3" s="1"/>
  <c r="AZ75" i="3" s="1"/>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L76" i="3" s="1"/>
  <c r="AZ76" i="3" s="1"/>
  <c r="BS76" i="3"/>
  <c r="BT76" i="3"/>
  <c r="BB77" i="3"/>
  <c r="BC77" i="3"/>
  <c r="BD77" i="3"/>
  <c r="BE77" i="3"/>
  <c r="BF77" i="3"/>
  <c r="BG77" i="3"/>
  <c r="BH77" i="3"/>
  <c r="BI77" i="3"/>
  <c r="BJ77" i="3"/>
  <c r="BK77" i="3"/>
  <c r="BA77" i="3"/>
  <c r="BM77" i="3"/>
  <c r="BN77" i="3"/>
  <c r="BL77" i="3" s="1"/>
  <c r="AZ77" i="3" s="1"/>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L78" i="3" s="1"/>
  <c r="AZ78" i="3" s="1"/>
  <c r="BB79" i="3"/>
  <c r="BC79" i="3"/>
  <c r="BD79" i="3"/>
  <c r="BE79" i="3"/>
  <c r="BF79" i="3"/>
  <c r="BG79" i="3"/>
  <c r="BH79" i="3"/>
  <c r="BI79" i="3"/>
  <c r="BJ79" i="3"/>
  <c r="BK79" i="3"/>
  <c r="BA79" i="3"/>
  <c r="BM79" i="3"/>
  <c r="BN79" i="3"/>
  <c r="BO79" i="3"/>
  <c r="BP79" i="3"/>
  <c r="BQ79" i="3"/>
  <c r="BR79" i="3"/>
  <c r="BL79" i="3" s="1"/>
  <c r="BS79" i="3"/>
  <c r="BT79" i="3"/>
  <c r="AZ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L85" i="3" s="1"/>
  <c r="AZ85" i="3" s="1"/>
  <c r="BO85" i="3"/>
  <c r="BP85" i="3"/>
  <c r="BQ85" i="3"/>
  <c r="BR85" i="3"/>
  <c r="BS85" i="3"/>
  <c r="BT85" i="3"/>
  <c r="BB86" i="3"/>
  <c r="BC86" i="3"/>
  <c r="BA86" i="3" s="1"/>
  <c r="AZ86" i="3" s="1"/>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L87" i="3" s="1"/>
  <c r="AZ87" i="3" s="1"/>
  <c r="BO87" i="3"/>
  <c r="BP87" i="3"/>
  <c r="BQ87" i="3"/>
  <c r="BR87" i="3"/>
  <c r="BS87" i="3"/>
  <c r="BT87" i="3"/>
  <c r="BB88" i="3"/>
  <c r="BC88" i="3"/>
  <c r="BA88" i="3" s="1"/>
  <c r="AZ88" i="3" s="1"/>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L89" i="3" s="1"/>
  <c r="AZ89" i="3" s="1"/>
  <c r="BO89" i="3"/>
  <c r="BP89" i="3"/>
  <c r="BQ89" i="3"/>
  <c r="BR89" i="3"/>
  <c r="BS89" i="3"/>
  <c r="BT89" i="3"/>
  <c r="BB90" i="3"/>
  <c r="BC90" i="3"/>
  <c r="BA90" i="3" s="1"/>
  <c r="AZ90" i="3" s="1"/>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L91" i="3" s="1"/>
  <c r="AZ91" i="3" s="1"/>
  <c r="BO91" i="3"/>
  <c r="BP91" i="3"/>
  <c r="BQ91" i="3"/>
  <c r="BR91" i="3"/>
  <c r="BS91" i="3"/>
  <c r="BT91" i="3"/>
  <c r="BB92" i="3"/>
  <c r="BC92" i="3"/>
  <c r="BA92" i="3" s="1"/>
  <c r="AZ92" i="3" s="1"/>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L93" i="3" s="1"/>
  <c r="AZ93" i="3" s="1"/>
  <c r="BO93" i="3"/>
  <c r="BP93" i="3"/>
  <c r="BQ93" i="3"/>
  <c r="BR93" i="3"/>
  <c r="BS93" i="3"/>
  <c r="BT93" i="3"/>
  <c r="BB94" i="3"/>
  <c r="BC94" i="3"/>
  <c r="BA94" i="3" s="1"/>
  <c r="AZ94" i="3" s="1"/>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L95" i="3" s="1"/>
  <c r="AZ95" i="3" s="1"/>
  <c r="BO95" i="3"/>
  <c r="BP95" i="3"/>
  <c r="BQ95" i="3"/>
  <c r="BR95" i="3"/>
  <c r="BS95" i="3"/>
  <c r="BT95" i="3"/>
  <c r="BB96" i="3"/>
  <c r="BC96" i="3"/>
  <c r="BA96" i="3" s="1"/>
  <c r="AZ96" i="3" s="1"/>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L97" i="3" s="1"/>
  <c r="AZ97" i="3" s="1"/>
  <c r="BO97" i="3"/>
  <c r="BP97" i="3"/>
  <c r="BQ97" i="3"/>
  <c r="BR97" i="3"/>
  <c r="BS97" i="3"/>
  <c r="BT97" i="3"/>
  <c r="BB98" i="3"/>
  <c r="BC98" i="3"/>
  <c r="BA98" i="3" s="1"/>
  <c r="AZ98" i="3" s="1"/>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L99" i="3" s="1"/>
  <c r="AZ99" i="3" s="1"/>
  <c r="BO99" i="3"/>
  <c r="BP99" i="3"/>
  <c r="BQ99" i="3"/>
  <c r="BR99" i="3"/>
  <c r="BS99" i="3"/>
  <c r="BT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s="1"/>
  <c r="AZ101" i="3" s="1"/>
  <c r="BO101" i="3"/>
  <c r="BP101" i="3"/>
  <c r="BQ101" i="3"/>
  <c r="BR101" i="3"/>
  <c r="BS101" i="3"/>
  <c r="BT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s="1"/>
  <c r="AZ103" i="3" s="1"/>
  <c r="BO103" i="3"/>
  <c r="BP103" i="3"/>
  <c r="BQ103" i="3"/>
  <c r="BR103" i="3"/>
  <c r="BS103" i="3"/>
  <c r="BT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L110" i="3"/>
  <c r="AZ110" i="3" s="1"/>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D112" i="3"/>
  <c r="BE112" i="3"/>
  <c r="BF112" i="3"/>
  <c r="BG112" i="3"/>
  <c r="BA112" i="3" s="1"/>
  <c r="AZ112" i="3" s="1"/>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L113" i="3" s="1"/>
  <c r="AZ113" i="3" s="1"/>
  <c r="BB114" i="3"/>
  <c r="BC114" i="3"/>
  <c r="BD114" i="3"/>
  <c r="BE114" i="3"/>
  <c r="BF114" i="3"/>
  <c r="BG114" i="3"/>
  <c r="BH114" i="3"/>
  <c r="BI114" i="3"/>
  <c r="BJ114" i="3"/>
  <c r="BK114" i="3"/>
  <c r="BA114" i="3" s="1"/>
  <c r="AZ114" i="3" s="1"/>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L115" i="3" s="1"/>
  <c r="AZ115" i="3" s="1"/>
  <c r="BB116" i="3"/>
  <c r="BC116" i="3"/>
  <c r="BD116" i="3"/>
  <c r="BE116" i="3"/>
  <c r="BF116" i="3"/>
  <c r="BG116" i="3"/>
  <c r="BH116" i="3"/>
  <c r="BI116" i="3"/>
  <c r="BJ116" i="3"/>
  <c r="BK116" i="3"/>
  <c r="BA116" i="3"/>
  <c r="BM116" i="3"/>
  <c r="BN116" i="3"/>
  <c r="BO116" i="3"/>
  <c r="BP116" i="3"/>
  <c r="BQ116" i="3"/>
  <c r="BR116" i="3"/>
  <c r="BL116" i="3" s="1"/>
  <c r="AZ116" i="3" s="1"/>
  <c r="BS116" i="3"/>
  <c r="BT116" i="3"/>
  <c r="BB117" i="3"/>
  <c r="BC117" i="3"/>
  <c r="BD117" i="3"/>
  <c r="BE117" i="3"/>
  <c r="BF117" i="3"/>
  <c r="BG117" i="3"/>
  <c r="BH117" i="3"/>
  <c r="BI117" i="3"/>
  <c r="BJ117" i="3"/>
  <c r="BK117" i="3"/>
  <c r="BA117" i="3" s="1"/>
  <c r="BM117" i="3"/>
  <c r="BN117" i="3"/>
  <c r="BO117" i="3"/>
  <c r="BP117" i="3"/>
  <c r="BQ117" i="3"/>
  <c r="BR117" i="3"/>
  <c r="BS117" i="3"/>
  <c r="BT117" i="3"/>
  <c r="BL117" i="3" s="1"/>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L119" i="3" s="1"/>
  <c r="AZ119" i="3" s="1"/>
  <c r="BQ119" i="3"/>
  <c r="BR119" i="3"/>
  <c r="BS119" i="3"/>
  <c r="BT119" i="3"/>
  <c r="BB120" i="3"/>
  <c r="BC120" i="3"/>
  <c r="BD120" i="3"/>
  <c r="BE120" i="3"/>
  <c r="BF120" i="3"/>
  <c r="BG120" i="3"/>
  <c r="BH120" i="3"/>
  <c r="BI120" i="3"/>
  <c r="BJ120" i="3"/>
  <c r="BK120" i="3"/>
  <c r="BA120" i="3"/>
  <c r="BM120" i="3"/>
  <c r="BN120" i="3"/>
  <c r="BO120" i="3"/>
  <c r="BP120" i="3"/>
  <c r="BQ120" i="3"/>
  <c r="BR120" i="3"/>
  <c r="BL120" i="3" s="1"/>
  <c r="AZ120" i="3" s="1"/>
  <c r="BS120" i="3"/>
  <c r="BT120" i="3"/>
  <c r="BB121" i="3"/>
  <c r="BC121" i="3"/>
  <c r="BD121" i="3"/>
  <c r="BE121" i="3"/>
  <c r="BF121" i="3"/>
  <c r="BG121" i="3"/>
  <c r="BH121" i="3"/>
  <c r="BI121" i="3"/>
  <c r="BA121" i="3" s="1"/>
  <c r="AZ121" i="3" s="1"/>
  <c r="BJ121" i="3"/>
  <c r="BK121" i="3"/>
  <c r="BM121" i="3"/>
  <c r="BN121" i="3"/>
  <c r="BO121" i="3"/>
  <c r="BP121" i="3"/>
  <c r="BQ121" i="3"/>
  <c r="BR121" i="3"/>
  <c r="BS121" i="3"/>
  <c r="BT121" i="3"/>
  <c r="BL121" i="3"/>
  <c r="BB122" i="3"/>
  <c r="BC122" i="3"/>
  <c r="BD122" i="3"/>
  <c r="BE122" i="3"/>
  <c r="BF122" i="3"/>
  <c r="BG122" i="3"/>
  <c r="BH122" i="3"/>
  <c r="BI122" i="3"/>
  <c r="BA122" i="3" s="1"/>
  <c r="AZ122" i="3" s="1"/>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s="1"/>
  <c r="AZ123" i="3" s="1"/>
  <c r="BO123" i="3"/>
  <c r="BP123" i="3"/>
  <c r="BQ123" i="3"/>
  <c r="BR123" i="3"/>
  <c r="BS123" i="3"/>
  <c r="BT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s="1"/>
  <c r="AZ125" i="3" s="1"/>
  <c r="BO125" i="3"/>
  <c r="BP125" i="3"/>
  <c r="BQ125" i="3"/>
  <c r="BR125" i="3"/>
  <c r="BS125" i="3"/>
  <c r="BT125" i="3"/>
  <c r="BB126" i="3"/>
  <c r="BC126" i="3"/>
  <c r="BD126" i="3"/>
  <c r="BE126" i="3"/>
  <c r="BF126" i="3"/>
  <c r="BG126" i="3"/>
  <c r="BA126" i="3" s="1"/>
  <c r="AZ126" i="3" s="1"/>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L127" i="3" s="1"/>
  <c r="AZ127" i="3" s="1"/>
  <c r="BQ127" i="3"/>
  <c r="BR127" i="3"/>
  <c r="BS127" i="3"/>
  <c r="BT127" i="3"/>
  <c r="BB128" i="3"/>
  <c r="BC128" i="3"/>
  <c r="BD128" i="3"/>
  <c r="BE128" i="3"/>
  <c r="BF128" i="3"/>
  <c r="BG128" i="3"/>
  <c r="BH128" i="3"/>
  <c r="BI128" i="3"/>
  <c r="BJ128" i="3"/>
  <c r="BK128" i="3"/>
  <c r="BA128" i="3" s="1"/>
  <c r="AZ128" i="3" s="1"/>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L129" i="3" s="1"/>
  <c r="AZ129" i="3" s="1"/>
  <c r="BS129" i="3"/>
  <c r="BT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L131" i="3" s="1"/>
  <c r="AZ131" i="3" s="1"/>
  <c r="BS131" i="3"/>
  <c r="BT131" i="3"/>
  <c r="BB132" i="3"/>
  <c r="BC132" i="3"/>
  <c r="BD132" i="3"/>
  <c r="BE132" i="3"/>
  <c r="BF132" i="3"/>
  <c r="BG132" i="3"/>
  <c r="BH132" i="3"/>
  <c r="BI132" i="3"/>
  <c r="BJ132" i="3"/>
  <c r="BK132" i="3"/>
  <c r="BA132" i="3" s="1"/>
  <c r="AZ132" i="3" s="1"/>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L133" i="3" s="1"/>
  <c r="AZ133" i="3" s="1"/>
  <c r="BQ133" i="3"/>
  <c r="BR133" i="3"/>
  <c r="BS133" i="3"/>
  <c r="BT133" i="3"/>
  <c r="BB134" i="3"/>
  <c r="BC134" i="3"/>
  <c r="BD134" i="3"/>
  <c r="BE134" i="3"/>
  <c r="BF134" i="3"/>
  <c r="BG134" i="3"/>
  <c r="BA134" i="3" s="1"/>
  <c r="AZ134" i="3" s="1"/>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L135" i="3" s="1"/>
  <c r="AZ135" i="3" s="1"/>
  <c r="BO135" i="3"/>
  <c r="BP135" i="3"/>
  <c r="BQ135" i="3"/>
  <c r="BR135" i="3"/>
  <c r="BS135" i="3"/>
  <c r="BT135" i="3"/>
  <c r="BB136" i="3"/>
  <c r="BC136" i="3"/>
  <c r="BD136" i="3"/>
  <c r="BE136" i="3"/>
  <c r="BF136" i="3"/>
  <c r="BG136" i="3"/>
  <c r="BA136" i="3" s="1"/>
  <c r="AZ136" i="3" s="1"/>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L137" i="3" s="1"/>
  <c r="AZ137" i="3" s="1"/>
  <c r="BS137" i="3"/>
  <c r="BT137" i="3"/>
  <c r="BB138" i="3"/>
  <c r="BC138" i="3"/>
  <c r="BD138" i="3"/>
  <c r="BE138" i="3"/>
  <c r="BF138" i="3"/>
  <c r="BG138" i="3"/>
  <c r="BH138" i="3"/>
  <c r="BI138" i="3"/>
  <c r="BJ138" i="3"/>
  <c r="BK138" i="3"/>
  <c r="BA138" i="3" s="1"/>
  <c r="BM138" i="3"/>
  <c r="BN138" i="3"/>
  <c r="BO138" i="3"/>
  <c r="BP138" i="3"/>
  <c r="BQ138" i="3"/>
  <c r="BR138" i="3"/>
  <c r="BS138" i="3"/>
  <c r="BT138" i="3"/>
  <c r="BL138" i="3" s="1"/>
  <c r="BB139" i="3"/>
  <c r="BC139" i="3"/>
  <c r="BD139" i="3"/>
  <c r="BE139" i="3"/>
  <c r="BF139" i="3"/>
  <c r="BG139" i="3"/>
  <c r="BH139" i="3"/>
  <c r="BI139" i="3"/>
  <c r="BJ139" i="3"/>
  <c r="BK139" i="3"/>
  <c r="BA139" i="3"/>
  <c r="BM139" i="3"/>
  <c r="BN139" i="3"/>
  <c r="BO139" i="3"/>
  <c r="BP139" i="3"/>
  <c r="BQ139" i="3"/>
  <c r="BR139" i="3"/>
  <c r="BS139" i="3"/>
  <c r="BT139" i="3"/>
  <c r="BL139" i="3" s="1"/>
  <c r="AZ139" i="3" s="1"/>
  <c r="BB140" i="3"/>
  <c r="BC140" i="3"/>
  <c r="BD140" i="3"/>
  <c r="BE140" i="3"/>
  <c r="BF140" i="3"/>
  <c r="BG140" i="3"/>
  <c r="BH140" i="3"/>
  <c r="BI140" i="3"/>
  <c r="BJ140" i="3"/>
  <c r="BK140" i="3"/>
  <c r="BA140" i="3"/>
  <c r="BM140" i="3"/>
  <c r="BN140" i="3"/>
  <c r="BO140" i="3"/>
  <c r="BP140" i="3"/>
  <c r="BQ140" i="3"/>
  <c r="BR140" i="3"/>
  <c r="BS140" i="3"/>
  <c r="BT140" i="3"/>
  <c r="BL140" i="3"/>
  <c r="AZ140" i="3" s="1"/>
  <c r="BB141" i="3"/>
  <c r="BC141" i="3"/>
  <c r="BD141" i="3"/>
  <c r="BE141" i="3"/>
  <c r="BF141" i="3"/>
  <c r="BG141" i="3"/>
  <c r="BH141" i="3"/>
  <c r="BI141" i="3"/>
  <c r="BJ141" i="3"/>
  <c r="BK141" i="3"/>
  <c r="BA141" i="3"/>
  <c r="BM141" i="3"/>
  <c r="BN141" i="3"/>
  <c r="BO141" i="3"/>
  <c r="BP141" i="3"/>
  <c r="BL141" i="3" s="1"/>
  <c r="AZ141" i="3" s="1"/>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L142" i="3" s="1"/>
  <c r="AZ142" i="3" s="1"/>
  <c r="BB143" i="3"/>
  <c r="BC143" i="3"/>
  <c r="BD143" i="3"/>
  <c r="BE143" i="3"/>
  <c r="BF143" i="3"/>
  <c r="BG143" i="3"/>
  <c r="BH143" i="3"/>
  <c r="BI143" i="3"/>
  <c r="BJ143" i="3"/>
  <c r="BK143" i="3"/>
  <c r="BA143" i="3" s="1"/>
  <c r="BM143" i="3"/>
  <c r="BN143" i="3"/>
  <c r="BO143" i="3"/>
  <c r="BP143" i="3"/>
  <c r="BQ143" i="3"/>
  <c r="BR143" i="3"/>
  <c r="BS143" i="3"/>
  <c r="BT143" i="3"/>
  <c r="BL143" i="3" s="1"/>
  <c r="BB144" i="3"/>
  <c r="BC144" i="3"/>
  <c r="BD144" i="3"/>
  <c r="BE144" i="3"/>
  <c r="BF144" i="3"/>
  <c r="BG144" i="3"/>
  <c r="BH144" i="3"/>
  <c r="BI144" i="3"/>
  <c r="BJ144" i="3"/>
  <c r="BK144" i="3"/>
  <c r="BA144" i="3" s="1"/>
  <c r="AZ144" i="3" s="1"/>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L145" i="3" s="1"/>
  <c r="AZ145" i="3" s="1"/>
  <c r="BS145" i="3"/>
  <c r="BT145" i="3"/>
  <c r="BB146" i="3"/>
  <c r="BC146" i="3"/>
  <c r="BD146" i="3"/>
  <c r="BE146" i="3"/>
  <c r="BF146" i="3"/>
  <c r="BG146" i="3"/>
  <c r="BH146" i="3"/>
  <c r="BI146" i="3"/>
  <c r="BJ146" i="3"/>
  <c r="BK146" i="3"/>
  <c r="BA146" i="3"/>
  <c r="BM146" i="3"/>
  <c r="BN146" i="3"/>
  <c r="BO146" i="3"/>
  <c r="BP146" i="3"/>
  <c r="BQ146" i="3"/>
  <c r="BR146" i="3"/>
  <c r="BS146" i="3"/>
  <c r="BT146" i="3"/>
  <c r="BL146" i="3" s="1"/>
  <c r="AZ146" i="3" s="1"/>
  <c r="BB147" i="3"/>
  <c r="BC147" i="3"/>
  <c r="BD147" i="3"/>
  <c r="BE147" i="3"/>
  <c r="BF147" i="3"/>
  <c r="BG147" i="3"/>
  <c r="BH147" i="3"/>
  <c r="BI147" i="3"/>
  <c r="BJ147" i="3"/>
  <c r="BK147" i="3"/>
  <c r="BA147" i="3"/>
  <c r="BM147" i="3"/>
  <c r="BN147" i="3"/>
  <c r="BO147" i="3"/>
  <c r="BP147" i="3"/>
  <c r="BQ147" i="3"/>
  <c r="BR147" i="3"/>
  <c r="BS147" i="3"/>
  <c r="BT147" i="3"/>
  <c r="BL147" i="3" s="1"/>
  <c r="AZ147" i="3" s="1"/>
  <c r="BB148" i="3"/>
  <c r="BC148" i="3"/>
  <c r="BD148" i="3"/>
  <c r="BE148" i="3"/>
  <c r="BF148" i="3"/>
  <c r="BG148" i="3"/>
  <c r="BH148" i="3"/>
  <c r="BI148" i="3"/>
  <c r="BJ148" i="3"/>
  <c r="BK148" i="3"/>
  <c r="BA148" i="3"/>
  <c r="BM148" i="3"/>
  <c r="BN148" i="3"/>
  <c r="BO148" i="3"/>
  <c r="BP148" i="3"/>
  <c r="BQ148" i="3"/>
  <c r="BR148" i="3"/>
  <c r="BL148" i="3" s="1"/>
  <c r="AZ148" i="3" s="1"/>
  <c r="BS148" i="3"/>
  <c r="BT148" i="3"/>
  <c r="BB149" i="3"/>
  <c r="BC149" i="3"/>
  <c r="BD149" i="3"/>
  <c r="BE149" i="3"/>
  <c r="BF149" i="3"/>
  <c r="BG149" i="3"/>
  <c r="BH149" i="3"/>
  <c r="BI149" i="3"/>
  <c r="BJ149" i="3"/>
  <c r="BK149" i="3"/>
  <c r="BA149" i="3"/>
  <c r="BM149" i="3"/>
  <c r="BN149" i="3"/>
  <c r="BO149" i="3"/>
  <c r="BP149" i="3"/>
  <c r="BQ149" i="3"/>
  <c r="BR149" i="3"/>
  <c r="BL149" i="3" s="1"/>
  <c r="AZ149" i="3" s="1"/>
  <c r="BS149" i="3"/>
  <c r="BT149" i="3"/>
  <c r="BB150" i="3"/>
  <c r="BC150" i="3"/>
  <c r="BD150" i="3"/>
  <c r="BE150" i="3"/>
  <c r="BF150" i="3"/>
  <c r="BG150" i="3"/>
  <c r="BH150" i="3"/>
  <c r="BI150" i="3"/>
  <c r="BJ150" i="3"/>
  <c r="BK150" i="3"/>
  <c r="BA150" i="3" s="1"/>
  <c r="BM150" i="3"/>
  <c r="BN150" i="3"/>
  <c r="BO150" i="3"/>
  <c r="BP150" i="3"/>
  <c r="BQ150" i="3"/>
  <c r="BR150" i="3"/>
  <c r="BS150" i="3"/>
  <c r="BT150" i="3"/>
  <c r="BL150" i="3" s="1"/>
  <c r="BB151" i="3"/>
  <c r="BC151" i="3"/>
  <c r="BD151" i="3"/>
  <c r="BE151" i="3"/>
  <c r="BF151" i="3"/>
  <c r="BG151" i="3"/>
  <c r="BH151" i="3"/>
  <c r="BI151" i="3"/>
  <c r="BJ151" i="3"/>
  <c r="BK151" i="3"/>
  <c r="BA151" i="3"/>
  <c r="BM151" i="3"/>
  <c r="BN151" i="3"/>
  <c r="BO151" i="3"/>
  <c r="BP151" i="3"/>
  <c r="BQ151" i="3"/>
  <c r="BR151" i="3"/>
  <c r="BS151" i="3"/>
  <c r="BT151" i="3"/>
  <c r="BL151" i="3" s="1"/>
  <c r="AZ151" i="3" s="1"/>
  <c r="BB152" i="3"/>
  <c r="BC152" i="3"/>
  <c r="BD152" i="3"/>
  <c r="BE152" i="3"/>
  <c r="BF152" i="3"/>
  <c r="BG152" i="3"/>
  <c r="BH152" i="3"/>
  <c r="BI152" i="3"/>
  <c r="BJ152" i="3"/>
  <c r="BK152" i="3"/>
  <c r="BA152" i="3" s="1"/>
  <c r="AZ152" i="3" s="1"/>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L153" i="3" s="1"/>
  <c r="AZ153" i="3" s="1"/>
  <c r="BB154" i="3"/>
  <c r="BC154" i="3"/>
  <c r="BD154" i="3"/>
  <c r="BE154" i="3"/>
  <c r="BF154" i="3"/>
  <c r="BG154" i="3"/>
  <c r="BH154" i="3"/>
  <c r="BI154" i="3"/>
  <c r="BJ154" i="3"/>
  <c r="BK154" i="3"/>
  <c r="BA154" i="3" s="1"/>
  <c r="AZ154" i="3" s="1"/>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L155" i="3" s="1"/>
  <c r="AZ155" i="3" s="1"/>
  <c r="BB156" i="3"/>
  <c r="BC156" i="3"/>
  <c r="BD156" i="3"/>
  <c r="BE156" i="3"/>
  <c r="BF156" i="3"/>
  <c r="BG156" i="3"/>
  <c r="BH156" i="3"/>
  <c r="BI156" i="3"/>
  <c r="BJ156" i="3"/>
  <c r="BK156" i="3"/>
  <c r="BA156" i="3"/>
  <c r="BM156" i="3"/>
  <c r="BN156" i="3"/>
  <c r="BO156" i="3"/>
  <c r="BP156" i="3"/>
  <c r="BL156" i="3" s="1"/>
  <c r="AZ156" i="3" s="1"/>
  <c r="BQ156" i="3"/>
  <c r="BR156" i="3"/>
  <c r="BS156" i="3"/>
  <c r="BT156" i="3"/>
  <c r="BB157" i="3"/>
  <c r="BC157" i="3"/>
  <c r="BD157" i="3"/>
  <c r="BE157" i="3"/>
  <c r="BF157" i="3"/>
  <c r="BG157" i="3"/>
  <c r="BH157" i="3"/>
  <c r="BI157" i="3"/>
  <c r="BJ157" i="3"/>
  <c r="BK157" i="3"/>
  <c r="BA157" i="3" s="1"/>
  <c r="BM157" i="3"/>
  <c r="BN157" i="3"/>
  <c r="BO157" i="3"/>
  <c r="BP157" i="3"/>
  <c r="BQ157" i="3"/>
  <c r="BR157" i="3"/>
  <c r="BL157" i="3" s="1"/>
  <c r="BS157" i="3"/>
  <c r="BT157" i="3"/>
  <c r="BB158" i="3"/>
  <c r="BC158" i="3"/>
  <c r="BD158" i="3"/>
  <c r="BE158" i="3"/>
  <c r="BF158" i="3"/>
  <c r="BG158" i="3"/>
  <c r="BH158" i="3"/>
  <c r="BI158" i="3"/>
  <c r="BA158" i="3" s="1"/>
  <c r="AZ158" i="3" s="1"/>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D160" i="3"/>
  <c r="BE160" i="3"/>
  <c r="BF160" i="3"/>
  <c r="BG160" i="3"/>
  <c r="BA160" i="3" s="1"/>
  <c r="AZ160" i="3" s="1"/>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D162" i="3"/>
  <c r="BE162" i="3"/>
  <c r="BF162" i="3"/>
  <c r="BG162" i="3"/>
  <c r="BH162" i="3"/>
  <c r="BI162" i="3"/>
  <c r="BJ162" i="3"/>
  <c r="BK162" i="3"/>
  <c r="BA162" i="3" s="1"/>
  <c r="AZ162" i="3" s="1"/>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L163" i="3" s="1"/>
  <c r="AZ163" i="3" s="1"/>
  <c r="BQ163" i="3"/>
  <c r="BR163" i="3"/>
  <c r="BS163" i="3"/>
  <c r="BT163" i="3"/>
  <c r="BB164" i="3"/>
  <c r="BC164" i="3"/>
  <c r="BD164" i="3"/>
  <c r="BE164" i="3"/>
  <c r="BF164" i="3"/>
  <c r="BG164" i="3"/>
  <c r="BH164" i="3"/>
  <c r="BI164" i="3"/>
  <c r="BA164" i="3" s="1"/>
  <c r="AZ164" i="3" s="1"/>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L165" i="3" s="1"/>
  <c r="AZ165" i="3" s="1"/>
  <c r="BS165" i="3"/>
  <c r="BT165" i="3"/>
  <c r="BB166" i="3"/>
  <c r="BC166" i="3"/>
  <c r="BD166" i="3"/>
  <c r="BE166" i="3"/>
  <c r="BF166" i="3"/>
  <c r="BG166" i="3"/>
  <c r="BH166" i="3"/>
  <c r="BI166" i="3"/>
  <c r="BJ166" i="3"/>
  <c r="BK166" i="3"/>
  <c r="BA166" i="3"/>
  <c r="BM166" i="3"/>
  <c r="BN166" i="3"/>
  <c r="BO166" i="3"/>
  <c r="BP166" i="3"/>
  <c r="BQ166" i="3"/>
  <c r="BR166" i="3"/>
  <c r="BS166" i="3"/>
  <c r="BT166" i="3"/>
  <c r="BL166" i="3" s="1"/>
  <c r="AZ166" i="3" s="1"/>
  <c r="BB167" i="3"/>
  <c r="BC167" i="3"/>
  <c r="BD167" i="3"/>
  <c r="BE167" i="3"/>
  <c r="BF167" i="3"/>
  <c r="BG167" i="3"/>
  <c r="BH167" i="3"/>
  <c r="BI167" i="3"/>
  <c r="BJ167" i="3"/>
  <c r="BK167" i="3"/>
  <c r="BA167" i="3"/>
  <c r="BM167" i="3"/>
  <c r="BN167" i="3"/>
  <c r="BO167" i="3"/>
  <c r="BP167" i="3"/>
  <c r="BQ167" i="3"/>
  <c r="BR167" i="3"/>
  <c r="BS167" i="3"/>
  <c r="BT167" i="3"/>
  <c r="BL167" i="3"/>
  <c r="AZ167" i="3" s="1"/>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s="1"/>
  <c r="AZ169" i="3" s="1"/>
  <c r="BB170" i="3"/>
  <c r="BC170" i="3"/>
  <c r="BD170" i="3"/>
  <c r="BE170" i="3"/>
  <c r="BF170" i="3"/>
  <c r="BG170" i="3"/>
  <c r="BH170" i="3"/>
  <c r="BI170" i="3"/>
  <c r="BJ170" i="3"/>
  <c r="BK170" i="3"/>
  <c r="BA170" i="3"/>
  <c r="BM170" i="3"/>
  <c r="BN170" i="3"/>
  <c r="BO170" i="3"/>
  <c r="BP170" i="3"/>
  <c r="BL170" i="3" s="1"/>
  <c r="AZ170" i="3" s="1"/>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L171" i="3" s="1"/>
  <c r="AZ171" i="3" s="1"/>
  <c r="BB172" i="3"/>
  <c r="BC172" i="3"/>
  <c r="BD172" i="3"/>
  <c r="BE172" i="3"/>
  <c r="BF172" i="3"/>
  <c r="BG172" i="3"/>
  <c r="BH172" i="3"/>
  <c r="BI172" i="3"/>
  <c r="BJ172" i="3"/>
  <c r="BK172" i="3"/>
  <c r="BA172" i="3"/>
  <c r="BM172" i="3"/>
  <c r="BN172" i="3"/>
  <c r="BO172" i="3"/>
  <c r="BP172" i="3"/>
  <c r="BL172" i="3" s="1"/>
  <c r="AZ172" i="3" s="1"/>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L173" i="3" s="1"/>
  <c r="AZ173" i="3" s="1"/>
  <c r="BB174" i="3"/>
  <c r="BC174" i="3"/>
  <c r="BD174" i="3"/>
  <c r="BE174" i="3"/>
  <c r="BF174" i="3"/>
  <c r="BG174" i="3"/>
  <c r="BH174" i="3"/>
  <c r="BI174" i="3"/>
  <c r="BJ174" i="3"/>
  <c r="BK174" i="3"/>
  <c r="BA174" i="3" s="1"/>
  <c r="AZ174" i="3" s="1"/>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L175" i="3" s="1"/>
  <c r="AZ175" i="3" s="1"/>
  <c r="BB176" i="3"/>
  <c r="BC176" i="3"/>
  <c r="BD176" i="3"/>
  <c r="BE176" i="3"/>
  <c r="BF176" i="3"/>
  <c r="BG176" i="3"/>
  <c r="BH176" i="3"/>
  <c r="BI176" i="3"/>
  <c r="BJ176" i="3"/>
  <c r="BK176" i="3"/>
  <c r="BA176" i="3"/>
  <c r="BM176" i="3"/>
  <c r="BN176" i="3"/>
  <c r="BO176" i="3"/>
  <c r="BP176" i="3"/>
  <c r="BL176" i="3" s="1"/>
  <c r="AZ176" i="3" s="1"/>
  <c r="BQ176" i="3"/>
  <c r="BR176" i="3"/>
  <c r="BS176" i="3"/>
  <c r="BT176" i="3"/>
  <c r="BB177" i="3"/>
  <c r="BC177" i="3"/>
  <c r="BD177" i="3"/>
  <c r="BE177" i="3"/>
  <c r="BF177" i="3"/>
  <c r="BG177" i="3"/>
  <c r="BH177" i="3"/>
  <c r="BI177" i="3"/>
  <c r="BA177" i="3" s="1"/>
  <c r="AZ177" i="3" s="1"/>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L178" i="3" s="1"/>
  <c r="AZ178" i="3" s="1"/>
  <c r="BS178" i="3"/>
  <c r="BT178" i="3"/>
  <c r="BB179" i="3"/>
  <c r="BC179" i="3"/>
  <c r="BD179" i="3"/>
  <c r="BE179" i="3"/>
  <c r="BF179" i="3"/>
  <c r="BG179" i="3"/>
  <c r="BH179" i="3"/>
  <c r="BI179" i="3"/>
  <c r="BJ179" i="3"/>
  <c r="BK179" i="3"/>
  <c r="BA179" i="3" s="1"/>
  <c r="AZ179" i="3" s="1"/>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L180" i="3" s="1"/>
  <c r="AZ180" i="3" s="1"/>
  <c r="BQ180" i="3"/>
  <c r="BR180" i="3"/>
  <c r="BS180" i="3"/>
  <c r="BT180" i="3"/>
  <c r="BB181" i="3"/>
  <c r="BC181" i="3"/>
  <c r="BD181" i="3"/>
  <c r="BE181" i="3"/>
  <c r="BA181" i="3" s="1"/>
  <c r="AZ181" i="3" s="1"/>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D183" i="3"/>
  <c r="BE183" i="3"/>
  <c r="BA183" i="3" s="1"/>
  <c r="AZ183" i="3" s="1"/>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L184" i="3" s="1"/>
  <c r="AZ184" i="3" s="1"/>
  <c r="BS184" i="3"/>
  <c r="BT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s="1"/>
  <c r="AZ186" i="3" s="1"/>
  <c r="BB187" i="3"/>
  <c r="BC187" i="3"/>
  <c r="BD187" i="3"/>
  <c r="BE187" i="3"/>
  <c r="BF187" i="3"/>
  <c r="BG187" i="3"/>
  <c r="BH187" i="3"/>
  <c r="BI187" i="3"/>
  <c r="BJ187" i="3"/>
  <c r="BK187" i="3"/>
  <c r="BA187" i="3"/>
  <c r="BM187" i="3"/>
  <c r="BN187" i="3"/>
  <c r="BO187" i="3"/>
  <c r="BP187" i="3"/>
  <c r="BQ187" i="3"/>
  <c r="BR187" i="3"/>
  <c r="BS187" i="3"/>
  <c r="BT187" i="3"/>
  <c r="BL187" i="3" s="1"/>
  <c r="AZ187" i="3" s="1"/>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s="1"/>
  <c r="AZ189" i="3" s="1"/>
  <c r="BB190" i="3"/>
  <c r="BC190" i="3"/>
  <c r="BD190" i="3"/>
  <c r="BE190" i="3"/>
  <c r="BF190" i="3"/>
  <c r="BG190" i="3"/>
  <c r="BH190" i="3"/>
  <c r="BI190" i="3"/>
  <c r="BJ190" i="3"/>
  <c r="BK190" i="3"/>
  <c r="BA190" i="3"/>
  <c r="BM190" i="3"/>
  <c r="BN190" i="3"/>
  <c r="BO190" i="3"/>
  <c r="BP190" i="3"/>
  <c r="BQ190" i="3"/>
  <c r="BR190" i="3"/>
  <c r="BL190" i="3" s="1"/>
  <c r="AZ190" i="3" s="1"/>
  <c r="BS190" i="3"/>
  <c r="BT190" i="3"/>
  <c r="BB191" i="3"/>
  <c r="BC191" i="3"/>
  <c r="BD191" i="3"/>
  <c r="BE191" i="3"/>
  <c r="BF191" i="3"/>
  <c r="BG191" i="3"/>
  <c r="BH191" i="3"/>
  <c r="BI191" i="3"/>
  <c r="BJ191" i="3"/>
  <c r="BK191" i="3"/>
  <c r="BA191" i="3" s="1"/>
  <c r="AZ191" i="3" s="1"/>
  <c r="BM191" i="3"/>
  <c r="BN191" i="3"/>
  <c r="BO191" i="3"/>
  <c r="BP191" i="3"/>
  <c r="BQ191" i="3"/>
  <c r="BR191" i="3"/>
  <c r="BS191" i="3"/>
  <c r="BT191" i="3"/>
  <c r="BL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D232" i="3"/>
  <c r="BE232" i="3"/>
  <c r="BF232" i="3"/>
  <c r="BG232" i="3"/>
  <c r="BA232" i="3" s="1"/>
  <c r="AZ232" i="3" s="1"/>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D234" i="3"/>
  <c r="BE234" i="3"/>
  <c r="BF234" i="3"/>
  <c r="BG234" i="3"/>
  <c r="BH234" i="3"/>
  <c r="BI234" i="3"/>
  <c r="BA234" i="3" s="1"/>
  <c r="AZ234" i="3" s="1"/>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O235" i="3"/>
  <c r="BP235" i="3"/>
  <c r="BQ235" i="3"/>
  <c r="BR235" i="3"/>
  <c r="BL235" i="3" s="1"/>
  <c r="AZ235" i="3" s="1"/>
  <c r="BS235" i="3"/>
  <c r="BT235" i="3"/>
  <c r="BB236" i="3"/>
  <c r="BC236" i="3"/>
  <c r="BD236" i="3"/>
  <c r="BE236" i="3"/>
  <c r="BF236" i="3"/>
  <c r="BG236" i="3"/>
  <c r="BH236" i="3"/>
  <c r="BI236" i="3"/>
  <c r="BJ236" i="3"/>
  <c r="BK236" i="3"/>
  <c r="BA236" i="3" s="1"/>
  <c r="AZ236" i="3" s="1"/>
  <c r="BM236" i="3"/>
  <c r="BN236" i="3"/>
  <c r="BO236" i="3"/>
  <c r="BP236" i="3"/>
  <c r="BQ236" i="3"/>
  <c r="BR236" i="3"/>
  <c r="BS236" i="3"/>
  <c r="BT236" i="3"/>
  <c r="BL236" i="3"/>
  <c r="BB237" i="3"/>
  <c r="BC237" i="3"/>
  <c r="BD237" i="3"/>
  <c r="BE237" i="3"/>
  <c r="BF237" i="3"/>
  <c r="BG237" i="3"/>
  <c r="BH237" i="3"/>
  <c r="BI237" i="3"/>
  <c r="BJ237" i="3"/>
  <c r="BK237" i="3"/>
  <c r="BA237" i="3"/>
  <c r="BM237" i="3"/>
  <c r="BN237" i="3"/>
  <c r="BO237" i="3"/>
  <c r="BP237" i="3"/>
  <c r="BQ237" i="3"/>
  <c r="BR237" i="3"/>
  <c r="BL237" i="3" s="1"/>
  <c r="AZ237" i="3" s="1"/>
  <c r="BS237" i="3"/>
  <c r="BT237" i="3"/>
  <c r="BB238" i="3"/>
  <c r="BC238" i="3"/>
  <c r="BD238" i="3"/>
  <c r="BE238" i="3"/>
  <c r="BF238" i="3"/>
  <c r="BG238" i="3"/>
  <c r="BH238" i="3"/>
  <c r="BI238" i="3"/>
  <c r="BJ238" i="3"/>
  <c r="BK238" i="3"/>
  <c r="BA238" i="3"/>
  <c r="BM238" i="3"/>
  <c r="BN238" i="3"/>
  <c r="BO238" i="3"/>
  <c r="BP238" i="3"/>
  <c r="BQ238" i="3"/>
  <c r="BR238" i="3"/>
  <c r="BS238" i="3"/>
  <c r="BT238" i="3"/>
  <c r="BL238" i="3"/>
  <c r="AZ238" i="3" s="1"/>
  <c r="BB239" i="3"/>
  <c r="BC239" i="3"/>
  <c r="BD239" i="3"/>
  <c r="BE239" i="3"/>
  <c r="BF239" i="3"/>
  <c r="BG239" i="3"/>
  <c r="BH239" i="3"/>
  <c r="BI239" i="3"/>
  <c r="BJ239" i="3"/>
  <c r="BK239" i="3"/>
  <c r="BA239" i="3"/>
  <c r="BM239" i="3"/>
  <c r="BN239" i="3"/>
  <c r="BO239" i="3"/>
  <c r="BP239" i="3"/>
  <c r="BQ239" i="3"/>
  <c r="BR239" i="3"/>
  <c r="BL239" i="3" s="1"/>
  <c r="AZ239" i="3" s="1"/>
  <c r="BS239" i="3"/>
  <c r="BT239" i="3"/>
  <c r="BB240" i="3"/>
  <c r="BC240" i="3"/>
  <c r="BD240" i="3"/>
  <c r="BE240" i="3"/>
  <c r="BF240" i="3"/>
  <c r="BG240" i="3"/>
  <c r="BH240" i="3"/>
  <c r="BI240" i="3"/>
  <c r="BJ240" i="3"/>
  <c r="BK240" i="3"/>
  <c r="BA240" i="3" s="1"/>
  <c r="AZ240" i="3" s="1"/>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D242" i="3"/>
  <c r="BE242" i="3"/>
  <c r="BF242" i="3"/>
  <c r="BG242" i="3"/>
  <c r="BA242" i="3" s="1"/>
  <c r="AZ242" i="3" s="1"/>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D244" i="3"/>
  <c r="BE244" i="3"/>
  <c r="BF244" i="3"/>
  <c r="BG244" i="3"/>
  <c r="BA244" i="3" s="1"/>
  <c r="AZ244" i="3" s="1"/>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L245" i="3" s="1"/>
  <c r="AZ245" i="3" s="1"/>
  <c r="BQ245" i="3"/>
  <c r="BR245" i="3"/>
  <c r="BS245" i="3"/>
  <c r="BT245" i="3"/>
  <c r="BB246" i="3"/>
  <c r="BC246" i="3"/>
  <c r="BD246" i="3"/>
  <c r="BE246" i="3"/>
  <c r="BF246" i="3"/>
  <c r="BG246" i="3"/>
  <c r="BH246" i="3"/>
  <c r="BI246" i="3"/>
  <c r="BJ246" i="3"/>
  <c r="BK246" i="3"/>
  <c r="BA246" i="3"/>
  <c r="BM246" i="3"/>
  <c r="BN246" i="3"/>
  <c r="BO246" i="3"/>
  <c r="BP246" i="3"/>
  <c r="BQ246" i="3"/>
  <c r="BR246" i="3"/>
  <c r="BS246" i="3"/>
  <c r="BT246" i="3"/>
  <c r="BL246" i="3" s="1"/>
  <c r="AZ246" i="3" s="1"/>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D248" i="3"/>
  <c r="BE248" i="3"/>
  <c r="BF248" i="3"/>
  <c r="BG248" i="3"/>
  <c r="BH248" i="3"/>
  <c r="BI248" i="3"/>
  <c r="BJ248" i="3"/>
  <c r="BK248" i="3"/>
  <c r="BA248" i="3"/>
  <c r="BM248" i="3"/>
  <c r="BN248" i="3"/>
  <c r="BO248" i="3"/>
  <c r="BP248" i="3"/>
  <c r="BQ248" i="3"/>
  <c r="BR248" i="3"/>
  <c r="BL248" i="3" s="1"/>
  <c r="AZ248" i="3" s="1"/>
  <c r="BS248" i="3"/>
  <c r="BT248" i="3"/>
  <c r="BB249" i="3"/>
  <c r="BC249" i="3"/>
  <c r="BD249" i="3"/>
  <c r="BE249" i="3"/>
  <c r="BF249" i="3"/>
  <c r="BG249" i="3"/>
  <c r="BH249" i="3"/>
  <c r="BI249" i="3"/>
  <c r="BJ249" i="3"/>
  <c r="BK249" i="3"/>
  <c r="BA249" i="3"/>
  <c r="BM249" i="3"/>
  <c r="BN249" i="3"/>
  <c r="BO249" i="3"/>
  <c r="BP249" i="3"/>
  <c r="BQ249" i="3"/>
  <c r="BR249" i="3"/>
  <c r="BL249" i="3" s="1"/>
  <c r="AZ249" i="3" s="1"/>
  <c r="BS249" i="3"/>
  <c r="BT249" i="3"/>
  <c r="BB250" i="3"/>
  <c r="BC250" i="3"/>
  <c r="BD250" i="3"/>
  <c r="BE250" i="3"/>
  <c r="BF250" i="3"/>
  <c r="BG250" i="3"/>
  <c r="BH250" i="3"/>
  <c r="BI250" i="3"/>
  <c r="BJ250" i="3"/>
  <c r="BK250" i="3"/>
  <c r="BA250" i="3"/>
  <c r="BM250" i="3"/>
  <c r="BN250" i="3"/>
  <c r="BO250" i="3"/>
  <c r="BP250" i="3"/>
  <c r="BQ250" i="3"/>
  <c r="BR250" i="3"/>
  <c r="BS250" i="3"/>
  <c r="BT250" i="3"/>
  <c r="BL250" i="3"/>
  <c r="AZ250" i="3" s="1"/>
  <c r="BB251" i="3"/>
  <c r="BC251" i="3"/>
  <c r="BD251" i="3"/>
  <c r="BE251" i="3"/>
  <c r="BF251" i="3"/>
  <c r="BG251" i="3"/>
  <c r="BH251" i="3"/>
  <c r="BI251" i="3"/>
  <c r="BJ251" i="3"/>
  <c r="BK251" i="3"/>
  <c r="BA251" i="3"/>
  <c r="BM251" i="3"/>
  <c r="BN251" i="3"/>
  <c r="BO251" i="3"/>
  <c r="BP251" i="3"/>
  <c r="BQ251" i="3"/>
  <c r="BR251" i="3"/>
  <c r="BS251" i="3"/>
  <c r="BT251" i="3"/>
  <c r="BL251" i="3"/>
  <c r="AZ251" i="3" s="1"/>
  <c r="BB252" i="3"/>
  <c r="BC252" i="3"/>
  <c r="BD252" i="3"/>
  <c r="BE252" i="3"/>
  <c r="BF252" i="3"/>
  <c r="BG252" i="3"/>
  <c r="BH252" i="3"/>
  <c r="BI252" i="3"/>
  <c r="BJ252" i="3"/>
  <c r="BK252" i="3"/>
  <c r="BA252" i="3"/>
  <c r="BM252" i="3"/>
  <c r="BN252" i="3"/>
  <c r="BO252" i="3"/>
  <c r="BP252" i="3"/>
  <c r="BQ252" i="3"/>
  <c r="BR252" i="3"/>
  <c r="BS252" i="3"/>
  <c r="BT252" i="3"/>
  <c r="BL252" i="3"/>
  <c r="AZ252" i="3" s="1"/>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D254" i="3"/>
  <c r="BE254" i="3"/>
  <c r="BF254" i="3"/>
  <c r="BG254" i="3"/>
  <c r="BH254" i="3"/>
  <c r="BI254" i="3"/>
  <c r="BJ254" i="3"/>
  <c r="BK254" i="3"/>
  <c r="BA254" i="3"/>
  <c r="BM254" i="3"/>
  <c r="BN254" i="3"/>
  <c r="BO254" i="3"/>
  <c r="BP254" i="3"/>
  <c r="BQ254" i="3"/>
  <c r="BR254" i="3"/>
  <c r="BS254" i="3"/>
  <c r="BT254" i="3"/>
  <c r="BL254" i="3" s="1"/>
  <c r="AZ254" i="3" s="1"/>
  <c r="BB255" i="3"/>
  <c r="BC255" i="3"/>
  <c r="BD255" i="3"/>
  <c r="BE255" i="3"/>
  <c r="BF255" i="3"/>
  <c r="BG255" i="3"/>
  <c r="BH255" i="3"/>
  <c r="BI255" i="3"/>
  <c r="BJ255" i="3"/>
  <c r="BK255" i="3"/>
  <c r="BA255" i="3"/>
  <c r="BM255" i="3"/>
  <c r="BN255" i="3"/>
  <c r="BO255" i="3"/>
  <c r="BP255" i="3"/>
  <c r="BL255" i="3" s="1"/>
  <c r="AZ255" i="3" s="1"/>
  <c r="BQ255" i="3"/>
  <c r="BR255" i="3"/>
  <c r="BS255" i="3"/>
  <c r="BT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s="1"/>
  <c r="AZ257" i="3" s="1"/>
  <c r="BB258" i="3"/>
  <c r="BC258" i="3"/>
  <c r="BD258" i="3"/>
  <c r="BE258" i="3"/>
  <c r="BF258" i="3"/>
  <c r="BG258" i="3"/>
  <c r="BH258" i="3"/>
  <c r="BI258" i="3"/>
  <c r="BJ258" i="3"/>
  <c r="BK258" i="3"/>
  <c r="BA258" i="3"/>
  <c r="BM258" i="3"/>
  <c r="BN258" i="3"/>
  <c r="BO258" i="3"/>
  <c r="BP258" i="3"/>
  <c r="BQ258" i="3"/>
  <c r="BR258" i="3"/>
  <c r="BS258" i="3"/>
  <c r="BT258" i="3"/>
  <c r="BL258" i="3" s="1"/>
  <c r="AZ258" i="3" s="1"/>
  <c r="BB259" i="3"/>
  <c r="BC259" i="3"/>
  <c r="BD259" i="3"/>
  <c r="BE259" i="3"/>
  <c r="BF259" i="3"/>
  <c r="BG259" i="3"/>
  <c r="BH259" i="3"/>
  <c r="BI259" i="3"/>
  <c r="BJ259" i="3"/>
  <c r="BK259" i="3"/>
  <c r="BA259" i="3"/>
  <c r="BM259" i="3"/>
  <c r="BN259" i="3"/>
  <c r="BO259" i="3"/>
  <c r="BP259" i="3"/>
  <c r="BQ259" i="3"/>
  <c r="BR259" i="3"/>
  <c r="BS259" i="3"/>
  <c r="BT259" i="3"/>
  <c r="BL259" i="3" s="1"/>
  <c r="AZ259" i="3" s="1"/>
  <c r="BB260" i="3"/>
  <c r="BC260" i="3"/>
  <c r="BD260" i="3"/>
  <c r="BE260" i="3"/>
  <c r="BF260" i="3"/>
  <c r="BG260" i="3"/>
  <c r="BH260" i="3"/>
  <c r="BI260" i="3"/>
  <c r="BJ260" i="3"/>
  <c r="BK260" i="3"/>
  <c r="BA260" i="3"/>
  <c r="BM260" i="3"/>
  <c r="BN260" i="3"/>
  <c r="BO260" i="3"/>
  <c r="BP260" i="3"/>
  <c r="BQ260" i="3"/>
  <c r="BR260" i="3"/>
  <c r="BS260" i="3"/>
  <c r="BT260" i="3"/>
  <c r="BL260" i="3" s="1"/>
  <c r="AZ260" i="3" s="1"/>
  <c r="BB261" i="3"/>
  <c r="BC261" i="3"/>
  <c r="BD261" i="3"/>
  <c r="BE261" i="3"/>
  <c r="BF261" i="3"/>
  <c r="BG261" i="3"/>
  <c r="BH261" i="3"/>
  <c r="BI261" i="3"/>
  <c r="BJ261" i="3"/>
  <c r="BK261" i="3"/>
  <c r="BA261" i="3"/>
  <c r="BM261" i="3"/>
  <c r="BN261" i="3"/>
  <c r="BO261" i="3"/>
  <c r="BP261" i="3"/>
  <c r="BQ261" i="3"/>
  <c r="BR261" i="3"/>
  <c r="BL261" i="3" s="1"/>
  <c r="AZ261" i="3" s="1"/>
  <c r="BS261" i="3"/>
  <c r="BT261" i="3"/>
  <c r="BB262" i="3"/>
  <c r="BC262" i="3"/>
  <c r="BD262" i="3"/>
  <c r="BE262" i="3"/>
  <c r="BF262" i="3"/>
  <c r="BG262" i="3"/>
  <c r="BH262" i="3"/>
  <c r="BI262" i="3"/>
  <c r="BJ262" i="3"/>
  <c r="BK262" i="3"/>
  <c r="BA262" i="3" s="1"/>
  <c r="AZ262" i="3" s="1"/>
  <c r="BM262" i="3"/>
  <c r="BN262" i="3"/>
  <c r="BO262" i="3"/>
  <c r="BP262" i="3"/>
  <c r="BQ262" i="3"/>
  <c r="BR262" i="3"/>
  <c r="BS262" i="3"/>
  <c r="BT262" i="3"/>
  <c r="BL262" i="3"/>
  <c r="BB263" i="3"/>
  <c r="BC263" i="3"/>
  <c r="BD263" i="3"/>
  <c r="BE263" i="3"/>
  <c r="BF263" i="3"/>
  <c r="BG263" i="3"/>
  <c r="BH263" i="3"/>
  <c r="BI263" i="3"/>
  <c r="BJ263" i="3"/>
  <c r="BK263" i="3"/>
  <c r="BA263" i="3"/>
  <c r="BM263" i="3"/>
  <c r="BN263" i="3"/>
  <c r="BO263" i="3"/>
  <c r="BP263" i="3"/>
  <c r="BL263" i="3" s="1"/>
  <c r="AZ263" i="3" s="1"/>
  <c r="BQ263" i="3"/>
  <c r="BR263" i="3"/>
  <c r="BS263" i="3"/>
  <c r="BT263" i="3"/>
  <c r="BB264" i="3"/>
  <c r="BC264" i="3"/>
  <c r="BD264" i="3"/>
  <c r="BE264" i="3"/>
  <c r="BA264" i="3" s="1"/>
  <c r="AZ264" i="3" s="1"/>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O265" i="3"/>
  <c r="BP265" i="3"/>
  <c r="BQ265" i="3"/>
  <c r="BR265" i="3"/>
  <c r="BL265" i="3" s="1"/>
  <c r="AZ265" i="3" s="1"/>
  <c r="BS265" i="3"/>
  <c r="BT265" i="3"/>
  <c r="BB266" i="3"/>
  <c r="BC266" i="3"/>
  <c r="BD266" i="3"/>
  <c r="BE266" i="3"/>
  <c r="BF266" i="3"/>
  <c r="BG266" i="3"/>
  <c r="BH266" i="3"/>
  <c r="BI266" i="3"/>
  <c r="BJ266" i="3"/>
  <c r="BK266" i="3"/>
  <c r="BA266" i="3"/>
  <c r="BM266" i="3"/>
  <c r="BN266" i="3"/>
  <c r="BO266" i="3"/>
  <c r="BP266" i="3"/>
  <c r="BQ266" i="3"/>
  <c r="BR266" i="3"/>
  <c r="BS266" i="3"/>
  <c r="BT266" i="3"/>
  <c r="BL266" i="3"/>
  <c r="AZ266" i="3" s="1"/>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D274" i="3"/>
  <c r="BE274" i="3"/>
  <c r="BF274" i="3"/>
  <c r="BG274" i="3"/>
  <c r="BA274" i="3" s="1"/>
  <c r="AZ274" i="3" s="1"/>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D276" i="3"/>
  <c r="BE276" i="3"/>
  <c r="BA276" i="3" s="1"/>
  <c r="AZ276" i="3" s="1"/>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D278" i="3"/>
  <c r="BE278" i="3"/>
  <c r="BA278" i="3" s="1"/>
  <c r="AZ278" i="3" s="1"/>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D280" i="3"/>
  <c r="BE280" i="3"/>
  <c r="BF280" i="3"/>
  <c r="BG280" i="3"/>
  <c r="BA280" i="3" s="1"/>
  <c r="AZ280" i="3" s="1"/>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O281" i="3"/>
  <c r="BP281" i="3"/>
  <c r="BL281" i="3" s="1"/>
  <c r="AZ281" i="3" s="1"/>
  <c r="BQ281" i="3"/>
  <c r="BR281" i="3"/>
  <c r="BS281" i="3"/>
  <c r="BT281" i="3"/>
  <c r="BB282" i="3"/>
  <c r="BC282" i="3"/>
  <c r="BD282" i="3"/>
  <c r="BE282" i="3"/>
  <c r="BF282" i="3"/>
  <c r="BG282" i="3"/>
  <c r="BA282" i="3" s="1"/>
  <c r="AZ282" i="3" s="1"/>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O283" i="3"/>
  <c r="BP283" i="3"/>
  <c r="BL283" i="3" s="1"/>
  <c r="AZ283" i="3" s="1"/>
  <c r="BQ283" i="3"/>
  <c r="BR283" i="3"/>
  <c r="BS283" i="3"/>
  <c r="BT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s="1"/>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L287" i="3" s="1"/>
  <c r="AZ287" i="3" s="1"/>
  <c r="BQ287" i="3"/>
  <c r="BR287" i="3"/>
  <c r="BS287" i="3"/>
  <c r="BT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L289" i="3" s="1"/>
  <c r="AZ289" i="3" s="1"/>
  <c r="BQ289" i="3"/>
  <c r="BR289" i="3"/>
  <c r="BS289" i="3"/>
  <c r="BT289" i="3"/>
  <c r="BB290" i="3"/>
  <c r="BC290" i="3"/>
  <c r="BD290" i="3"/>
  <c r="BE290" i="3"/>
  <c r="BF290" i="3"/>
  <c r="BG290" i="3"/>
  <c r="BH290" i="3"/>
  <c r="BI290" i="3"/>
  <c r="BJ290" i="3"/>
  <c r="BK290" i="3"/>
  <c r="BA290" i="3"/>
  <c r="BM290" i="3"/>
  <c r="BN290" i="3"/>
  <c r="BO290" i="3"/>
  <c r="BP290" i="3"/>
  <c r="BQ290" i="3"/>
  <c r="BR290" i="3"/>
  <c r="BS290" i="3"/>
  <c r="BT290" i="3"/>
  <c r="BL290" i="3"/>
  <c r="AZ290" i="3" s="1"/>
  <c r="BB291" i="3"/>
  <c r="BC291" i="3"/>
  <c r="BD291" i="3"/>
  <c r="BE291" i="3"/>
  <c r="BF291" i="3"/>
  <c r="BG291" i="3"/>
  <c r="BH291" i="3"/>
  <c r="BI291" i="3"/>
  <c r="BJ291" i="3"/>
  <c r="BK291" i="3"/>
  <c r="BA291" i="3"/>
  <c r="BM291" i="3"/>
  <c r="BN291" i="3"/>
  <c r="BO291" i="3"/>
  <c r="BP291" i="3"/>
  <c r="BQ291" i="3"/>
  <c r="BR291" i="3"/>
  <c r="BS291" i="3"/>
  <c r="BT291" i="3"/>
  <c r="BL291" i="3" s="1"/>
  <c r="AZ291" i="3" s="1"/>
  <c r="BB292" i="3"/>
  <c r="BC292" i="3"/>
  <c r="BD292" i="3"/>
  <c r="BE292" i="3"/>
  <c r="BF292" i="3"/>
  <c r="BG292" i="3"/>
  <c r="BH292" i="3"/>
  <c r="BI292" i="3"/>
  <c r="BA292" i="3" s="1"/>
  <c r="AZ292" i="3" s="1"/>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O293" i="3"/>
  <c r="BP293" i="3"/>
  <c r="BL293" i="3" s="1"/>
  <c r="AZ293" i="3" s="1"/>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L294" i="3"/>
  <c r="AZ294" i="3" s="1"/>
  <c r="BB295" i="3"/>
  <c r="BC295" i="3"/>
  <c r="BD295" i="3"/>
  <c r="BE295" i="3"/>
  <c r="BF295" i="3"/>
  <c r="BG295" i="3"/>
  <c r="BH295" i="3"/>
  <c r="BI295" i="3"/>
  <c r="BJ295" i="3"/>
  <c r="BK295" i="3"/>
  <c r="BA295" i="3"/>
  <c r="BM295" i="3"/>
  <c r="BN295" i="3"/>
  <c r="BO295" i="3"/>
  <c r="BP295" i="3"/>
  <c r="BQ295" i="3"/>
  <c r="BR295" i="3"/>
  <c r="BL295" i="3" s="1"/>
  <c r="AZ295" i="3" s="1"/>
  <c r="BS295" i="3"/>
  <c r="BT295" i="3"/>
  <c r="BB296" i="3"/>
  <c r="BC296" i="3"/>
  <c r="BD296" i="3"/>
  <c r="BE296" i="3"/>
  <c r="BF296" i="3"/>
  <c r="BG296" i="3"/>
  <c r="BH296" i="3"/>
  <c r="BI296" i="3"/>
  <c r="BJ296" i="3"/>
  <c r="BK296" i="3"/>
  <c r="BA296" i="3" s="1"/>
  <c r="AZ296" i="3" s="1"/>
  <c r="BM296" i="3"/>
  <c r="BN296" i="3"/>
  <c r="BO296" i="3"/>
  <c r="BP296" i="3"/>
  <c r="BQ296" i="3"/>
  <c r="BR296" i="3"/>
  <c r="BS296" i="3"/>
  <c r="BT296" i="3"/>
  <c r="BL296" i="3"/>
  <c r="BB297" i="3"/>
  <c r="BC297" i="3"/>
  <c r="BD297" i="3"/>
  <c r="BE297" i="3"/>
  <c r="BF297" i="3"/>
  <c r="BG297" i="3"/>
  <c r="BH297" i="3"/>
  <c r="BI297" i="3"/>
  <c r="BJ297" i="3"/>
  <c r="BK297" i="3"/>
  <c r="BA297" i="3"/>
  <c r="BM297" i="3"/>
  <c r="BN297" i="3"/>
  <c r="BO297" i="3"/>
  <c r="BP297" i="3"/>
  <c r="BQ297" i="3"/>
  <c r="BR297" i="3"/>
  <c r="BL297" i="3" s="1"/>
  <c r="AZ297" i="3" s="1"/>
  <c r="BS297" i="3"/>
  <c r="BT297" i="3"/>
  <c r="BB298" i="3"/>
  <c r="BC298" i="3"/>
  <c r="BD298" i="3"/>
  <c r="BE298" i="3"/>
  <c r="BF298" i="3"/>
  <c r="BG298" i="3"/>
  <c r="BH298" i="3"/>
  <c r="BI298" i="3"/>
  <c r="BJ298" i="3"/>
  <c r="BK298" i="3"/>
  <c r="BA298" i="3" s="1"/>
  <c r="AZ298" i="3" s="1"/>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D300" i="3"/>
  <c r="BE300" i="3"/>
  <c r="BF300" i="3"/>
  <c r="BG300" i="3"/>
  <c r="BH300" i="3"/>
  <c r="BI300" i="3"/>
  <c r="BJ300" i="3"/>
  <c r="BK300" i="3"/>
  <c r="BA300" i="3"/>
  <c r="BM300" i="3"/>
  <c r="BN300" i="3"/>
  <c r="BO300" i="3"/>
  <c r="BP300" i="3"/>
  <c r="BQ300" i="3"/>
  <c r="BR300" i="3"/>
  <c r="BL300" i="3" s="1"/>
  <c r="AZ300" i="3" s="1"/>
  <c r="BS300" i="3"/>
  <c r="BT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L302" i="3" s="1"/>
  <c r="AZ302" i="3" s="1"/>
  <c r="BS302" i="3"/>
  <c r="BT302" i="3"/>
  <c r="BB303" i="3"/>
  <c r="BC303" i="3"/>
  <c r="BD303" i="3"/>
  <c r="BE303" i="3"/>
  <c r="BF303" i="3"/>
  <c r="BG303" i="3"/>
  <c r="BH303" i="3"/>
  <c r="BI303" i="3"/>
  <c r="BJ303" i="3"/>
  <c r="BK303" i="3"/>
  <c r="BA303" i="3"/>
  <c r="BM303" i="3"/>
  <c r="BN303" i="3"/>
  <c r="BO303" i="3"/>
  <c r="BP303" i="3"/>
  <c r="BQ303" i="3"/>
  <c r="BR303" i="3"/>
  <c r="BS303" i="3"/>
  <c r="BT303" i="3"/>
  <c r="BL303" i="3" s="1"/>
  <c r="AZ303" i="3" s="1"/>
  <c r="BB304" i="3"/>
  <c r="BC304" i="3"/>
  <c r="BD304" i="3"/>
  <c r="BE304" i="3"/>
  <c r="BF304" i="3"/>
  <c r="BG304" i="3"/>
  <c r="BH304" i="3"/>
  <c r="BI304" i="3"/>
  <c r="BJ304" i="3"/>
  <c r="BK304" i="3"/>
  <c r="BA304" i="3" s="1"/>
  <c r="AZ304" i="3" s="1"/>
  <c r="BM304" i="3"/>
  <c r="BN304" i="3"/>
  <c r="BO304" i="3"/>
  <c r="BP304" i="3"/>
  <c r="BQ304" i="3"/>
  <c r="BR304" i="3"/>
  <c r="BS304" i="3"/>
  <c r="BT304" i="3"/>
  <c r="BL304" i="3"/>
  <c r="BB305" i="3"/>
  <c r="BC305" i="3"/>
  <c r="BD305" i="3"/>
  <c r="BE305" i="3"/>
  <c r="BF305" i="3"/>
  <c r="BG305" i="3"/>
  <c r="BH305" i="3"/>
  <c r="BI305" i="3"/>
  <c r="BJ305" i="3"/>
  <c r="BK305" i="3"/>
  <c r="BA305" i="3"/>
  <c r="BM305" i="3"/>
  <c r="BN305" i="3"/>
  <c r="BO305" i="3"/>
  <c r="BP305" i="3"/>
  <c r="BQ305" i="3"/>
  <c r="BR305" i="3"/>
  <c r="BL305" i="3" s="1"/>
  <c r="AZ305" i="3" s="1"/>
  <c r="BS305" i="3"/>
  <c r="BT305" i="3"/>
  <c r="BB306" i="3"/>
  <c r="BC306" i="3"/>
  <c r="BD306" i="3"/>
  <c r="BE306" i="3"/>
  <c r="BF306" i="3"/>
  <c r="BG306" i="3"/>
  <c r="BH306" i="3"/>
  <c r="BI306" i="3"/>
  <c r="BJ306" i="3"/>
  <c r="BK306" i="3"/>
  <c r="BA306" i="3"/>
  <c r="BM306" i="3"/>
  <c r="BN306" i="3"/>
  <c r="BO306" i="3"/>
  <c r="BP306" i="3"/>
  <c r="BQ306" i="3"/>
  <c r="BR306" i="3"/>
  <c r="BL306" i="3" s="1"/>
  <c r="AZ306" i="3" s="1"/>
  <c r="BS306" i="3"/>
  <c r="BT306" i="3"/>
  <c r="BB307" i="3"/>
  <c r="BC307" i="3"/>
  <c r="BD307" i="3"/>
  <c r="BE307" i="3"/>
  <c r="BF307" i="3"/>
  <c r="BG307" i="3"/>
  <c r="BH307" i="3"/>
  <c r="BI307" i="3"/>
  <c r="BJ307" i="3"/>
  <c r="BK307" i="3"/>
  <c r="BA307" i="3" s="1"/>
  <c r="AZ307" i="3" s="1"/>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L308" i="3" s="1"/>
  <c r="AZ308" i="3" s="1"/>
  <c r="BS308" i="3"/>
  <c r="BT308" i="3"/>
  <c r="BB309" i="3"/>
  <c r="BC309" i="3"/>
  <c r="BD309" i="3"/>
  <c r="BE309" i="3"/>
  <c r="BF309" i="3"/>
  <c r="BG309" i="3"/>
  <c r="BH309" i="3"/>
  <c r="BI309" i="3"/>
  <c r="BJ309" i="3"/>
  <c r="BK309" i="3"/>
  <c r="BA309" i="3" s="1"/>
  <c r="AZ309" i="3" s="1"/>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L310" i="3" s="1"/>
  <c r="AZ310" i="3" s="1"/>
  <c r="BS310" i="3"/>
  <c r="BT310" i="3"/>
  <c r="BB311" i="3"/>
  <c r="BC311" i="3"/>
  <c r="BD311" i="3"/>
  <c r="BE311" i="3"/>
  <c r="BF311" i="3"/>
  <c r="BG311" i="3"/>
  <c r="BH311" i="3"/>
  <c r="BI311" i="3"/>
  <c r="BJ311" i="3"/>
  <c r="BK311" i="3"/>
  <c r="BA311" i="3" s="1"/>
  <c r="AZ311" i="3" s="1"/>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L314" i="3" s="1"/>
  <c r="AZ314" i="3" s="1"/>
  <c r="BS314" i="3"/>
  <c r="BT314" i="3"/>
  <c r="BB315" i="3"/>
  <c r="BC315" i="3"/>
  <c r="BD315" i="3"/>
  <c r="BE315" i="3"/>
  <c r="BF315" i="3"/>
  <c r="BG315" i="3"/>
  <c r="BH315" i="3"/>
  <c r="BI315" i="3"/>
  <c r="BJ315" i="3"/>
  <c r="BK315" i="3"/>
  <c r="BA315" i="3"/>
  <c r="BM315" i="3"/>
  <c r="BN315" i="3"/>
  <c r="BO315" i="3"/>
  <c r="BP315" i="3"/>
  <c r="BQ315" i="3"/>
  <c r="BR315" i="3"/>
  <c r="BS315" i="3"/>
  <c r="BT315" i="3"/>
  <c r="BL315" i="3" s="1"/>
  <c r="AZ315" i="3" s="1"/>
  <c r="BB316" i="3"/>
  <c r="BC316" i="3"/>
  <c r="BD316" i="3"/>
  <c r="BE316" i="3"/>
  <c r="BF316" i="3"/>
  <c r="BG316" i="3"/>
  <c r="BH316" i="3"/>
  <c r="BI316" i="3"/>
  <c r="BJ316" i="3"/>
  <c r="BK316" i="3"/>
  <c r="BA316" i="3"/>
  <c r="BM316" i="3"/>
  <c r="BN316" i="3"/>
  <c r="BO316" i="3"/>
  <c r="BP316" i="3"/>
  <c r="BQ316" i="3"/>
  <c r="BR316" i="3"/>
  <c r="BS316" i="3"/>
  <c r="BT316" i="3"/>
  <c r="BL316" i="3" s="1"/>
  <c r="AZ316" i="3" s="1"/>
  <c r="BB317" i="3"/>
  <c r="BC317" i="3"/>
  <c r="BD317" i="3"/>
  <c r="BE317" i="3"/>
  <c r="BF317" i="3"/>
  <c r="BG317" i="3"/>
  <c r="BH317" i="3"/>
  <c r="BI317" i="3"/>
  <c r="BJ317" i="3"/>
  <c r="BK317" i="3"/>
  <c r="BA317" i="3"/>
  <c r="BM317" i="3"/>
  <c r="BN317" i="3"/>
  <c r="BO317" i="3"/>
  <c r="BP317" i="3"/>
  <c r="BQ317" i="3"/>
  <c r="BR317" i="3"/>
  <c r="BS317" i="3"/>
  <c r="BT317" i="3"/>
  <c r="BL317" i="3"/>
  <c r="AZ317" i="3" s="1"/>
  <c r="BB318" i="3"/>
  <c r="BC318" i="3"/>
  <c r="BD318" i="3"/>
  <c r="BE318" i="3"/>
  <c r="BF318" i="3"/>
  <c r="BG318" i="3"/>
  <c r="BH318" i="3"/>
  <c r="BI318" i="3"/>
  <c r="BJ318" i="3"/>
  <c r="BK318" i="3"/>
  <c r="BA318" i="3"/>
  <c r="BM318" i="3"/>
  <c r="BN318" i="3"/>
  <c r="BO318" i="3"/>
  <c r="BP318" i="3"/>
  <c r="BQ318" i="3"/>
  <c r="BR318" i="3"/>
  <c r="BL318" i="3" s="1"/>
  <c r="AZ318" i="3" s="1"/>
  <c r="BS318" i="3"/>
  <c r="BT318" i="3"/>
  <c r="BB319" i="3"/>
  <c r="BC319" i="3"/>
  <c r="BD319" i="3"/>
  <c r="BE319" i="3"/>
  <c r="BF319" i="3"/>
  <c r="BG319" i="3"/>
  <c r="BH319" i="3"/>
  <c r="BI319" i="3"/>
  <c r="BJ319" i="3"/>
  <c r="BK319" i="3"/>
  <c r="BA319" i="3"/>
  <c r="BM319" i="3"/>
  <c r="BN319" i="3"/>
  <c r="BO319" i="3"/>
  <c r="BP319" i="3"/>
  <c r="BQ319" i="3"/>
  <c r="BR319" i="3"/>
  <c r="BL319" i="3" s="1"/>
  <c r="AZ319" i="3" s="1"/>
  <c r="BS319" i="3"/>
  <c r="BT319" i="3"/>
  <c r="BB320" i="3"/>
  <c r="BC320" i="3"/>
  <c r="BD320" i="3"/>
  <c r="BE320" i="3"/>
  <c r="BF320" i="3"/>
  <c r="BG320" i="3"/>
  <c r="BH320" i="3"/>
  <c r="BI320" i="3"/>
  <c r="BJ320" i="3"/>
  <c r="BK320" i="3"/>
  <c r="BA320" i="3" s="1"/>
  <c r="AZ320" i="3" s="1"/>
  <c r="BM320" i="3"/>
  <c r="BN320" i="3"/>
  <c r="BO320" i="3"/>
  <c r="BP320" i="3"/>
  <c r="BQ320" i="3"/>
  <c r="BR320" i="3"/>
  <c r="BS320" i="3"/>
  <c r="BT320" i="3"/>
  <c r="BL320" i="3"/>
  <c r="BB321" i="3"/>
  <c r="BC321" i="3"/>
  <c r="BD321" i="3"/>
  <c r="BE321" i="3"/>
  <c r="BF321" i="3"/>
  <c r="BG321" i="3"/>
  <c r="BH321" i="3"/>
  <c r="BI321" i="3"/>
  <c r="BJ321" i="3"/>
  <c r="BK321" i="3"/>
  <c r="BA321" i="3"/>
  <c r="BM321" i="3"/>
  <c r="BN321" i="3"/>
  <c r="BO321" i="3"/>
  <c r="BP321" i="3"/>
  <c r="BQ321" i="3"/>
  <c r="BR321" i="3"/>
  <c r="BL321" i="3" s="1"/>
  <c r="AZ321" i="3" s="1"/>
  <c r="BS321" i="3"/>
  <c r="BT321" i="3"/>
  <c r="BB322" i="3"/>
  <c r="BC322" i="3"/>
  <c r="BD322" i="3"/>
  <c r="BE322" i="3"/>
  <c r="BF322" i="3"/>
  <c r="BG322" i="3"/>
  <c r="BH322" i="3"/>
  <c r="BI322" i="3"/>
  <c r="BJ322" i="3"/>
  <c r="BK322" i="3"/>
  <c r="BA322" i="3"/>
  <c r="BM322" i="3"/>
  <c r="BN322" i="3"/>
  <c r="BO322" i="3"/>
  <c r="BP322" i="3"/>
  <c r="BQ322" i="3"/>
  <c r="BR322" i="3"/>
  <c r="BS322" i="3"/>
  <c r="BT322" i="3"/>
  <c r="BL322" i="3" s="1"/>
  <c r="AZ322" i="3" s="1"/>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L324" i="3" s="1"/>
  <c r="AZ324" i="3" s="1"/>
  <c r="BS324" i="3"/>
  <c r="BT324" i="3"/>
  <c r="BB325" i="3"/>
  <c r="BC325" i="3"/>
  <c r="BD325" i="3"/>
  <c r="BE325" i="3"/>
  <c r="BF325" i="3"/>
  <c r="BG325" i="3"/>
  <c r="BH325" i="3"/>
  <c r="BI325" i="3"/>
  <c r="BJ325" i="3"/>
  <c r="BK325" i="3"/>
  <c r="BA325" i="3" s="1"/>
  <c r="BM325" i="3"/>
  <c r="BN325" i="3"/>
  <c r="BO325" i="3"/>
  <c r="BP325" i="3"/>
  <c r="BQ325" i="3"/>
  <c r="BR325" i="3"/>
  <c r="BS325" i="3"/>
  <c r="BT325" i="3"/>
  <c r="BL325" i="3" s="1"/>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s="1"/>
  <c r="AZ327" i="3" s="1"/>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D329" i="3"/>
  <c r="BE329" i="3"/>
  <c r="BF329" i="3"/>
  <c r="BG329" i="3"/>
  <c r="BH329" i="3"/>
  <c r="BI329" i="3"/>
  <c r="BJ329" i="3"/>
  <c r="BK329" i="3"/>
  <c r="BA329" i="3" s="1"/>
  <c r="BM329" i="3"/>
  <c r="BN329" i="3"/>
  <c r="BO329" i="3"/>
  <c r="BP329" i="3"/>
  <c r="BQ329" i="3"/>
  <c r="BR329" i="3"/>
  <c r="BS329" i="3"/>
  <c r="BT329" i="3"/>
  <c r="BL329" i="3" s="1"/>
  <c r="BB330" i="3"/>
  <c r="BC330" i="3"/>
  <c r="BD330" i="3"/>
  <c r="BE330" i="3"/>
  <c r="BF330" i="3"/>
  <c r="BG330" i="3"/>
  <c r="BH330" i="3"/>
  <c r="BI330" i="3"/>
  <c r="BJ330" i="3"/>
  <c r="BK330" i="3"/>
  <c r="BA330" i="3" s="1"/>
  <c r="AZ330" i="3" s="1"/>
  <c r="BM330" i="3"/>
  <c r="BN330" i="3"/>
  <c r="BO330" i="3"/>
  <c r="BP330" i="3"/>
  <c r="BQ330" i="3"/>
  <c r="BR330" i="3"/>
  <c r="BS330" i="3"/>
  <c r="BT330" i="3"/>
  <c r="BL330" i="3"/>
  <c r="BB331" i="3"/>
  <c r="BC331" i="3"/>
  <c r="BD331" i="3"/>
  <c r="BE331" i="3"/>
  <c r="BF331" i="3"/>
  <c r="BG331" i="3"/>
  <c r="BH331" i="3"/>
  <c r="BI331" i="3"/>
  <c r="BJ331" i="3"/>
  <c r="BK331" i="3"/>
  <c r="BA331" i="3"/>
  <c r="BM331" i="3"/>
  <c r="BN331" i="3"/>
  <c r="BO331" i="3"/>
  <c r="BP331" i="3"/>
  <c r="BQ331" i="3"/>
  <c r="BR331" i="3"/>
  <c r="BL331" i="3" s="1"/>
  <c r="BS331" i="3"/>
  <c r="BT331" i="3"/>
  <c r="AZ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D370" i="3"/>
  <c r="BE370" i="3"/>
  <c r="BA370" i="3" s="1"/>
  <c r="AZ370" i="3" s="1"/>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D374" i="3"/>
  <c r="BE374" i="3"/>
  <c r="BF374" i="3"/>
  <c r="BG374" i="3"/>
  <c r="BA374" i="3" s="1"/>
  <c r="AZ374" i="3" s="1"/>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D378" i="3"/>
  <c r="BE378" i="3"/>
  <c r="BF378" i="3"/>
  <c r="BG378" i="3"/>
  <c r="BH378" i="3"/>
  <c r="BI378" i="3"/>
  <c r="BA378" i="3" s="1"/>
  <c r="AZ378" i="3" s="1"/>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O379" i="3"/>
  <c r="BP379" i="3"/>
  <c r="BL379" i="3" s="1"/>
  <c r="AZ379" i="3" s="1"/>
  <c r="BQ379" i="3"/>
  <c r="BR379" i="3"/>
  <c r="BS379" i="3"/>
  <c r="BT379" i="3"/>
  <c r="BB380" i="3"/>
  <c r="BC380" i="3"/>
  <c r="BD380" i="3"/>
  <c r="BE380" i="3"/>
  <c r="BF380" i="3"/>
  <c r="BG380" i="3"/>
  <c r="BH380" i="3"/>
  <c r="BI380" i="3"/>
  <c r="BJ380" i="3"/>
  <c r="BK380" i="3"/>
  <c r="BA380" i="3" s="1"/>
  <c r="AZ380" i="3" s="1"/>
  <c r="BM380" i="3"/>
  <c r="BN380" i="3"/>
  <c r="BO380" i="3"/>
  <c r="BP380" i="3"/>
  <c r="BQ380" i="3"/>
  <c r="BR380" i="3"/>
  <c r="BS380" i="3"/>
  <c r="BT380" i="3"/>
  <c r="BL380" i="3"/>
  <c r="BB381" i="3"/>
  <c r="BC381" i="3"/>
  <c r="BD381" i="3"/>
  <c r="BE381" i="3"/>
  <c r="BF381" i="3"/>
  <c r="BG381" i="3"/>
  <c r="BH381" i="3"/>
  <c r="BI381" i="3"/>
  <c r="BJ381" i="3"/>
  <c r="BK381" i="3"/>
  <c r="BA381" i="3"/>
  <c r="BM381" i="3"/>
  <c r="BN381" i="3"/>
  <c r="BO381" i="3"/>
  <c r="BP381" i="3"/>
  <c r="BQ381" i="3"/>
  <c r="BR381" i="3"/>
  <c r="BL381" i="3" s="1"/>
  <c r="AZ381" i="3" s="1"/>
  <c r="BS381" i="3"/>
  <c r="BT381" i="3"/>
  <c r="BB382" i="3"/>
  <c r="BC382" i="3"/>
  <c r="BD382" i="3"/>
  <c r="BE382" i="3"/>
  <c r="BF382" i="3"/>
  <c r="BG382" i="3"/>
  <c r="BH382" i="3"/>
  <c r="BI382" i="3"/>
  <c r="BJ382" i="3"/>
  <c r="BK382" i="3"/>
  <c r="BA382" i="3"/>
  <c r="BM382" i="3"/>
  <c r="BN382" i="3"/>
  <c r="BO382" i="3"/>
  <c r="BP382" i="3"/>
  <c r="BQ382" i="3"/>
  <c r="BR382" i="3"/>
  <c r="BS382" i="3"/>
  <c r="BT382" i="3"/>
  <c r="BL382" i="3"/>
  <c r="AZ382" i="3" s="1"/>
  <c r="BB383" i="3"/>
  <c r="BC383" i="3"/>
  <c r="BD383" i="3"/>
  <c r="BE383" i="3"/>
  <c r="BF383" i="3"/>
  <c r="BG383" i="3"/>
  <c r="BH383" i="3"/>
  <c r="BI383" i="3"/>
  <c r="BJ383" i="3"/>
  <c r="BK383" i="3"/>
  <c r="BA383" i="3"/>
  <c r="BM383" i="3"/>
  <c r="BN383" i="3"/>
  <c r="BO383" i="3"/>
  <c r="BP383" i="3"/>
  <c r="BQ383" i="3"/>
  <c r="BR383" i="3"/>
  <c r="BL383" i="3" s="1"/>
  <c r="AZ383" i="3" s="1"/>
  <c r="BS383" i="3"/>
  <c r="BT383" i="3"/>
  <c r="BB384" i="3"/>
  <c r="BC384" i="3"/>
  <c r="BD384" i="3"/>
  <c r="BE384" i="3"/>
  <c r="BF384" i="3"/>
  <c r="BG384" i="3"/>
  <c r="BH384" i="3"/>
  <c r="BI384" i="3"/>
  <c r="BJ384" i="3"/>
  <c r="BK384" i="3"/>
  <c r="BA384" i="3" s="1"/>
  <c r="AZ384" i="3" s="1"/>
  <c r="BM384" i="3"/>
  <c r="BN384" i="3"/>
  <c r="BO384" i="3"/>
  <c r="BP384" i="3"/>
  <c r="BQ384" i="3"/>
  <c r="BR384" i="3"/>
  <c r="BS384" i="3"/>
  <c r="BT384" i="3"/>
  <c r="BL384" i="3"/>
  <c r="BB385" i="3"/>
  <c r="BC385" i="3"/>
  <c r="BD385" i="3"/>
  <c r="BE385" i="3"/>
  <c r="BF385" i="3"/>
  <c r="BG385" i="3"/>
  <c r="BH385" i="3"/>
  <c r="BI385" i="3"/>
  <c r="BJ385" i="3"/>
  <c r="BK385" i="3"/>
  <c r="BA385" i="3"/>
  <c r="BM385" i="3"/>
  <c r="BN385" i="3"/>
  <c r="BO385" i="3"/>
  <c r="BP385" i="3"/>
  <c r="BQ385" i="3"/>
  <c r="BR385" i="3"/>
  <c r="BL385" i="3" s="1"/>
  <c r="AZ385" i="3" s="1"/>
  <c r="BS385" i="3"/>
  <c r="BT385" i="3"/>
  <c r="BB386" i="3"/>
  <c r="BC386" i="3"/>
  <c r="BD386" i="3"/>
  <c r="BE386" i="3"/>
  <c r="BF386" i="3"/>
  <c r="BG386" i="3"/>
  <c r="BH386" i="3"/>
  <c r="BI386" i="3"/>
  <c r="BJ386" i="3"/>
  <c r="BK386" i="3"/>
  <c r="BA386" i="3"/>
  <c r="BM386" i="3"/>
  <c r="BN386" i="3"/>
  <c r="BO386" i="3"/>
  <c r="BP386" i="3"/>
  <c r="BQ386" i="3"/>
  <c r="BR386" i="3"/>
  <c r="BS386" i="3"/>
  <c r="BT386" i="3"/>
  <c r="BL386" i="3" s="1"/>
  <c r="AZ386" i="3" s="1"/>
  <c r="BB387" i="3"/>
  <c r="BC387" i="3"/>
  <c r="BD387" i="3"/>
  <c r="BE387" i="3"/>
  <c r="BF387" i="3"/>
  <c r="BG387" i="3"/>
  <c r="BH387" i="3"/>
  <c r="BI387" i="3"/>
  <c r="BJ387" i="3"/>
  <c r="BK387" i="3"/>
  <c r="BA387" i="3"/>
  <c r="BM387" i="3"/>
  <c r="BN387" i="3"/>
  <c r="BO387" i="3"/>
  <c r="BP387" i="3"/>
  <c r="BQ387" i="3"/>
  <c r="BR387" i="3"/>
  <c r="BS387" i="3"/>
  <c r="BT387" i="3"/>
  <c r="BL387" i="3" s="1"/>
  <c r="AZ387" i="3" s="1"/>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s="1"/>
  <c r="AZ389" i="3" s="1"/>
  <c r="BB390" i="3"/>
  <c r="BC390" i="3"/>
  <c r="BD390" i="3"/>
  <c r="BE390" i="3"/>
  <c r="BF390" i="3"/>
  <c r="BG390" i="3"/>
  <c r="BH390" i="3"/>
  <c r="BI390" i="3"/>
  <c r="BA390" i="3" s="1"/>
  <c r="AZ390" i="3" s="1"/>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D392" i="3"/>
  <c r="BE392" i="3"/>
  <c r="BA392" i="3" s="1"/>
  <c r="AZ392" i="3" s="1"/>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D394" i="3"/>
  <c r="BE394" i="3"/>
  <c r="BF394" i="3"/>
  <c r="BG394" i="3"/>
  <c r="BH394" i="3"/>
  <c r="BI394" i="3"/>
  <c r="BA394" i="3" s="1"/>
  <c r="AZ394" i="3" s="1"/>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D396" i="3"/>
  <c r="BE396" i="3"/>
  <c r="BF396" i="3"/>
  <c r="BG396" i="3"/>
  <c r="BH396" i="3"/>
  <c r="BI396" i="3"/>
  <c r="BA396" i="3" s="1"/>
  <c r="AZ396" i="3" s="1"/>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D398" i="3"/>
  <c r="BE398" i="3"/>
  <c r="BF398" i="3"/>
  <c r="BG398" i="3"/>
  <c r="BH398" i="3"/>
  <c r="BI398" i="3"/>
  <c r="BA398" i="3" s="1"/>
  <c r="AZ398" i="3" s="1"/>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O399" i="3"/>
  <c r="BP399" i="3"/>
  <c r="BQ399" i="3"/>
  <c r="BR399" i="3"/>
  <c r="BS399" i="3"/>
  <c r="BT399" i="3"/>
  <c r="BL399" i="3" s="1"/>
  <c r="AZ399" i="3" s="1"/>
  <c r="BB400" i="3"/>
  <c r="BC400" i="3"/>
  <c r="BD400" i="3"/>
  <c r="BE400" i="3"/>
  <c r="BF400" i="3"/>
  <c r="BG400" i="3"/>
  <c r="BH400" i="3"/>
  <c r="BI400" i="3"/>
  <c r="BJ400" i="3"/>
  <c r="BK400" i="3"/>
  <c r="BA400" i="3"/>
  <c r="BM400" i="3"/>
  <c r="BN400" i="3"/>
  <c r="BO400" i="3"/>
  <c r="BP400" i="3"/>
  <c r="BQ400" i="3"/>
  <c r="BR400" i="3"/>
  <c r="BS400" i="3"/>
  <c r="BT400" i="3"/>
  <c r="BL400" i="3"/>
  <c r="AZ400" i="3" s="1"/>
  <c r="BB401" i="3"/>
  <c r="BC401" i="3"/>
  <c r="BD401" i="3"/>
  <c r="BE401" i="3"/>
  <c r="BF401" i="3"/>
  <c r="BG401" i="3"/>
  <c r="BH401" i="3"/>
  <c r="BI401" i="3"/>
  <c r="BJ401" i="3"/>
  <c r="BK401" i="3"/>
  <c r="BA401" i="3"/>
  <c r="BM401" i="3"/>
  <c r="BN401" i="3"/>
  <c r="BO401" i="3"/>
  <c r="BP401" i="3"/>
  <c r="BQ401" i="3"/>
  <c r="BR401" i="3"/>
  <c r="BL401" i="3" s="1"/>
  <c r="AZ401" i="3" s="1"/>
  <c r="BS401" i="3"/>
  <c r="BT401" i="3"/>
  <c r="BB402" i="3"/>
  <c r="BC402" i="3"/>
  <c r="BD402" i="3"/>
  <c r="BE402" i="3"/>
  <c r="BF402" i="3"/>
  <c r="BG402" i="3"/>
  <c r="BH402" i="3"/>
  <c r="BI402" i="3"/>
  <c r="BJ402" i="3"/>
  <c r="BK402" i="3"/>
  <c r="BA402" i="3"/>
  <c r="BM402" i="3"/>
  <c r="BN402" i="3"/>
  <c r="BO402" i="3"/>
  <c r="BP402" i="3"/>
  <c r="BQ402" i="3"/>
  <c r="BR402" i="3"/>
  <c r="BS402" i="3"/>
  <c r="BT402" i="3"/>
  <c r="BL402" i="3" s="1"/>
  <c r="AZ402" i="3" s="1"/>
  <c r="BB403" i="3"/>
  <c r="BC403" i="3"/>
  <c r="BD403" i="3"/>
  <c r="BE403" i="3"/>
  <c r="BF403" i="3"/>
  <c r="BG403" i="3"/>
  <c r="BH403" i="3"/>
  <c r="BI403" i="3"/>
  <c r="BJ403" i="3"/>
  <c r="BK403" i="3"/>
  <c r="BA403" i="3"/>
  <c r="BM403" i="3"/>
  <c r="BN403" i="3"/>
  <c r="BO403" i="3"/>
  <c r="BP403" i="3"/>
  <c r="BQ403" i="3"/>
  <c r="BR403" i="3"/>
  <c r="BL403" i="3" s="1"/>
  <c r="AZ403" i="3" s="1"/>
  <c r="BS403" i="3"/>
  <c r="BT403" i="3"/>
  <c r="BB404" i="3"/>
  <c r="BC404" i="3"/>
  <c r="BD404" i="3"/>
  <c r="BE404" i="3"/>
  <c r="BF404" i="3"/>
  <c r="BG404" i="3"/>
  <c r="BH404" i="3"/>
  <c r="BI404" i="3"/>
  <c r="BJ404" i="3"/>
  <c r="BK404" i="3"/>
  <c r="BA404" i="3"/>
  <c r="BM404" i="3"/>
  <c r="BN404" i="3"/>
  <c r="BO404" i="3"/>
  <c r="BP404" i="3"/>
  <c r="BQ404" i="3"/>
  <c r="BR404" i="3"/>
  <c r="BL404" i="3" s="1"/>
  <c r="AZ404" i="3" s="1"/>
  <c r="BS404" i="3"/>
  <c r="BT404" i="3"/>
  <c r="BB405" i="3"/>
  <c r="BC405" i="3"/>
  <c r="BD405" i="3"/>
  <c r="BE405" i="3"/>
  <c r="BF405" i="3"/>
  <c r="BG405" i="3"/>
  <c r="BH405" i="3"/>
  <c r="BI405" i="3"/>
  <c r="BJ405" i="3"/>
  <c r="BK405" i="3"/>
  <c r="BA405" i="3"/>
  <c r="BM405" i="3"/>
  <c r="BN405" i="3"/>
  <c r="BO405" i="3"/>
  <c r="BP405" i="3"/>
  <c r="BQ405" i="3"/>
  <c r="BR405" i="3"/>
  <c r="BL405" i="3" s="1"/>
  <c r="AZ405" i="3" s="1"/>
  <c r="BS405" i="3"/>
  <c r="BT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s="1"/>
  <c r="AZ407" i="3" s="1"/>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L408" i="3" s="1"/>
  <c r="AZ408" i="3" s="1"/>
  <c r="BS408" i="3"/>
  <c r="BT408" i="3"/>
  <c r="BB409" i="3"/>
  <c r="BC409" i="3"/>
  <c r="BD409" i="3"/>
  <c r="BE409" i="3"/>
  <c r="BF409" i="3"/>
  <c r="BG409" i="3"/>
  <c r="BH409" i="3"/>
  <c r="BI409" i="3"/>
  <c r="BJ409" i="3"/>
  <c r="BK409" i="3"/>
  <c r="BA409" i="3" s="1"/>
  <c r="AZ409" i="3" s="1"/>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L410" i="3" s="1"/>
  <c r="AZ410" i="3" s="1"/>
  <c r="BQ410" i="3"/>
  <c r="BR410" i="3"/>
  <c r="BS410" i="3"/>
  <c r="BT410" i="3"/>
  <c r="BB411" i="3"/>
  <c r="BC411" i="3"/>
  <c r="BD411" i="3"/>
  <c r="BE411" i="3"/>
  <c r="BF411" i="3"/>
  <c r="BG411" i="3"/>
  <c r="BH411" i="3"/>
  <c r="BI411" i="3"/>
  <c r="BA411" i="3" s="1"/>
  <c r="AZ411" i="3" s="1"/>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L412" i="3" s="1"/>
  <c r="AZ412" i="3" s="1"/>
  <c r="BS412" i="3"/>
  <c r="BT412" i="3"/>
  <c r="BB413" i="3"/>
  <c r="BC413" i="3"/>
  <c r="BD413" i="3"/>
  <c r="BE413" i="3"/>
  <c r="BF413" i="3"/>
  <c r="BG413" i="3"/>
  <c r="BH413" i="3"/>
  <c r="BI413" i="3"/>
  <c r="BJ413" i="3"/>
  <c r="BK413" i="3"/>
  <c r="BA413" i="3" s="1"/>
  <c r="AZ413" i="3" s="1"/>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L414" i="3" s="1"/>
  <c r="AZ414" i="3" s="1"/>
  <c r="BS414" i="3"/>
  <c r="BT414" i="3"/>
  <c r="BB415" i="3"/>
  <c r="BC415" i="3"/>
  <c r="BD415" i="3"/>
  <c r="BE415" i="3"/>
  <c r="BF415" i="3"/>
  <c r="BG415" i="3"/>
  <c r="BH415" i="3"/>
  <c r="BI415" i="3"/>
  <c r="BJ415" i="3"/>
  <c r="BK415" i="3"/>
  <c r="BA415" i="3"/>
  <c r="BM415" i="3"/>
  <c r="BN415" i="3"/>
  <c r="BO415" i="3"/>
  <c r="BP415" i="3"/>
  <c r="BQ415" i="3"/>
  <c r="BR415" i="3"/>
  <c r="BS415" i="3"/>
  <c r="BT415" i="3"/>
  <c r="BL415" i="3" s="1"/>
  <c r="AZ415" i="3" s="1"/>
  <c r="BB416" i="3"/>
  <c r="BC416" i="3"/>
  <c r="BD416" i="3"/>
  <c r="BE416" i="3"/>
  <c r="BF416" i="3"/>
  <c r="BG416" i="3"/>
  <c r="BH416" i="3"/>
  <c r="BI416" i="3"/>
  <c r="BJ416" i="3"/>
  <c r="BK416" i="3"/>
  <c r="BA416" i="3"/>
  <c r="BM416" i="3"/>
  <c r="BN416" i="3"/>
  <c r="BO416" i="3"/>
  <c r="BP416" i="3"/>
  <c r="BQ416" i="3"/>
  <c r="BR416" i="3"/>
  <c r="BS416" i="3"/>
  <c r="BT416" i="3"/>
  <c r="BL416" i="3" s="1"/>
  <c r="AZ416" i="3" s="1"/>
  <c r="BB417" i="3"/>
  <c r="BC417" i="3"/>
  <c r="BD417" i="3"/>
  <c r="BE417" i="3"/>
  <c r="BF417" i="3"/>
  <c r="BG417" i="3"/>
  <c r="BH417" i="3"/>
  <c r="BI417" i="3"/>
  <c r="BJ417" i="3"/>
  <c r="BK417" i="3"/>
  <c r="BA417" i="3"/>
  <c r="BM417" i="3"/>
  <c r="BN417" i="3"/>
  <c r="BO417" i="3"/>
  <c r="BP417" i="3"/>
  <c r="BQ417" i="3"/>
  <c r="BR417" i="3"/>
  <c r="BS417" i="3"/>
  <c r="BT417" i="3"/>
  <c r="BL417" i="3" s="1"/>
  <c r="AZ417" i="3" s="1"/>
  <c r="BB418" i="3"/>
  <c r="BC418" i="3"/>
  <c r="BD418" i="3"/>
  <c r="BE418" i="3"/>
  <c r="BF418" i="3"/>
  <c r="BG418" i="3"/>
  <c r="BH418" i="3"/>
  <c r="BI418" i="3"/>
  <c r="BJ418" i="3"/>
  <c r="BK418" i="3"/>
  <c r="BA418" i="3"/>
  <c r="BM418" i="3"/>
  <c r="BN418" i="3"/>
  <c r="BO418" i="3"/>
  <c r="BP418" i="3"/>
  <c r="BQ418" i="3"/>
  <c r="BR418" i="3"/>
  <c r="BS418" i="3"/>
  <c r="BT418" i="3"/>
  <c r="BL418" i="3" s="1"/>
  <c r="AZ418" i="3" s="1"/>
  <c r="BB419" i="3"/>
  <c r="BC419" i="3"/>
  <c r="BD419" i="3"/>
  <c r="BE419" i="3"/>
  <c r="BF419" i="3"/>
  <c r="BG419" i="3"/>
  <c r="BH419" i="3"/>
  <c r="BI419" i="3"/>
  <c r="BJ419" i="3"/>
  <c r="BK419" i="3"/>
  <c r="BA419" i="3"/>
  <c r="BM419" i="3"/>
  <c r="BN419" i="3"/>
  <c r="BO419" i="3"/>
  <c r="BP419" i="3"/>
  <c r="BQ419" i="3"/>
  <c r="BR419" i="3"/>
  <c r="BS419" i="3"/>
  <c r="BT419" i="3"/>
  <c r="BL419" i="3" s="1"/>
  <c r="AZ419" i="3" s="1"/>
  <c r="BB420" i="3"/>
  <c r="BC420" i="3"/>
  <c r="BD420" i="3"/>
  <c r="BE420" i="3"/>
  <c r="BF420" i="3"/>
  <c r="BG420" i="3"/>
  <c r="BH420" i="3"/>
  <c r="BI420" i="3"/>
  <c r="BJ420" i="3"/>
  <c r="BK420" i="3"/>
  <c r="BA420" i="3"/>
  <c r="BM420" i="3"/>
  <c r="BN420" i="3"/>
  <c r="BO420" i="3"/>
  <c r="BP420" i="3"/>
  <c r="BQ420" i="3"/>
  <c r="BR420" i="3"/>
  <c r="BL420" i="3" s="1"/>
  <c r="AZ420" i="3" s="1"/>
  <c r="BS420" i="3"/>
  <c r="BT420" i="3"/>
  <c r="BB421" i="3"/>
  <c r="BC421" i="3"/>
  <c r="BD421" i="3"/>
  <c r="BE421" i="3"/>
  <c r="BF421" i="3"/>
  <c r="BG421" i="3"/>
  <c r="BH421" i="3"/>
  <c r="BI421" i="3"/>
  <c r="BJ421" i="3"/>
  <c r="BK421" i="3"/>
  <c r="BA421" i="3"/>
  <c r="BM421" i="3"/>
  <c r="BN421" i="3"/>
  <c r="BO421" i="3"/>
  <c r="BP421" i="3"/>
  <c r="BQ421" i="3"/>
  <c r="BR421" i="3"/>
  <c r="BS421" i="3"/>
  <c r="BT421" i="3"/>
  <c r="BL421" i="3"/>
  <c r="AZ421" i="3" s="1"/>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s="1"/>
  <c r="BB424" i="3"/>
  <c r="BC424" i="3"/>
  <c r="BD424" i="3"/>
  <c r="BE424" i="3"/>
  <c r="BF424" i="3"/>
  <c r="BG424" i="3"/>
  <c r="BH424" i="3"/>
  <c r="BI424" i="3"/>
  <c r="BJ424" i="3"/>
  <c r="BK424" i="3"/>
  <c r="BA424" i="3"/>
  <c r="BM424" i="3"/>
  <c r="BN424" i="3"/>
  <c r="BO424" i="3"/>
  <c r="BP424" i="3"/>
  <c r="BQ424" i="3"/>
  <c r="BR424" i="3"/>
  <c r="BL424" i="3" s="1"/>
  <c r="AZ424" i="3" s="1"/>
  <c r="BS424" i="3"/>
  <c r="BT424" i="3"/>
  <c r="BB425" i="3"/>
  <c r="BC425" i="3"/>
  <c r="BD425" i="3"/>
  <c r="BE425" i="3"/>
  <c r="BF425" i="3"/>
  <c r="BG425" i="3"/>
  <c r="BH425" i="3"/>
  <c r="BI425" i="3"/>
  <c r="BJ425" i="3"/>
  <c r="BK425" i="3"/>
  <c r="BA425" i="3" s="1"/>
  <c r="AZ425" i="3" s="1"/>
  <c r="BM425" i="3"/>
  <c r="BN425" i="3"/>
  <c r="BO425" i="3"/>
  <c r="BP425" i="3"/>
  <c r="BQ425" i="3"/>
  <c r="BR425" i="3"/>
  <c r="BS425" i="3"/>
  <c r="BT425" i="3"/>
  <c r="BL425" i="3"/>
  <c r="BB426" i="3"/>
  <c r="BC426" i="3"/>
  <c r="BD426" i="3"/>
  <c r="BE426" i="3"/>
  <c r="BF426" i="3"/>
  <c r="BG426" i="3"/>
  <c r="BH426" i="3"/>
  <c r="BI426" i="3"/>
  <c r="BJ426" i="3"/>
  <c r="BK426" i="3"/>
  <c r="BA426" i="3"/>
  <c r="BM426" i="3"/>
  <c r="BN426" i="3"/>
  <c r="BO426" i="3"/>
  <c r="BP426" i="3"/>
  <c r="BQ426" i="3"/>
  <c r="BR426" i="3"/>
  <c r="BS426" i="3"/>
  <c r="BT426" i="3"/>
  <c r="BL426" i="3"/>
  <c r="AZ426" i="3" s="1"/>
  <c r="BB427" i="3"/>
  <c r="BC427" i="3"/>
  <c r="BD427" i="3"/>
  <c r="BE427" i="3"/>
  <c r="BF427" i="3"/>
  <c r="BG427" i="3"/>
  <c r="BH427" i="3"/>
  <c r="BI427" i="3"/>
  <c r="BJ427" i="3"/>
  <c r="BK427" i="3"/>
  <c r="BA427" i="3"/>
  <c r="BM427" i="3"/>
  <c r="BN427" i="3"/>
  <c r="BO427" i="3"/>
  <c r="BP427" i="3"/>
  <c r="BL427" i="3" s="1"/>
  <c r="AZ427" i="3" s="1"/>
  <c r="BQ427" i="3"/>
  <c r="BR427" i="3"/>
  <c r="BS427" i="3"/>
  <c r="BT427" i="3"/>
  <c r="BB428" i="3"/>
  <c r="BC428" i="3"/>
  <c r="BD428" i="3"/>
  <c r="BE428" i="3"/>
  <c r="BF428" i="3"/>
  <c r="BG428" i="3"/>
  <c r="BH428" i="3"/>
  <c r="BI428" i="3"/>
  <c r="BJ428" i="3"/>
  <c r="BK428" i="3"/>
  <c r="BA428" i="3" s="1"/>
  <c r="AZ428" i="3" s="1"/>
  <c r="BM428" i="3"/>
  <c r="BN428" i="3"/>
  <c r="BO428" i="3"/>
  <c r="BP428" i="3"/>
  <c r="BQ428" i="3"/>
  <c r="BR428" i="3"/>
  <c r="BS428" i="3"/>
  <c r="BT428" i="3"/>
  <c r="BL428" i="3"/>
  <c r="BB429" i="3"/>
  <c r="BC429" i="3"/>
  <c r="BD429" i="3"/>
  <c r="BE429" i="3"/>
  <c r="BF429" i="3"/>
  <c r="BG429" i="3"/>
  <c r="BH429" i="3"/>
  <c r="BI429" i="3"/>
  <c r="BJ429" i="3"/>
  <c r="BK429" i="3"/>
  <c r="BA429" i="3"/>
  <c r="BM429" i="3"/>
  <c r="BN429" i="3"/>
  <c r="BO429" i="3"/>
  <c r="BP429" i="3"/>
  <c r="BQ429" i="3"/>
  <c r="BR429" i="3"/>
  <c r="BL429" i="3" s="1"/>
  <c r="AZ429" i="3" s="1"/>
  <c r="BS429" i="3"/>
  <c r="BT429" i="3"/>
  <c r="BB430" i="3"/>
  <c r="BC430" i="3"/>
  <c r="BD430" i="3"/>
  <c r="BE430" i="3"/>
  <c r="BF430" i="3"/>
  <c r="BG430" i="3"/>
  <c r="BH430" i="3"/>
  <c r="BI430" i="3"/>
  <c r="BJ430" i="3"/>
  <c r="BK430" i="3"/>
  <c r="BA430" i="3"/>
  <c r="BM430" i="3"/>
  <c r="BN430" i="3"/>
  <c r="BO430" i="3"/>
  <c r="BP430" i="3"/>
  <c r="BQ430" i="3"/>
  <c r="BR430" i="3"/>
  <c r="BL430" i="3" s="1"/>
  <c r="AZ430" i="3" s="1"/>
  <c r="BS430" i="3"/>
  <c r="BT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L432" i="3" s="1"/>
  <c r="AZ432" i="3" s="1"/>
  <c r="BS432" i="3"/>
  <c r="BT432" i="3"/>
  <c r="BB433" i="3"/>
  <c r="BC433" i="3"/>
  <c r="BD433" i="3"/>
  <c r="BE433" i="3"/>
  <c r="BF433" i="3"/>
  <c r="BG433" i="3"/>
  <c r="BH433" i="3"/>
  <c r="BI433" i="3"/>
  <c r="BJ433" i="3"/>
  <c r="BK433" i="3"/>
  <c r="BA433" i="3"/>
  <c r="BM433" i="3"/>
  <c r="BN433" i="3"/>
  <c r="BO433" i="3"/>
  <c r="BP433" i="3"/>
  <c r="BQ433" i="3"/>
  <c r="BR433" i="3"/>
  <c r="BS433" i="3"/>
  <c r="BT433" i="3"/>
  <c r="BL433" i="3"/>
  <c r="AZ433" i="3" s="1"/>
  <c r="BB434" i="3"/>
  <c r="BC434" i="3"/>
  <c r="BD434" i="3"/>
  <c r="BE434" i="3"/>
  <c r="BF434" i="3"/>
  <c r="BG434" i="3"/>
  <c r="BH434" i="3"/>
  <c r="BI434" i="3"/>
  <c r="BJ434" i="3"/>
  <c r="BK434" i="3"/>
  <c r="BA434" i="3"/>
  <c r="BM434" i="3"/>
  <c r="BN434" i="3"/>
  <c r="BO434" i="3"/>
  <c r="BP434" i="3"/>
  <c r="BQ434" i="3"/>
  <c r="BR434" i="3"/>
  <c r="BL434" i="3" s="1"/>
  <c r="AZ434" i="3" s="1"/>
  <c r="BS434" i="3"/>
  <c r="BT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s="1"/>
  <c r="AZ437" i="3" s="1"/>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s="1"/>
  <c r="AZ439" i="3" s="1"/>
  <c r="BB440" i="3"/>
  <c r="BC440" i="3"/>
  <c r="BD440" i="3"/>
  <c r="BE440" i="3"/>
  <c r="BF440" i="3"/>
  <c r="BG440" i="3"/>
  <c r="BH440" i="3"/>
  <c r="BI440" i="3"/>
  <c r="BJ440" i="3"/>
  <c r="BK440" i="3"/>
  <c r="BA440" i="3"/>
  <c r="BM440" i="3"/>
  <c r="BN440" i="3"/>
  <c r="BO440" i="3"/>
  <c r="BP440" i="3"/>
  <c r="BQ440" i="3"/>
  <c r="BR440" i="3"/>
  <c r="BS440" i="3"/>
  <c r="BT440" i="3"/>
  <c r="BL440" i="3" s="1"/>
  <c r="AZ440" i="3" s="1"/>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s="1"/>
  <c r="AZ442" i="3" s="1"/>
  <c r="BB443" i="3"/>
  <c r="BC443" i="3"/>
  <c r="BD443" i="3"/>
  <c r="BE443" i="3"/>
  <c r="BF443" i="3"/>
  <c r="BG443" i="3"/>
  <c r="BH443" i="3"/>
  <c r="BI443" i="3"/>
  <c r="BJ443" i="3"/>
  <c r="BK443" i="3"/>
  <c r="BA443" i="3"/>
  <c r="BM443" i="3"/>
  <c r="BN443" i="3"/>
  <c r="BO443" i="3"/>
  <c r="BP443" i="3"/>
  <c r="BQ443" i="3"/>
  <c r="BR443" i="3"/>
  <c r="BL443" i="3" s="1"/>
  <c r="AZ443" i="3" s="1"/>
  <c r="BS443" i="3"/>
  <c r="BT443" i="3"/>
  <c r="BB444" i="3"/>
  <c r="BC444" i="3"/>
  <c r="BD444" i="3"/>
  <c r="BE444" i="3"/>
  <c r="BF444" i="3"/>
  <c r="BG444" i="3"/>
  <c r="BH444" i="3"/>
  <c r="BI444" i="3"/>
  <c r="BJ444" i="3"/>
  <c r="BK444" i="3"/>
  <c r="BA444" i="3"/>
  <c r="BM444" i="3"/>
  <c r="BN444" i="3"/>
  <c r="BO444" i="3"/>
  <c r="BP444" i="3"/>
  <c r="BQ444" i="3"/>
  <c r="BR444" i="3"/>
  <c r="BS444" i="3"/>
  <c r="BT444" i="3"/>
  <c r="BL444" i="3"/>
  <c r="AZ444" i="3" s="1"/>
  <c r="BB445" i="3"/>
  <c r="BC445" i="3"/>
  <c r="BD445" i="3"/>
  <c r="BE445" i="3"/>
  <c r="BF445" i="3"/>
  <c r="BG445" i="3"/>
  <c r="BH445" i="3"/>
  <c r="BI445" i="3"/>
  <c r="BJ445" i="3"/>
  <c r="BK445" i="3"/>
  <c r="BA445" i="3"/>
  <c r="BM445" i="3"/>
  <c r="BN445" i="3"/>
  <c r="BO445" i="3"/>
  <c r="BP445" i="3"/>
  <c r="BQ445" i="3"/>
  <c r="BR445" i="3"/>
  <c r="BS445" i="3"/>
  <c r="BT445" i="3"/>
  <c r="BL445" i="3"/>
  <c r="AZ445" i="3" s="1"/>
  <c r="BB446" i="3"/>
  <c r="BC446" i="3"/>
  <c r="BD446" i="3"/>
  <c r="BE446" i="3"/>
  <c r="BF446" i="3"/>
  <c r="BG446" i="3"/>
  <c r="BH446" i="3"/>
  <c r="BI446" i="3"/>
  <c r="BJ446" i="3"/>
  <c r="BK446" i="3"/>
  <c r="BA446" i="3"/>
  <c r="BM446" i="3"/>
  <c r="BN446" i="3"/>
  <c r="BO446" i="3"/>
  <c r="BP446" i="3"/>
  <c r="BQ446" i="3"/>
  <c r="BR446" i="3"/>
  <c r="BS446" i="3"/>
  <c r="BT446" i="3"/>
  <c r="BL446" i="3" s="1"/>
  <c r="AZ446" i="3" s="1"/>
  <c r="BB447" i="3"/>
  <c r="BC447" i="3"/>
  <c r="BD447" i="3"/>
  <c r="BE447" i="3"/>
  <c r="BF447" i="3"/>
  <c r="BG447" i="3"/>
  <c r="BH447" i="3"/>
  <c r="BI447" i="3"/>
  <c r="BJ447" i="3"/>
  <c r="BK447" i="3"/>
  <c r="BA447" i="3" s="1"/>
  <c r="AZ447" i="3" s="1"/>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L448" i="3" s="1"/>
  <c r="AZ448" i="3" s="1"/>
  <c r="BS448" i="3"/>
  <c r="BT448" i="3"/>
  <c r="BB449" i="3"/>
  <c r="BC449" i="3"/>
  <c r="BD449" i="3"/>
  <c r="BE449" i="3"/>
  <c r="BF449" i="3"/>
  <c r="BG449" i="3"/>
  <c r="BH449" i="3"/>
  <c r="BI449" i="3"/>
  <c r="BJ449" i="3"/>
  <c r="BK449" i="3"/>
  <c r="BA449" i="3"/>
  <c r="BM449" i="3"/>
  <c r="BN449" i="3"/>
  <c r="BO449" i="3"/>
  <c r="BP449" i="3"/>
  <c r="BL449" i="3" s="1"/>
  <c r="AZ449" i="3" s="1"/>
  <c r="BQ449" i="3"/>
  <c r="BR449" i="3"/>
  <c r="BS449" i="3"/>
  <c r="BT449" i="3"/>
  <c r="BB450" i="3"/>
  <c r="BC450" i="3"/>
  <c r="BD450" i="3"/>
  <c r="BE450" i="3"/>
  <c r="BF450" i="3"/>
  <c r="BG450" i="3"/>
  <c r="BH450" i="3"/>
  <c r="BI450" i="3"/>
  <c r="BA450" i="3" s="1"/>
  <c r="AZ450" i="3" s="1"/>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D452" i="3"/>
  <c r="BE452" i="3"/>
  <c r="BF452" i="3"/>
  <c r="BG452" i="3"/>
  <c r="BA452" i="3" s="1"/>
  <c r="AZ452" i="3" s="1"/>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O453" i="3"/>
  <c r="BP453" i="3"/>
  <c r="BQ453" i="3"/>
  <c r="BR453" i="3"/>
  <c r="BL453" i="3" s="1"/>
  <c r="AZ453" i="3" s="1"/>
  <c r="BS453" i="3"/>
  <c r="BT453" i="3"/>
  <c r="BB454" i="3"/>
  <c r="BC454" i="3"/>
  <c r="BD454" i="3"/>
  <c r="BE454" i="3"/>
  <c r="BF454" i="3"/>
  <c r="BG454" i="3"/>
  <c r="BH454" i="3"/>
  <c r="BI454" i="3"/>
  <c r="BA454" i="3" s="1"/>
  <c r="AZ454" i="3" s="1"/>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S455" i="3"/>
  <c r="BT455" i="3"/>
  <c r="BL455" i="3"/>
  <c r="AZ455" i="3" s="1"/>
  <c r="BB456" i="3"/>
  <c r="BC456" i="3"/>
  <c r="BD456" i="3"/>
  <c r="BE456" i="3"/>
  <c r="BF456" i="3"/>
  <c r="BG456" i="3"/>
  <c r="BH456" i="3"/>
  <c r="BI456" i="3"/>
  <c r="BJ456" i="3"/>
  <c r="BK456" i="3"/>
  <c r="BA456" i="3"/>
  <c r="BM456" i="3"/>
  <c r="BN456" i="3"/>
  <c r="BO456" i="3"/>
  <c r="BP456" i="3"/>
  <c r="BL456" i="3" s="1"/>
  <c r="AZ456" i="3" s="1"/>
  <c r="BQ456" i="3"/>
  <c r="BR456" i="3"/>
  <c r="BS456" i="3"/>
  <c r="BT456" i="3"/>
  <c r="BB457" i="3"/>
  <c r="BC457" i="3"/>
  <c r="BD457" i="3"/>
  <c r="BE457" i="3"/>
  <c r="BF457" i="3"/>
  <c r="BG457" i="3"/>
  <c r="BH457" i="3"/>
  <c r="BI457" i="3"/>
  <c r="BJ457" i="3"/>
  <c r="BK457" i="3"/>
  <c r="BA457" i="3"/>
  <c r="BM457" i="3"/>
  <c r="BN457" i="3"/>
  <c r="BO457" i="3"/>
  <c r="BP457" i="3"/>
  <c r="BQ457" i="3"/>
  <c r="BR457" i="3"/>
  <c r="BL457" i="3" s="1"/>
  <c r="AZ457" i="3" s="1"/>
  <c r="BS457" i="3"/>
  <c r="BT457" i="3"/>
  <c r="BB458" i="3"/>
  <c r="BC458" i="3"/>
  <c r="BD458" i="3"/>
  <c r="BE458" i="3"/>
  <c r="BF458" i="3"/>
  <c r="BG458" i="3"/>
  <c r="BH458" i="3"/>
  <c r="BI458" i="3"/>
  <c r="BJ458" i="3"/>
  <c r="BK458" i="3"/>
  <c r="BA458" i="3" s="1"/>
  <c r="AZ458" i="3" s="1"/>
  <c r="BM458" i="3"/>
  <c r="BN458" i="3"/>
  <c r="BO458" i="3"/>
  <c r="BP458" i="3"/>
  <c r="BQ458" i="3"/>
  <c r="BR458" i="3"/>
  <c r="BS458" i="3"/>
  <c r="BT458" i="3"/>
  <c r="BL458" i="3"/>
  <c r="BB459" i="3"/>
  <c r="BC459" i="3"/>
  <c r="BD459" i="3"/>
  <c r="BE459" i="3"/>
  <c r="BF459" i="3"/>
  <c r="BG459" i="3"/>
  <c r="BH459" i="3"/>
  <c r="BI459" i="3"/>
  <c r="BJ459" i="3"/>
  <c r="BK459" i="3"/>
  <c r="BA459" i="3"/>
  <c r="BM459" i="3"/>
  <c r="BN459" i="3"/>
  <c r="BO459" i="3"/>
  <c r="BP459" i="3"/>
  <c r="BQ459" i="3"/>
  <c r="BR459" i="3"/>
  <c r="BS459" i="3"/>
  <c r="BT459" i="3"/>
  <c r="BL459" i="3" s="1"/>
  <c r="AZ459" i="3" s="1"/>
  <c r="BB460" i="3"/>
  <c r="BC460" i="3"/>
  <c r="BD460" i="3"/>
  <c r="BE460" i="3"/>
  <c r="BF460" i="3"/>
  <c r="BG460" i="3"/>
  <c r="BH460" i="3"/>
  <c r="BI460" i="3"/>
  <c r="BJ460" i="3"/>
  <c r="BK460" i="3"/>
  <c r="BA460" i="3"/>
  <c r="BM460" i="3"/>
  <c r="BN460" i="3"/>
  <c r="BO460" i="3"/>
  <c r="BP460" i="3"/>
  <c r="BQ460" i="3"/>
  <c r="BR460" i="3"/>
  <c r="BS460" i="3"/>
  <c r="BT460" i="3"/>
  <c r="BL460" i="3" s="1"/>
  <c r="AZ460" i="3" s="1"/>
  <c r="BB461" i="3"/>
  <c r="BC461" i="3"/>
  <c r="BD461" i="3"/>
  <c r="BE461" i="3"/>
  <c r="BF461" i="3"/>
  <c r="BG461" i="3"/>
  <c r="BH461" i="3"/>
  <c r="BI461" i="3"/>
  <c r="BJ461" i="3"/>
  <c r="BK461" i="3"/>
  <c r="BA461" i="3"/>
  <c r="BM461" i="3"/>
  <c r="BN461" i="3"/>
  <c r="BO461" i="3"/>
  <c r="BP461" i="3"/>
  <c r="BQ461" i="3"/>
  <c r="BR461" i="3"/>
  <c r="BL461" i="3" s="1"/>
  <c r="AZ461" i="3" s="1"/>
  <c r="BS461" i="3"/>
  <c r="BT461" i="3"/>
  <c r="BB462" i="3"/>
  <c r="BC462" i="3"/>
  <c r="BD462" i="3"/>
  <c r="BE462" i="3"/>
  <c r="BF462" i="3"/>
  <c r="BG462" i="3"/>
  <c r="BH462" i="3"/>
  <c r="BI462" i="3"/>
  <c r="BJ462" i="3"/>
  <c r="BK462" i="3"/>
  <c r="BA462" i="3" s="1"/>
  <c r="AZ462" i="3" s="1"/>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L463" i="3" s="1"/>
  <c r="AZ463" i="3" s="1"/>
  <c r="BQ463" i="3"/>
  <c r="BR463" i="3"/>
  <c r="BS463" i="3"/>
  <c r="BT463" i="3"/>
  <c r="BB464" i="3"/>
  <c r="BC464" i="3"/>
  <c r="BD464" i="3"/>
  <c r="BE464" i="3"/>
  <c r="BF464" i="3"/>
  <c r="BG464" i="3"/>
  <c r="BH464" i="3"/>
  <c r="BI464" i="3"/>
  <c r="BJ464" i="3"/>
  <c r="BK464" i="3"/>
  <c r="BA464" i="3" s="1"/>
  <c r="AZ464" i="3" s="1"/>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L465" i="3" s="1"/>
  <c r="AZ465" i="3" s="1"/>
  <c r="BB466" i="3"/>
  <c r="BC466" i="3"/>
  <c r="BD466" i="3"/>
  <c r="BE466" i="3"/>
  <c r="BF466" i="3"/>
  <c r="BG466" i="3"/>
  <c r="BH466" i="3"/>
  <c r="BI466" i="3"/>
  <c r="BJ466" i="3"/>
  <c r="BK466" i="3"/>
  <c r="BA466" i="3"/>
  <c r="BM466" i="3"/>
  <c r="BN466" i="3"/>
  <c r="BO466" i="3"/>
  <c r="BP466" i="3"/>
  <c r="BQ466" i="3"/>
  <c r="BR466" i="3"/>
  <c r="BS466" i="3"/>
  <c r="BT466" i="3"/>
  <c r="BL466" i="3"/>
  <c r="AZ466" i="3" s="1"/>
  <c r="BB467" i="3"/>
  <c r="BC467" i="3"/>
  <c r="BD467" i="3"/>
  <c r="BE467" i="3"/>
  <c r="BF467" i="3"/>
  <c r="BG467" i="3"/>
  <c r="BH467" i="3"/>
  <c r="BI467" i="3"/>
  <c r="BJ467" i="3"/>
  <c r="BK467" i="3"/>
  <c r="BA467" i="3"/>
  <c r="BM467" i="3"/>
  <c r="BN467" i="3"/>
  <c r="BO467" i="3"/>
  <c r="BP467" i="3"/>
  <c r="BQ467" i="3"/>
  <c r="BR467" i="3"/>
  <c r="BS467" i="3"/>
  <c r="BT467" i="3"/>
  <c r="BL467" i="3" s="1"/>
  <c r="AZ467" i="3" s="1"/>
  <c r="BB468" i="3"/>
  <c r="BC468" i="3"/>
  <c r="BD468" i="3"/>
  <c r="BE468" i="3"/>
  <c r="BF468" i="3"/>
  <c r="BG468" i="3"/>
  <c r="BH468" i="3"/>
  <c r="BI468" i="3"/>
  <c r="BJ468" i="3"/>
  <c r="BK468" i="3"/>
  <c r="BA468" i="3"/>
  <c r="BM468" i="3"/>
  <c r="BN468" i="3"/>
  <c r="BO468" i="3"/>
  <c r="BP468" i="3"/>
  <c r="BQ468" i="3"/>
  <c r="BR468" i="3"/>
  <c r="BS468" i="3"/>
  <c r="BT468" i="3"/>
  <c r="BL468" i="3" s="1"/>
  <c r="AZ468" i="3" s="1"/>
  <c r="BB469" i="3"/>
  <c r="BC469" i="3"/>
  <c r="BD469" i="3"/>
  <c r="BE469" i="3"/>
  <c r="BF469" i="3"/>
  <c r="BG469" i="3"/>
  <c r="BH469" i="3"/>
  <c r="BI469" i="3"/>
  <c r="BJ469" i="3"/>
  <c r="BK469" i="3"/>
  <c r="BA469" i="3"/>
  <c r="BM469" i="3"/>
  <c r="BN469" i="3"/>
  <c r="BO469" i="3"/>
  <c r="BP469" i="3"/>
  <c r="BQ469" i="3"/>
  <c r="BR469" i="3"/>
  <c r="BL469" i="3" s="1"/>
  <c r="AZ469" i="3" s="1"/>
  <c r="BS469" i="3"/>
  <c r="BT469" i="3"/>
  <c r="BB470" i="3"/>
  <c r="BC470" i="3"/>
  <c r="BD470" i="3"/>
  <c r="BE470" i="3"/>
  <c r="BF470" i="3"/>
  <c r="BG470" i="3"/>
  <c r="BH470" i="3"/>
  <c r="BI470" i="3"/>
  <c r="BJ470" i="3"/>
  <c r="BK470" i="3"/>
  <c r="BA470" i="3"/>
  <c r="BM470" i="3"/>
  <c r="BN470" i="3"/>
  <c r="BO470" i="3"/>
  <c r="BP470" i="3"/>
  <c r="BQ470" i="3"/>
  <c r="BR470" i="3"/>
  <c r="BS470" i="3"/>
  <c r="BT470" i="3"/>
  <c r="BL470" i="3" s="1"/>
  <c r="AZ470" i="3" s="1"/>
  <c r="BB471" i="3"/>
  <c r="BC471" i="3"/>
  <c r="BD471" i="3"/>
  <c r="BE471" i="3"/>
  <c r="BF471" i="3"/>
  <c r="BG471" i="3"/>
  <c r="BH471" i="3"/>
  <c r="BI471" i="3"/>
  <c r="BJ471" i="3"/>
  <c r="BK471" i="3"/>
  <c r="BA471" i="3"/>
  <c r="BM471" i="3"/>
  <c r="BN471" i="3"/>
  <c r="BO471" i="3"/>
  <c r="BP471" i="3"/>
  <c r="BL471" i="3" s="1"/>
  <c r="AZ471" i="3" s="1"/>
  <c r="BQ471" i="3"/>
  <c r="BR471" i="3"/>
  <c r="BS471" i="3"/>
  <c r="BT471" i="3"/>
  <c r="BB472" i="3"/>
  <c r="BC472" i="3"/>
  <c r="BD472" i="3"/>
  <c r="BE472" i="3"/>
  <c r="BF472" i="3"/>
  <c r="BG472" i="3"/>
  <c r="BH472" i="3"/>
  <c r="BI472" i="3"/>
  <c r="BJ472" i="3"/>
  <c r="BK472" i="3"/>
  <c r="BA472" i="3" s="1"/>
  <c r="AZ472" i="3" s="1"/>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L473" i="3" s="1"/>
  <c r="AZ473" i="3" s="1"/>
  <c r="BQ473" i="3"/>
  <c r="BR473" i="3"/>
  <c r="BS473" i="3"/>
  <c r="BT473" i="3"/>
  <c r="BB474" i="3"/>
  <c r="BC474" i="3"/>
  <c r="BD474" i="3"/>
  <c r="BE474" i="3"/>
  <c r="BF474" i="3"/>
  <c r="BG474" i="3"/>
  <c r="BA474" i="3" s="1"/>
  <c r="AZ474" i="3" s="1"/>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s="1"/>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s="1"/>
  <c r="AZ479" i="3" s="1"/>
  <c r="BB480" i="3"/>
  <c r="BC480" i="3"/>
  <c r="BD480" i="3"/>
  <c r="BE480" i="3"/>
  <c r="BF480" i="3"/>
  <c r="BG480" i="3"/>
  <c r="BH480" i="3"/>
  <c r="BI480" i="3"/>
  <c r="BJ480" i="3"/>
  <c r="BK480" i="3"/>
  <c r="BA480" i="3"/>
  <c r="BM480" i="3"/>
  <c r="BN480" i="3"/>
  <c r="BO480" i="3"/>
  <c r="BP480" i="3"/>
  <c r="BQ480" i="3"/>
  <c r="BR480" i="3"/>
  <c r="BS480" i="3"/>
  <c r="BT480" i="3"/>
  <c r="BL480" i="3" s="1"/>
  <c r="AZ480" i="3" s="1"/>
  <c r="BB481" i="3"/>
  <c r="BC481" i="3"/>
  <c r="BD481" i="3"/>
  <c r="BE481" i="3"/>
  <c r="BF481" i="3"/>
  <c r="BG481" i="3"/>
  <c r="BH481" i="3"/>
  <c r="BI481" i="3"/>
  <c r="BJ481" i="3"/>
  <c r="BK481" i="3"/>
  <c r="BA481" i="3"/>
  <c r="BM481" i="3"/>
  <c r="BN481" i="3"/>
  <c r="BO481" i="3"/>
  <c r="BP481" i="3"/>
  <c r="BQ481" i="3"/>
  <c r="BR481" i="3"/>
  <c r="BL481" i="3" s="1"/>
  <c r="AZ481" i="3" s="1"/>
  <c r="BS481" i="3"/>
  <c r="BT481" i="3"/>
  <c r="BB482" i="3"/>
  <c r="BC482" i="3"/>
  <c r="BD482" i="3"/>
  <c r="BE482" i="3"/>
  <c r="BF482" i="3"/>
  <c r="BG482" i="3"/>
  <c r="BH482" i="3"/>
  <c r="BI482" i="3"/>
  <c r="BJ482" i="3"/>
  <c r="BK482" i="3"/>
  <c r="BA482" i="3"/>
  <c r="BM482" i="3"/>
  <c r="BN482" i="3"/>
  <c r="BO482" i="3"/>
  <c r="BP482" i="3"/>
  <c r="BQ482" i="3"/>
  <c r="BR482" i="3"/>
  <c r="BL482" i="3" s="1"/>
  <c r="AZ482" i="3" s="1"/>
  <c r="BS482" i="3"/>
  <c r="BT482" i="3"/>
  <c r="BB483" i="3"/>
  <c r="BC483" i="3"/>
  <c r="BD483" i="3"/>
  <c r="BE483" i="3"/>
  <c r="BF483" i="3"/>
  <c r="BG483" i="3"/>
  <c r="BH483" i="3"/>
  <c r="BI483" i="3"/>
  <c r="BJ483" i="3"/>
  <c r="BK483" i="3"/>
  <c r="BA483" i="3" s="1"/>
  <c r="AZ483" i="3" s="1"/>
  <c r="BM483" i="3"/>
  <c r="BN483" i="3"/>
  <c r="BO483" i="3"/>
  <c r="BP483" i="3"/>
  <c r="BQ483" i="3"/>
  <c r="BR483" i="3"/>
  <c r="BS483" i="3"/>
  <c r="BT483" i="3"/>
  <c r="BL483" i="3"/>
  <c r="BB484" i="3"/>
  <c r="BC484" i="3"/>
  <c r="BD484" i="3"/>
  <c r="BE484" i="3"/>
  <c r="BF484" i="3"/>
  <c r="BG484" i="3"/>
  <c r="BH484" i="3"/>
  <c r="BI484" i="3"/>
  <c r="BJ484" i="3"/>
  <c r="BK484" i="3"/>
  <c r="BA484" i="3"/>
  <c r="BM484" i="3"/>
  <c r="BN484" i="3"/>
  <c r="BO484" i="3"/>
  <c r="BP484" i="3"/>
  <c r="BQ484" i="3"/>
  <c r="BR484" i="3"/>
  <c r="BL484" i="3" s="1"/>
  <c r="AZ484" i="3" s="1"/>
  <c r="BS484" i="3"/>
  <c r="BT484" i="3"/>
  <c r="BB485" i="3"/>
  <c r="BC485" i="3"/>
  <c r="BD485" i="3"/>
  <c r="BE485" i="3"/>
  <c r="BF485" i="3"/>
  <c r="BG485" i="3"/>
  <c r="BH485" i="3"/>
  <c r="BI485" i="3"/>
  <c r="BJ485" i="3"/>
  <c r="BK485" i="3"/>
  <c r="BA485" i="3"/>
  <c r="BM485" i="3"/>
  <c r="BN485" i="3"/>
  <c r="BO485" i="3"/>
  <c r="BP485" i="3"/>
  <c r="BQ485" i="3"/>
  <c r="BR485" i="3"/>
  <c r="BS485" i="3"/>
  <c r="BT485" i="3"/>
  <c r="BL485" i="3" s="1"/>
  <c r="AZ485" i="3" s="1"/>
  <c r="BB486" i="3"/>
  <c r="BC486" i="3"/>
  <c r="BD486" i="3"/>
  <c r="BE486" i="3"/>
  <c r="BF486" i="3"/>
  <c r="BG486" i="3"/>
  <c r="BH486" i="3"/>
  <c r="BI486" i="3"/>
  <c r="BJ486" i="3"/>
  <c r="BK486" i="3"/>
  <c r="BA486" i="3" s="1"/>
  <c r="AZ486" i="3" s="1"/>
  <c r="BM486" i="3"/>
  <c r="BN486" i="3"/>
  <c r="BO486" i="3"/>
  <c r="BP486" i="3"/>
  <c r="BQ486" i="3"/>
  <c r="BR486" i="3"/>
  <c r="BS486" i="3"/>
  <c r="BT486" i="3"/>
  <c r="BL486" i="3"/>
  <c r="BB487" i="3"/>
  <c r="BC487" i="3"/>
  <c r="BD487" i="3"/>
  <c r="BE487" i="3"/>
  <c r="BF487" i="3"/>
  <c r="BG487" i="3"/>
  <c r="BH487" i="3"/>
  <c r="BI487" i="3"/>
  <c r="BJ487" i="3"/>
  <c r="BK487" i="3"/>
  <c r="BA487" i="3"/>
  <c r="BM487" i="3"/>
  <c r="BN487" i="3"/>
  <c r="BO487" i="3"/>
  <c r="BP487" i="3"/>
  <c r="BQ487" i="3"/>
  <c r="BR487" i="3"/>
  <c r="BS487" i="3"/>
  <c r="BT487" i="3"/>
  <c r="BL487" i="3" s="1"/>
  <c r="AZ487" i="3" s="1"/>
  <c r="BB488" i="3"/>
  <c r="BC488" i="3"/>
  <c r="BD488" i="3"/>
  <c r="BE488" i="3"/>
  <c r="BF488" i="3"/>
  <c r="BG488" i="3"/>
  <c r="BH488" i="3"/>
  <c r="BI488" i="3"/>
  <c r="BJ488" i="3"/>
  <c r="BK488" i="3"/>
  <c r="BA488" i="3" s="1"/>
  <c r="BM488" i="3"/>
  <c r="BN488" i="3"/>
  <c r="BO488" i="3"/>
  <c r="BP488" i="3"/>
  <c r="BL488" i="3" s="1"/>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s="1"/>
  <c r="BB491" i="3"/>
  <c r="BC491" i="3"/>
  <c r="BD491" i="3"/>
  <c r="BE491" i="3"/>
  <c r="BF491" i="3"/>
  <c r="BG491" i="3"/>
  <c r="BH491" i="3"/>
  <c r="BI491" i="3"/>
  <c r="BJ491" i="3"/>
  <c r="BK491" i="3"/>
  <c r="BA491" i="3"/>
  <c r="BM491" i="3"/>
  <c r="BN491" i="3"/>
  <c r="BO491" i="3"/>
  <c r="BP491" i="3"/>
  <c r="BL491" i="3" s="1"/>
  <c r="AZ491" i="3" s="1"/>
  <c r="BQ491" i="3"/>
  <c r="BR491" i="3"/>
  <c r="BS491" i="3"/>
  <c r="BT491" i="3"/>
  <c r="BB492" i="3"/>
  <c r="BC492" i="3"/>
  <c r="BD492" i="3"/>
  <c r="BE492" i="3"/>
  <c r="BF492" i="3"/>
  <c r="BG492" i="3"/>
  <c r="BA492" i="3" s="1"/>
  <c r="AZ492" i="3" s="1"/>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O493" i="3"/>
  <c r="BP493" i="3"/>
  <c r="BQ493" i="3"/>
  <c r="BR493" i="3"/>
  <c r="BL493" i="3" s="1"/>
  <c r="AZ493" i="3" s="1"/>
  <c r="BS493" i="3"/>
  <c r="BT493" i="3"/>
  <c r="BB494" i="3"/>
  <c r="BC494" i="3"/>
  <c r="BD494" i="3"/>
  <c r="BE494" i="3"/>
  <c r="BF494" i="3"/>
  <c r="BG494" i="3"/>
  <c r="BH494" i="3"/>
  <c r="BI494" i="3"/>
  <c r="BA494" i="3" s="1"/>
  <c r="AZ494" i="3" s="1"/>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D496" i="3"/>
  <c r="BE496" i="3"/>
  <c r="BF496" i="3"/>
  <c r="BG496" i="3"/>
  <c r="BA496" i="3" s="1"/>
  <c r="AZ496" i="3" s="1"/>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O497" i="3"/>
  <c r="BP497" i="3"/>
  <c r="BQ497" i="3"/>
  <c r="BR497" i="3"/>
  <c r="BL497" i="3" s="1"/>
  <c r="AZ497" i="3" s="1"/>
  <c r="BS497" i="3"/>
  <c r="BT497" i="3"/>
  <c r="BB498" i="3"/>
  <c r="BC498" i="3"/>
  <c r="BD498" i="3"/>
  <c r="BE498" i="3"/>
  <c r="BF498" i="3"/>
  <c r="BG498" i="3"/>
  <c r="BH498" i="3"/>
  <c r="BI498" i="3"/>
  <c r="BJ498" i="3"/>
  <c r="BK498" i="3"/>
  <c r="BA498" i="3" s="1"/>
  <c r="AZ498" i="3" s="1"/>
  <c r="BM498" i="3"/>
  <c r="BN498" i="3"/>
  <c r="BO498" i="3"/>
  <c r="BP498" i="3"/>
  <c r="BQ498" i="3"/>
  <c r="BR498" i="3"/>
  <c r="BS498" i="3"/>
  <c r="BT498" i="3"/>
  <c r="BL498" i="3"/>
  <c r="BB499" i="3"/>
  <c r="BC499" i="3"/>
  <c r="BD499" i="3"/>
  <c r="BE499" i="3"/>
  <c r="BF499" i="3"/>
  <c r="BG499" i="3"/>
  <c r="BH499" i="3"/>
  <c r="BI499" i="3"/>
  <c r="BJ499" i="3"/>
  <c r="BK499" i="3"/>
  <c r="BA499" i="3"/>
  <c r="BM499" i="3"/>
  <c r="BN499" i="3"/>
  <c r="BO499" i="3"/>
  <c r="BP499" i="3"/>
  <c r="BQ499" i="3"/>
  <c r="BR499" i="3"/>
  <c r="BL499" i="3" s="1"/>
  <c r="AZ499" i="3" s="1"/>
  <c r="BS499" i="3"/>
  <c r="BT499" i="3"/>
  <c r="BB500" i="3"/>
  <c r="BC500" i="3"/>
  <c r="BD500" i="3"/>
  <c r="BE500" i="3"/>
  <c r="BF500" i="3"/>
  <c r="BG500" i="3"/>
  <c r="BH500" i="3"/>
  <c r="BI500" i="3"/>
  <c r="BJ500" i="3"/>
  <c r="BK500" i="3"/>
  <c r="BA500" i="3"/>
  <c r="BM500" i="3"/>
  <c r="BN500" i="3"/>
  <c r="BO500" i="3"/>
  <c r="BP500" i="3"/>
  <c r="BQ500" i="3"/>
  <c r="BR500" i="3"/>
  <c r="BS500" i="3"/>
  <c r="BT500" i="3"/>
  <c r="BL500" i="3" s="1"/>
  <c r="AZ500" i="3" s="1"/>
  <c r="BB501" i="3"/>
  <c r="BC501" i="3"/>
  <c r="BD501" i="3"/>
  <c r="BE501" i="3"/>
  <c r="BF501" i="3"/>
  <c r="BG501" i="3"/>
  <c r="BH501" i="3"/>
  <c r="BI501" i="3"/>
  <c r="BJ501" i="3"/>
  <c r="BK501" i="3"/>
  <c r="BA501" i="3"/>
  <c r="BM501" i="3"/>
  <c r="BN501" i="3"/>
  <c r="BO501" i="3"/>
  <c r="BP501" i="3"/>
  <c r="BL501" i="3" s="1"/>
  <c r="AZ501" i="3" s="1"/>
  <c r="BQ501" i="3"/>
  <c r="BR501" i="3"/>
  <c r="BS501" i="3"/>
  <c r="BT501" i="3"/>
  <c r="BB502" i="3"/>
  <c r="BC502" i="3"/>
  <c r="BD502" i="3"/>
  <c r="BE502" i="3"/>
  <c r="BA502" i="3" s="1"/>
  <c r="AZ502" i="3" s="1"/>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O503" i="3"/>
  <c r="BP503" i="3"/>
  <c r="BL503" i="3" s="1"/>
  <c r="AZ503" i="3" s="1"/>
  <c r="BQ503" i="3"/>
  <c r="BR503" i="3"/>
  <c r="BS503" i="3"/>
  <c r="BT503" i="3"/>
  <c r="BB504" i="3"/>
  <c r="BC504" i="3"/>
  <c r="BD504" i="3"/>
  <c r="BE504" i="3"/>
  <c r="BF504" i="3"/>
  <c r="BG504" i="3"/>
  <c r="BH504" i="3"/>
  <c r="BI504" i="3"/>
  <c r="BA504" i="3" s="1"/>
  <c r="AZ504" i="3" s="1"/>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O505" i="3"/>
  <c r="BP505" i="3"/>
  <c r="BL505" i="3" s="1"/>
  <c r="AZ505" i="3" s="1"/>
  <c r="BQ505" i="3"/>
  <c r="BR505" i="3"/>
  <c r="BS505" i="3"/>
  <c r="BT505" i="3"/>
  <c r="BB506" i="3"/>
  <c r="BC506" i="3"/>
  <c r="BD506" i="3"/>
  <c r="BE506" i="3"/>
  <c r="BF506" i="3"/>
  <c r="BG506" i="3"/>
  <c r="BH506" i="3"/>
  <c r="BI506" i="3"/>
  <c r="BJ506" i="3"/>
  <c r="BK506" i="3"/>
  <c r="BA506" i="3" s="1"/>
  <c r="AZ506" i="3" s="1"/>
  <c r="BM506" i="3"/>
  <c r="BN506" i="3"/>
  <c r="BO506" i="3"/>
  <c r="BP506" i="3"/>
  <c r="BQ506" i="3"/>
  <c r="BR506" i="3"/>
  <c r="BS506" i="3"/>
  <c r="BT506" i="3"/>
  <c r="BL506" i="3"/>
  <c r="BB507" i="3"/>
  <c r="BC507" i="3"/>
  <c r="BD507" i="3"/>
  <c r="BE507" i="3"/>
  <c r="BF507" i="3"/>
  <c r="BG507" i="3"/>
  <c r="BH507" i="3"/>
  <c r="BI507" i="3"/>
  <c r="BJ507" i="3"/>
  <c r="BK507" i="3"/>
  <c r="BA507" i="3"/>
  <c r="BM507" i="3"/>
  <c r="BN507" i="3"/>
  <c r="BO507" i="3"/>
  <c r="BP507" i="3"/>
  <c r="BQ507" i="3"/>
  <c r="BR507" i="3"/>
  <c r="BL507" i="3" s="1"/>
  <c r="AZ507" i="3" s="1"/>
  <c r="BS507" i="3"/>
  <c r="BT507" i="3"/>
  <c r="BB508" i="3"/>
  <c r="BC508" i="3"/>
  <c r="BD508" i="3"/>
  <c r="BE508" i="3"/>
  <c r="BF508" i="3"/>
  <c r="BG508" i="3"/>
  <c r="BH508" i="3"/>
  <c r="BI508" i="3"/>
  <c r="BJ508" i="3"/>
  <c r="BK508" i="3"/>
  <c r="BA508" i="3"/>
  <c r="BM508" i="3"/>
  <c r="BN508" i="3"/>
  <c r="BO508" i="3"/>
  <c r="BP508" i="3"/>
  <c r="BQ508" i="3"/>
  <c r="BR508" i="3"/>
  <c r="BL508" i="3" s="1"/>
  <c r="AZ508" i="3" s="1"/>
  <c r="BS508" i="3"/>
  <c r="BT508" i="3"/>
  <c r="BB509" i="3"/>
  <c r="BC509" i="3"/>
  <c r="BD509" i="3"/>
  <c r="BE509" i="3"/>
  <c r="BF509" i="3"/>
  <c r="BG509" i="3"/>
  <c r="BH509" i="3"/>
  <c r="BI509" i="3"/>
  <c r="BA509" i="3" s="1"/>
  <c r="AZ509" i="3" s="1"/>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O510" i="3"/>
  <c r="BP510" i="3"/>
  <c r="BQ510" i="3"/>
  <c r="BR510" i="3"/>
  <c r="BL510" i="3" s="1"/>
  <c r="AZ510" i="3" s="1"/>
  <c r="BS510" i="3"/>
  <c r="BT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s="1"/>
  <c r="AZ512" i="3" s="1"/>
  <c r="BB513" i="3"/>
  <c r="BC513" i="3"/>
  <c r="BD513" i="3"/>
  <c r="BE513" i="3"/>
  <c r="BF513" i="3"/>
  <c r="BG513" i="3"/>
  <c r="BH513" i="3"/>
  <c r="BI513" i="3"/>
  <c r="BJ513" i="3"/>
  <c r="BK513" i="3"/>
  <c r="BA513" i="3"/>
  <c r="BM513" i="3"/>
  <c r="BN513" i="3"/>
  <c r="BO513" i="3"/>
  <c r="BP513" i="3"/>
  <c r="BQ513" i="3"/>
  <c r="BR513" i="3"/>
  <c r="BL513" i="3" s="1"/>
  <c r="AZ513" i="3" s="1"/>
  <c r="BS513" i="3"/>
  <c r="BT513" i="3"/>
  <c r="BB514" i="3"/>
  <c r="BC514" i="3"/>
  <c r="BD514" i="3"/>
  <c r="BE514" i="3"/>
  <c r="BF514" i="3"/>
  <c r="BG514" i="3"/>
  <c r="BH514" i="3"/>
  <c r="BI514" i="3"/>
  <c r="BJ514" i="3"/>
  <c r="BK514" i="3"/>
  <c r="BA514" i="3"/>
  <c r="BM514" i="3"/>
  <c r="BN514" i="3"/>
  <c r="BO514" i="3"/>
  <c r="BP514" i="3"/>
  <c r="BQ514" i="3"/>
  <c r="BR514" i="3"/>
  <c r="BS514" i="3"/>
  <c r="BT514" i="3"/>
  <c r="BL514" i="3" s="1"/>
  <c r="AZ514" i="3" s="1"/>
  <c r="BB515" i="3"/>
  <c r="BC515" i="3"/>
  <c r="BD515" i="3"/>
  <c r="BE515" i="3"/>
  <c r="BF515" i="3"/>
  <c r="BG515" i="3"/>
  <c r="BH515" i="3"/>
  <c r="BI515" i="3"/>
  <c r="BJ515" i="3"/>
  <c r="BK515" i="3"/>
  <c r="BA515" i="3"/>
  <c r="BM515" i="3"/>
  <c r="BN515" i="3"/>
  <c r="BO515" i="3"/>
  <c r="BP515" i="3"/>
  <c r="BQ515" i="3"/>
  <c r="BR515" i="3"/>
  <c r="BS515" i="3"/>
  <c r="BT515" i="3"/>
  <c r="BL515" i="3" s="1"/>
  <c r="AZ515" i="3" s="1"/>
  <c r="BB516" i="3"/>
  <c r="BC516" i="3"/>
  <c r="BD516" i="3"/>
  <c r="BE516" i="3"/>
  <c r="BF516" i="3"/>
  <c r="BG516" i="3"/>
  <c r="BH516" i="3"/>
  <c r="BI516" i="3"/>
  <c r="BJ516" i="3"/>
  <c r="BK516" i="3"/>
  <c r="BA516" i="3"/>
  <c r="BM516" i="3"/>
  <c r="BN516" i="3"/>
  <c r="BO516" i="3"/>
  <c r="BP516" i="3"/>
  <c r="BQ516" i="3"/>
  <c r="BR516" i="3"/>
  <c r="BS516" i="3"/>
  <c r="BT516" i="3"/>
  <c r="BL516" i="3" s="1"/>
  <c r="AZ516" i="3" s="1"/>
  <c r="BB517" i="3"/>
  <c r="BC517" i="3"/>
  <c r="BD517" i="3"/>
  <c r="BE517" i="3"/>
  <c r="BF517" i="3"/>
  <c r="BG517" i="3"/>
  <c r="BH517" i="3"/>
  <c r="BI517" i="3"/>
  <c r="BJ517" i="3"/>
  <c r="BK517" i="3"/>
  <c r="BA517" i="3"/>
  <c r="BM517" i="3"/>
  <c r="BN517" i="3"/>
  <c r="BO517" i="3"/>
  <c r="BP517" i="3"/>
  <c r="BL517" i="3" s="1"/>
  <c r="AZ517" i="3" s="1"/>
  <c r="BQ517" i="3"/>
  <c r="BR517" i="3"/>
  <c r="BS517" i="3"/>
  <c r="BT517" i="3"/>
  <c r="BB518" i="3"/>
  <c r="BC518" i="3"/>
  <c r="BD518" i="3"/>
  <c r="BE518" i="3"/>
  <c r="BF518" i="3"/>
  <c r="BG518" i="3"/>
  <c r="BH518" i="3"/>
  <c r="BI518" i="3"/>
  <c r="BJ518" i="3"/>
  <c r="BK518" i="3"/>
  <c r="BA518" i="3"/>
  <c r="BM518" i="3"/>
  <c r="BN518" i="3"/>
  <c r="BO518" i="3"/>
  <c r="BP518" i="3"/>
  <c r="BQ518" i="3"/>
  <c r="BR518" i="3"/>
  <c r="BS518" i="3"/>
  <c r="BT518" i="3"/>
  <c r="BL518" i="3"/>
  <c r="AZ518" i="3" s="1"/>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s="1"/>
  <c r="AZ520" i="3" s="1"/>
  <c r="BB521" i="3"/>
  <c r="BC521" i="3"/>
  <c r="BD521" i="3"/>
  <c r="BE521" i="3"/>
  <c r="BF521" i="3"/>
  <c r="BG521" i="3"/>
  <c r="BH521" i="3"/>
  <c r="BI521" i="3"/>
  <c r="BJ521" i="3"/>
  <c r="BK521" i="3"/>
  <c r="BA521" i="3" s="1"/>
  <c r="AZ521" i="3" s="1"/>
  <c r="BM521" i="3"/>
  <c r="BN521" i="3"/>
  <c r="BO521" i="3"/>
  <c r="BP521" i="3"/>
  <c r="BQ521" i="3"/>
  <c r="BR521" i="3"/>
  <c r="BS521" i="3"/>
  <c r="BT521" i="3"/>
  <c r="BL521" i="3"/>
  <c r="BB522" i="3"/>
  <c r="BC522" i="3"/>
  <c r="BD522" i="3"/>
  <c r="BE522" i="3"/>
  <c r="BF522" i="3"/>
  <c r="BG522" i="3"/>
  <c r="BH522" i="3"/>
  <c r="BI522" i="3"/>
  <c r="BJ522" i="3"/>
  <c r="BK522" i="3"/>
  <c r="BA522" i="3"/>
  <c r="BM522" i="3"/>
  <c r="BN522" i="3"/>
  <c r="BO522" i="3"/>
  <c r="BP522" i="3"/>
  <c r="BQ522" i="3"/>
  <c r="BR522" i="3"/>
  <c r="BS522" i="3"/>
  <c r="BT522" i="3"/>
  <c r="BL522" i="3" s="1"/>
  <c r="AZ522" i="3" s="1"/>
  <c r="BB523" i="3"/>
  <c r="BC523" i="3"/>
  <c r="BD523" i="3"/>
  <c r="BE523" i="3"/>
  <c r="BF523" i="3"/>
  <c r="BG523" i="3"/>
  <c r="BH523" i="3"/>
  <c r="BI523" i="3"/>
  <c r="BJ523" i="3"/>
  <c r="BK523" i="3"/>
  <c r="BA523" i="3"/>
  <c r="BM523" i="3"/>
  <c r="BN523" i="3"/>
  <c r="BO523" i="3"/>
  <c r="BP523" i="3"/>
  <c r="BL523" i="3" s="1"/>
  <c r="AZ523" i="3" s="1"/>
  <c r="BQ523" i="3"/>
  <c r="BR523" i="3"/>
  <c r="BS523" i="3"/>
  <c r="BT523" i="3"/>
  <c r="BB524" i="3"/>
  <c r="BC524" i="3"/>
  <c r="BD524" i="3"/>
  <c r="BE524" i="3"/>
  <c r="BF524" i="3"/>
  <c r="BG524" i="3"/>
  <c r="BH524" i="3"/>
  <c r="BI524" i="3"/>
  <c r="BJ524" i="3"/>
  <c r="BK524" i="3"/>
  <c r="BA524" i="3" s="1"/>
  <c r="AZ524" i="3" s="1"/>
  <c r="BM524" i="3"/>
  <c r="BN524" i="3"/>
  <c r="BO524" i="3"/>
  <c r="BP524" i="3"/>
  <c r="BQ524" i="3"/>
  <c r="BR524" i="3"/>
  <c r="BS524" i="3"/>
  <c r="BT524" i="3"/>
  <c r="BL524" i="3"/>
  <c r="BB525" i="3"/>
  <c r="BC525" i="3"/>
  <c r="BD525" i="3"/>
  <c r="BE525" i="3"/>
  <c r="BF525" i="3"/>
  <c r="BG525" i="3"/>
  <c r="BH525" i="3"/>
  <c r="BI525" i="3"/>
  <c r="BJ525" i="3"/>
  <c r="BK525" i="3"/>
  <c r="BA525" i="3"/>
  <c r="BM525" i="3"/>
  <c r="BN525" i="3"/>
  <c r="BO525" i="3"/>
  <c r="BP525" i="3"/>
  <c r="BQ525" i="3"/>
  <c r="BR525" i="3"/>
  <c r="BS525" i="3"/>
  <c r="BT525" i="3"/>
  <c r="BL525" i="3" s="1"/>
  <c r="AZ525" i="3" s="1"/>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D527" i="3"/>
  <c r="BE527" i="3"/>
  <c r="BF527" i="3"/>
  <c r="BG527" i="3"/>
  <c r="BH527" i="3"/>
  <c r="BI527" i="3"/>
  <c r="BA527" i="3" s="1"/>
  <c r="AZ527" i="3" s="1"/>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D529" i="3"/>
  <c r="BE529" i="3"/>
  <c r="BF529" i="3"/>
  <c r="BG529" i="3"/>
  <c r="BH529" i="3"/>
  <c r="BI529" i="3"/>
  <c r="BJ529" i="3"/>
  <c r="BK529" i="3"/>
  <c r="BA529" i="3" s="1"/>
  <c r="AZ529" i="3" s="1"/>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L530" i="3" s="1"/>
  <c r="AZ530" i="3" s="1"/>
  <c r="BS530" i="3"/>
  <c r="BT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L533" i="3" s="1"/>
  <c r="AZ533" i="3" s="1"/>
  <c r="BS533" i="3"/>
  <c r="BT533" i="3"/>
  <c r="BB534" i="3"/>
  <c r="BC534" i="3"/>
  <c r="BD534" i="3"/>
  <c r="BE534" i="3"/>
  <c r="BF534" i="3"/>
  <c r="BG534" i="3"/>
  <c r="BH534" i="3"/>
  <c r="BI534" i="3"/>
  <c r="BJ534" i="3"/>
  <c r="BK534" i="3"/>
  <c r="BA534" i="3"/>
  <c r="BM534" i="3"/>
  <c r="BN534" i="3"/>
  <c r="BO534" i="3"/>
  <c r="BP534" i="3"/>
  <c r="BQ534" i="3"/>
  <c r="BR534" i="3"/>
  <c r="BS534" i="3"/>
  <c r="BT534" i="3"/>
  <c r="BL534" i="3"/>
  <c r="AZ534" i="3" s="1"/>
  <c r="BB535" i="3"/>
  <c r="BC535" i="3"/>
  <c r="BD535" i="3"/>
  <c r="BE535" i="3"/>
  <c r="BF535" i="3"/>
  <c r="BG535" i="3"/>
  <c r="BH535" i="3"/>
  <c r="BI535" i="3"/>
  <c r="BJ535" i="3"/>
  <c r="BK535" i="3"/>
  <c r="BA535" i="3"/>
  <c r="BM535" i="3"/>
  <c r="BN535" i="3"/>
  <c r="BO535" i="3"/>
  <c r="BP535" i="3"/>
  <c r="BL535" i="3" s="1"/>
  <c r="AZ535" i="3" s="1"/>
  <c r="BQ535" i="3"/>
  <c r="BR535" i="3"/>
  <c r="BS535" i="3"/>
  <c r="BT535" i="3"/>
  <c r="BB536" i="3"/>
  <c r="BC536" i="3"/>
  <c r="BD536" i="3"/>
  <c r="BE536" i="3"/>
  <c r="BF536" i="3"/>
  <c r="BG536" i="3"/>
  <c r="BH536" i="3"/>
  <c r="BI536" i="3"/>
  <c r="BJ536" i="3"/>
  <c r="BK536" i="3"/>
  <c r="BA536" i="3" s="1"/>
  <c r="AZ536" i="3" s="1"/>
  <c r="BM536" i="3"/>
  <c r="BN536" i="3"/>
  <c r="BO536" i="3"/>
  <c r="BP536" i="3"/>
  <c r="BQ536" i="3"/>
  <c r="BR536" i="3"/>
  <c r="BS536" i="3"/>
  <c r="BT536" i="3"/>
  <c r="BL536" i="3"/>
  <c r="BB537" i="3"/>
  <c r="BC537" i="3"/>
  <c r="BD537" i="3"/>
  <c r="BE537" i="3"/>
  <c r="BF537" i="3"/>
  <c r="BG537" i="3"/>
  <c r="BH537" i="3"/>
  <c r="BI537" i="3"/>
  <c r="BJ537" i="3"/>
  <c r="BK537" i="3"/>
  <c r="BA537" i="3"/>
  <c r="BM537" i="3"/>
  <c r="BN537" i="3"/>
  <c r="BO537" i="3"/>
  <c r="BP537" i="3"/>
  <c r="BQ537" i="3"/>
  <c r="BR537" i="3"/>
  <c r="BL537" i="3" s="1"/>
  <c r="AZ537" i="3" s="1"/>
  <c r="BS537" i="3"/>
  <c r="BT537" i="3"/>
  <c r="BB538" i="3"/>
  <c r="BC538" i="3"/>
  <c r="BD538" i="3"/>
  <c r="BE538" i="3"/>
  <c r="BF538" i="3"/>
  <c r="BG538" i="3"/>
  <c r="BH538" i="3"/>
  <c r="BI538" i="3"/>
  <c r="BJ538" i="3"/>
  <c r="BK538" i="3"/>
  <c r="BA538" i="3"/>
  <c r="BM538" i="3"/>
  <c r="BN538" i="3"/>
  <c r="BO538" i="3"/>
  <c r="BP538" i="3"/>
  <c r="BQ538" i="3"/>
  <c r="BR538" i="3"/>
  <c r="BS538" i="3"/>
  <c r="BT538" i="3"/>
  <c r="BL538" i="3" s="1"/>
  <c r="AZ538" i="3" s="1"/>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D540" i="3"/>
  <c r="BE540" i="3"/>
  <c r="BF540" i="3"/>
  <c r="BG540" i="3"/>
  <c r="BA540" i="3" s="1"/>
  <c r="AZ540" i="3" s="1"/>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D542" i="3"/>
  <c r="BE542" i="3"/>
  <c r="BF542" i="3"/>
  <c r="BG542" i="3"/>
  <c r="BA542" i="3" s="1"/>
  <c r="AZ542" i="3" s="1"/>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O543" i="3"/>
  <c r="BP543" i="3"/>
  <c r="BL543" i="3" s="1"/>
  <c r="AZ543" i="3" s="1"/>
  <c r="BQ543" i="3"/>
  <c r="BR543" i="3"/>
  <c r="BS543" i="3"/>
  <c r="BT543" i="3"/>
  <c r="BB544" i="3"/>
  <c r="BC544" i="3"/>
  <c r="BD544" i="3"/>
  <c r="BE544" i="3"/>
  <c r="BF544" i="3"/>
  <c r="BG544" i="3"/>
  <c r="BH544" i="3"/>
  <c r="BI544" i="3"/>
  <c r="BJ544" i="3"/>
  <c r="BK544" i="3"/>
  <c r="BA544" i="3" s="1"/>
  <c r="AZ544" i="3" s="1"/>
  <c r="BM544" i="3"/>
  <c r="BN544" i="3"/>
  <c r="BO544" i="3"/>
  <c r="BP544" i="3"/>
  <c r="BQ544" i="3"/>
  <c r="BR544" i="3"/>
  <c r="BS544" i="3"/>
  <c r="BT544" i="3"/>
  <c r="BL544" i="3"/>
  <c r="BB545" i="3"/>
  <c r="BC545" i="3"/>
  <c r="BD545" i="3"/>
  <c r="BE545" i="3"/>
  <c r="BF545" i="3"/>
  <c r="BG545" i="3"/>
  <c r="BH545" i="3"/>
  <c r="BI545" i="3"/>
  <c r="BJ545" i="3"/>
  <c r="BK545" i="3"/>
  <c r="BA545" i="3"/>
  <c r="BM545" i="3"/>
  <c r="BN545" i="3"/>
  <c r="BO545" i="3"/>
  <c r="BP545" i="3"/>
  <c r="BQ545" i="3"/>
  <c r="BR545" i="3"/>
  <c r="BS545" i="3"/>
  <c r="BT545" i="3"/>
  <c r="BL545" i="3"/>
  <c r="AZ545" i="3" s="1"/>
  <c r="BB546" i="3"/>
  <c r="BC546" i="3"/>
  <c r="BD546" i="3"/>
  <c r="BE546" i="3"/>
  <c r="BF546" i="3"/>
  <c r="BG546" i="3"/>
  <c r="BH546" i="3"/>
  <c r="BI546" i="3"/>
  <c r="BJ546" i="3"/>
  <c r="BK546" i="3"/>
  <c r="BA546" i="3"/>
  <c r="BM546" i="3"/>
  <c r="BN546" i="3"/>
  <c r="BO546" i="3"/>
  <c r="BP546" i="3"/>
  <c r="BQ546" i="3"/>
  <c r="BR546" i="3"/>
  <c r="BL546" i="3" s="1"/>
  <c r="AZ546" i="3" s="1"/>
  <c r="BS546" i="3"/>
  <c r="BT546" i="3"/>
  <c r="BB547" i="3"/>
  <c r="BC547" i="3"/>
  <c r="BD547" i="3"/>
  <c r="BE547" i="3"/>
  <c r="BF547" i="3"/>
  <c r="BG547" i="3"/>
  <c r="BH547" i="3"/>
  <c r="BI547" i="3"/>
  <c r="BJ547" i="3"/>
  <c r="BK547" i="3"/>
  <c r="BA547" i="3"/>
  <c r="BM547" i="3"/>
  <c r="BN547" i="3"/>
  <c r="BO547" i="3"/>
  <c r="BP547" i="3"/>
  <c r="BQ547" i="3"/>
  <c r="BR547" i="3"/>
  <c r="BS547" i="3"/>
  <c r="BT547" i="3"/>
  <c r="BL547" i="3" s="1"/>
  <c r="AZ547" i="3" s="1"/>
  <c r="BB548" i="3"/>
  <c r="BC548" i="3"/>
  <c r="BD548" i="3"/>
  <c r="BE548" i="3"/>
  <c r="BF548" i="3"/>
  <c r="BG548" i="3"/>
  <c r="BH548" i="3"/>
  <c r="BI548" i="3"/>
  <c r="BJ548" i="3"/>
  <c r="BK548" i="3"/>
  <c r="BA548" i="3"/>
  <c r="BM548" i="3"/>
  <c r="BN548" i="3"/>
  <c r="BO548" i="3"/>
  <c r="BP548" i="3"/>
  <c r="BQ548" i="3"/>
  <c r="BR548" i="3"/>
  <c r="BL548" i="3" s="1"/>
  <c r="AZ548" i="3" s="1"/>
  <c r="BS548" i="3"/>
  <c r="BT548" i="3"/>
  <c r="BB549" i="3"/>
  <c r="BC549" i="3"/>
  <c r="BD549" i="3"/>
  <c r="BE549" i="3"/>
  <c r="BF549" i="3"/>
  <c r="BG549" i="3"/>
  <c r="BH549" i="3"/>
  <c r="BI549" i="3"/>
  <c r="BJ549" i="3"/>
  <c r="BK549" i="3"/>
  <c r="BA549" i="3"/>
  <c r="BM549" i="3"/>
  <c r="BN549" i="3"/>
  <c r="BO549" i="3"/>
  <c r="BP549" i="3"/>
  <c r="BQ549" i="3"/>
  <c r="BR549" i="3"/>
  <c r="BL549" i="3" s="1"/>
  <c r="AZ549" i="3" s="1"/>
  <c r="BS549" i="3"/>
  <c r="BT549" i="3"/>
  <c r="BB550" i="3"/>
  <c r="BC550" i="3"/>
  <c r="BD550" i="3"/>
  <c r="BE550" i="3"/>
  <c r="BF550" i="3"/>
  <c r="BG550" i="3"/>
  <c r="BH550" i="3"/>
  <c r="BI550" i="3"/>
  <c r="BJ550" i="3"/>
  <c r="BK550" i="3"/>
  <c r="BA550" i="3" s="1"/>
  <c r="AZ550" i="3" s="1"/>
  <c r="BM550" i="3"/>
  <c r="BN550" i="3"/>
  <c r="BO550" i="3"/>
  <c r="BP550" i="3"/>
  <c r="BQ550" i="3"/>
  <c r="BR550" i="3"/>
  <c r="BS550" i="3"/>
  <c r="BT550" i="3"/>
  <c r="BL550" i="3"/>
  <c r="BB551" i="3"/>
  <c r="BC551" i="3"/>
  <c r="BD551" i="3"/>
  <c r="BE551" i="3"/>
  <c r="BF551" i="3"/>
  <c r="BG551" i="3"/>
  <c r="BH551" i="3"/>
  <c r="BI551" i="3"/>
  <c r="BJ551" i="3"/>
  <c r="BK551" i="3"/>
  <c r="BA551" i="3"/>
  <c r="BM551" i="3"/>
  <c r="BN551" i="3"/>
  <c r="BO551" i="3"/>
  <c r="BP551" i="3"/>
  <c r="BL551" i="3" s="1"/>
  <c r="AZ551" i="3" s="1"/>
  <c r="BQ551" i="3"/>
  <c r="BR551" i="3"/>
  <c r="BS551" i="3"/>
  <c r="BT551" i="3"/>
  <c r="BB552" i="3"/>
  <c r="BC552" i="3"/>
  <c r="BD552" i="3"/>
  <c r="BE552" i="3"/>
  <c r="BF552" i="3"/>
  <c r="BG552" i="3"/>
  <c r="BH552" i="3"/>
  <c r="BI552" i="3"/>
  <c r="BJ552" i="3"/>
  <c r="BK552" i="3"/>
  <c r="BA552" i="3" s="1"/>
  <c r="AZ552" i="3" s="1"/>
  <c r="BM552" i="3"/>
  <c r="BN552" i="3"/>
  <c r="BO552" i="3"/>
  <c r="BP552" i="3"/>
  <c r="BQ552" i="3"/>
  <c r="BR552" i="3"/>
  <c r="BS552" i="3"/>
  <c r="BT552" i="3"/>
  <c r="BL552" i="3"/>
  <c r="BB553" i="3"/>
  <c r="BC553" i="3"/>
  <c r="BD553" i="3"/>
  <c r="BE553" i="3"/>
  <c r="BF553" i="3"/>
  <c r="BG553" i="3"/>
  <c r="BH553" i="3"/>
  <c r="BI553" i="3"/>
  <c r="BJ553" i="3"/>
  <c r="BK553" i="3"/>
  <c r="BA553" i="3"/>
  <c r="BM553" i="3"/>
  <c r="BN553" i="3"/>
  <c r="BO553" i="3"/>
  <c r="BP553" i="3"/>
  <c r="BL553" i="3" s="1"/>
  <c r="AZ553" i="3" s="1"/>
  <c r="BQ553" i="3"/>
  <c r="BR553" i="3"/>
  <c r="BS553" i="3"/>
  <c r="BT553" i="3"/>
  <c r="BB554" i="3"/>
  <c r="BC554" i="3"/>
  <c r="BD554" i="3"/>
  <c r="BE554" i="3"/>
  <c r="BF554" i="3"/>
  <c r="BG554" i="3"/>
  <c r="BH554" i="3"/>
  <c r="BI554" i="3"/>
  <c r="BA554" i="3" s="1"/>
  <c r="AZ554" i="3" s="1"/>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O555" i="3"/>
  <c r="BP555" i="3"/>
  <c r="BL555" i="3" s="1"/>
  <c r="AZ555" i="3" s="1"/>
  <c r="BQ555" i="3"/>
  <c r="BR555" i="3"/>
  <c r="BS555" i="3"/>
  <c r="BT555" i="3"/>
  <c r="BB556" i="3"/>
  <c r="BC556" i="3"/>
  <c r="BD556" i="3"/>
  <c r="BE556" i="3"/>
  <c r="BF556" i="3"/>
  <c r="BG556" i="3"/>
  <c r="BH556" i="3"/>
  <c r="BI556" i="3"/>
  <c r="BA556" i="3" s="1"/>
  <c r="AZ556" i="3" s="1"/>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O557" i="3"/>
  <c r="BP557" i="3"/>
  <c r="BQ557" i="3"/>
  <c r="BR557" i="3"/>
  <c r="BL557" i="3" s="1"/>
  <c r="AZ557" i="3" s="1"/>
  <c r="BS557" i="3"/>
  <c r="BT557" i="3"/>
  <c r="BB558" i="3"/>
  <c r="BC558" i="3"/>
  <c r="BD558" i="3"/>
  <c r="BE558" i="3"/>
  <c r="BF558" i="3"/>
  <c r="BG558" i="3"/>
  <c r="BH558" i="3"/>
  <c r="BI558" i="3"/>
  <c r="BJ558" i="3"/>
  <c r="BK558" i="3"/>
  <c r="BA558" i="3"/>
  <c r="BM558" i="3"/>
  <c r="BN558" i="3"/>
  <c r="BO558" i="3"/>
  <c r="BP558" i="3"/>
  <c r="BQ558" i="3"/>
  <c r="BR558" i="3"/>
  <c r="BS558" i="3"/>
  <c r="BT558" i="3"/>
  <c r="BL558" i="3"/>
  <c r="AZ558" i="3" s="1"/>
  <c r="BB559" i="3"/>
  <c r="BC559" i="3"/>
  <c r="BD559" i="3"/>
  <c r="BE559" i="3"/>
  <c r="BF559" i="3"/>
  <c r="BG559" i="3"/>
  <c r="BH559" i="3"/>
  <c r="BI559" i="3"/>
  <c r="BJ559" i="3"/>
  <c r="BK559" i="3"/>
  <c r="BA559" i="3"/>
  <c r="BM559" i="3"/>
  <c r="BN559" i="3"/>
  <c r="BO559" i="3"/>
  <c r="BP559" i="3"/>
  <c r="BL559" i="3" s="1"/>
  <c r="AZ559" i="3" s="1"/>
  <c r="BQ559" i="3"/>
  <c r="BR559" i="3"/>
  <c r="BS559" i="3"/>
  <c r="BT559" i="3"/>
  <c r="BB560" i="3"/>
  <c r="BC560" i="3"/>
  <c r="BD560" i="3"/>
  <c r="BE560" i="3"/>
  <c r="BF560" i="3"/>
  <c r="BG560" i="3"/>
  <c r="BH560" i="3"/>
  <c r="BI560" i="3"/>
  <c r="BJ560" i="3"/>
  <c r="BK560" i="3"/>
  <c r="BA560" i="3"/>
  <c r="BM560" i="3"/>
  <c r="BN560" i="3"/>
  <c r="BO560" i="3"/>
  <c r="BP560" i="3"/>
  <c r="BQ560" i="3"/>
  <c r="BR560" i="3"/>
  <c r="BS560" i="3"/>
  <c r="BT560" i="3"/>
  <c r="BL560" i="3" s="1"/>
  <c r="AZ560" i="3" s="1"/>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s="1"/>
  <c r="AZ562" i="3" s="1"/>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s="1"/>
  <c r="AZ564" i="3" s="1"/>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s="1"/>
  <c r="AZ566" i="3" s="1"/>
  <c r="BB567" i="3"/>
  <c r="BC567" i="3"/>
  <c r="BD567" i="3"/>
  <c r="BE567" i="3"/>
  <c r="BF567" i="3"/>
  <c r="BG567" i="3"/>
  <c r="BH567" i="3"/>
  <c r="BI567" i="3"/>
  <c r="BJ567" i="3"/>
  <c r="BK567" i="3"/>
  <c r="BA567" i="3"/>
  <c r="BM567" i="3"/>
  <c r="BN567" i="3"/>
  <c r="BO567" i="3"/>
  <c r="BP567" i="3"/>
  <c r="BQ567" i="3"/>
  <c r="BR567" i="3"/>
  <c r="BL567" i="3" s="1"/>
  <c r="AZ567" i="3" s="1"/>
  <c r="BS567" i="3"/>
  <c r="BT567" i="3"/>
  <c r="BB568" i="3"/>
  <c r="BC568" i="3"/>
  <c r="BD568" i="3"/>
  <c r="BE568" i="3"/>
  <c r="BF568" i="3"/>
  <c r="BG568" i="3"/>
  <c r="BH568" i="3"/>
  <c r="BI568" i="3"/>
  <c r="BA568" i="3" s="1"/>
  <c r="AZ568" i="3" s="1"/>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D571" i="3"/>
  <c r="BE571" i="3"/>
  <c r="BF571" i="3"/>
  <c r="BG571" i="3"/>
  <c r="BA571" i="3" s="1"/>
  <c r="AZ571" i="3" s="1"/>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s="1"/>
  <c r="AZ572" i="3" s="1"/>
  <c r="BM572" i="3"/>
  <c r="BN572" i="3"/>
  <c r="BO572" i="3"/>
  <c r="BP572" i="3"/>
  <c r="BQ572" i="3"/>
  <c r="BR572" i="3"/>
  <c r="BS572" i="3"/>
  <c r="BT572" i="3"/>
  <c r="BL572" i="3"/>
  <c r="C5" i="21"/>
  <c r="J40" i="39"/>
  <c r="C7" i="39"/>
  <c r="C8" i="39" s="1"/>
  <c r="K5" i="3"/>
  <c r="F21" i="6" s="1"/>
  <c r="I5" i="3"/>
  <c r="C11" i="4"/>
  <c r="D3" i="4"/>
  <c r="B3" i="66" s="1"/>
  <c r="D7" i="59"/>
  <c r="AH5" i="59"/>
  <c r="AG5" i="59"/>
  <c r="AE5" i="59"/>
  <c r="AF5" i="59" s="1"/>
  <c r="AD5" i="59"/>
  <c r="Q5" i="59"/>
  <c r="P5" i="59"/>
  <c r="O5" i="59"/>
  <c r="N5" i="59"/>
  <c r="I3" i="59"/>
  <c r="L3" i="59"/>
  <c r="K3" i="59"/>
  <c r="J3" i="59"/>
  <c r="AE6" i="59"/>
  <c r="AF6" i="59"/>
  <c r="AG6" i="59"/>
  <c r="AH6" i="59"/>
  <c r="AD6" i="59"/>
  <c r="Q6" i="59"/>
  <c r="P6" i="59"/>
  <c r="O6" i="59"/>
  <c r="N6" i="59"/>
  <c r="N7" i="59"/>
  <c r="Q7" i="59"/>
  <c r="P7" i="59"/>
  <c r="O7" i="59"/>
  <c r="K59" i="15"/>
  <c r="P62" i="15" s="1"/>
  <c r="P75" i="15"/>
  <c r="Q74" i="44"/>
  <c r="Q61" i="44"/>
  <c r="Q60" i="44"/>
  <c r="Q53" i="44"/>
  <c r="J51" i="44"/>
  <c r="J52" i="44" s="1"/>
  <c r="M48" i="44"/>
  <c r="A16" i="55"/>
  <c r="A15" i="55"/>
  <c r="A14" i="55"/>
  <c r="A11" i="55"/>
  <c r="A10" i="55"/>
  <c r="A9" i="55"/>
  <c r="A8" i="55"/>
  <c r="A6" i="54"/>
  <c r="A8" i="54"/>
  <c r="A7" i="54"/>
  <c r="A27" i="51"/>
  <c r="D5" i="46"/>
  <c r="Q8" i="59"/>
  <c r="O8" i="59"/>
  <c r="N9" i="59"/>
  <c r="O9" i="59"/>
  <c r="P9" i="59"/>
  <c r="Q9" i="59"/>
  <c r="N8" i="59"/>
  <c r="P8" i="59"/>
  <c r="K75" i="9"/>
  <c r="K6" i="4"/>
  <c r="O76" i="9" s="1"/>
  <c r="L76" i="9"/>
  <c r="B22" i="31"/>
  <c r="E15" i="66"/>
  <c r="F15" i="66"/>
  <c r="E16" i="66"/>
  <c r="F16" i="66"/>
  <c r="E17" i="66"/>
  <c r="F17" i="66"/>
  <c r="E18" i="66"/>
  <c r="F18" i="66"/>
  <c r="E19" i="66"/>
  <c r="F19" i="66"/>
  <c r="E20" i="66"/>
  <c r="F20" i="66"/>
  <c r="E21" i="66"/>
  <c r="F21" i="66"/>
  <c r="E22" i="66"/>
  <c r="F22" i="66"/>
  <c r="E23" i="66"/>
  <c r="F23" i="66"/>
  <c r="M19" i="46"/>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3" i="65"/>
  <c r="C5" i="59"/>
  <c r="D5" i="59"/>
  <c r="T6" i="59"/>
  <c r="D6" i="59"/>
  <c r="B76" i="63"/>
  <c r="M5" i="54"/>
  <c r="A23" i="5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K40" i="9" s="1"/>
  <c r="A44" i="9"/>
  <c r="C57" i="10"/>
  <c r="A28" i="51"/>
  <c r="C56" i="10"/>
  <c r="C55" i="10"/>
  <c r="C54" i="10"/>
  <c r="B49" i="63"/>
  <c r="B44" i="63"/>
  <c r="B40" i="63"/>
  <c r="B30" i="63"/>
  <c r="B27" i="63"/>
  <c r="B25" i="63"/>
  <c r="A28" i="64"/>
  <c r="A26" i="64"/>
  <c r="A26" i="51"/>
  <c r="K39"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B41" i="63"/>
  <c r="G5" i="54"/>
  <c r="B34" i="63" s="1"/>
  <c r="E5" i="54"/>
  <c r="B32" i="63" s="1"/>
  <c r="R2" i="54"/>
  <c r="B24" i="63" s="1"/>
  <c r="B19" i="63"/>
  <c r="B49" i="50"/>
  <c r="B5" i="63" s="1"/>
  <c r="B40" i="50"/>
  <c r="B3" i="63" s="1"/>
  <c r="N4" i="63"/>
  <c r="B21" i="63"/>
  <c r="B67" i="63"/>
  <c r="I19" i="46"/>
  <c r="Q10" i="59"/>
  <c r="P10" i="59"/>
  <c r="O10" i="59"/>
  <c r="N10" i="59"/>
  <c r="D71" i="59"/>
  <c r="F70" i="59"/>
  <c r="E70" i="59"/>
  <c r="E69" i="59" s="1"/>
  <c r="E68" i="59" s="1"/>
  <c r="C70" i="59"/>
  <c r="D70" i="59"/>
  <c r="B70" i="59"/>
  <c r="F69" i="59"/>
  <c r="F68" i="59" s="1"/>
  <c r="B69" i="59"/>
  <c r="B68" i="59" s="1"/>
  <c r="D67" i="59"/>
  <c r="F66" i="59"/>
  <c r="E66" i="59"/>
  <c r="E65" i="59" s="1"/>
  <c r="E64" i="59" s="1"/>
  <c r="C66" i="59"/>
  <c r="D66" i="59"/>
  <c r="B66" i="59"/>
  <c r="F65" i="59"/>
  <c r="F64" i="59" s="1"/>
  <c r="B65" i="59"/>
  <c r="B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s="1"/>
  <c r="E50" i="59"/>
  <c r="E49" i="59" s="1"/>
  <c r="C50" i="59"/>
  <c r="B50" i="59"/>
  <c r="N50" i="59" s="1"/>
  <c r="F49" i="59"/>
  <c r="F48"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c r="N35" i="59"/>
  <c r="B36" i="59"/>
  <c r="B37" i="59" s="1"/>
  <c r="B38" i="59" s="1"/>
  <c r="S38" i="59" s="1"/>
  <c r="D35" i="59"/>
  <c r="Q34" i="59"/>
  <c r="P34" i="59"/>
  <c r="O34" i="59"/>
  <c r="N34" i="59"/>
  <c r="Q33" i="59"/>
  <c r="P33" i="59"/>
  <c r="O33" i="59"/>
  <c r="N33" i="59"/>
  <c r="Q32" i="59"/>
  <c r="P32" i="59"/>
  <c r="O32" i="59"/>
  <c r="N32" i="59"/>
  <c r="Q31" i="59"/>
  <c r="F32" i="59"/>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c r="P27" i="59"/>
  <c r="E28" i="59"/>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c r="N23" i="59"/>
  <c r="B24" i="59"/>
  <c r="B25" i="59" s="1"/>
  <c r="B26" i="59" s="1"/>
  <c r="S26" i="59" s="1"/>
  <c r="D23" i="59"/>
  <c r="Q22" i="59"/>
  <c r="P22" i="59"/>
  <c r="O22" i="59"/>
  <c r="N22" i="59"/>
  <c r="Q21" i="59"/>
  <c r="AB21" i="59"/>
  <c r="P21" i="59"/>
  <c r="O21" i="59"/>
  <c r="Y21" i="59" s="1"/>
  <c r="Z21" i="59" s="1"/>
  <c r="N21" i="59"/>
  <c r="X21" i="59"/>
  <c r="Q20" i="59"/>
  <c r="AB20" i="59"/>
  <c r="P20" i="59"/>
  <c r="AA20" i="59"/>
  <c r="O20" i="59"/>
  <c r="Y20" i="59"/>
  <c r="N20" i="59"/>
  <c r="X20" i="59"/>
  <c r="Q19" i="59"/>
  <c r="P19" i="59"/>
  <c r="O19" i="59"/>
  <c r="N19" i="59"/>
  <c r="D19" i="59"/>
  <c r="Q18" i="59"/>
  <c r="AB18" i="59" s="1"/>
  <c r="P18" i="59"/>
  <c r="AA18" i="59" s="1"/>
  <c r="O18" i="59"/>
  <c r="Y18" i="59" s="1"/>
  <c r="Z18" i="59" s="1"/>
  <c r="N18" i="59"/>
  <c r="X18" i="59"/>
  <c r="Q17" i="59"/>
  <c r="AB17" i="59"/>
  <c r="P17" i="59"/>
  <c r="AA17" i="59"/>
  <c r="O17" i="59"/>
  <c r="Y17" i="59"/>
  <c r="Z17" i="59" s="1"/>
  <c r="N17" i="59"/>
  <c r="X17" i="59" s="1"/>
  <c r="Q16" i="59"/>
  <c r="AB16" i="59" s="1"/>
  <c r="P16" i="59"/>
  <c r="AA16" i="59" s="1"/>
  <c r="O16" i="59"/>
  <c r="Y16" i="59" s="1"/>
  <c r="Z16" i="59" s="1"/>
  <c r="N16" i="59"/>
  <c r="X16" i="59"/>
  <c r="Q15" i="59"/>
  <c r="P15" i="59"/>
  <c r="O15" i="59"/>
  <c r="N15" i="59"/>
  <c r="D15" i="59"/>
  <c r="Q14" i="59"/>
  <c r="AB14" i="59" s="1"/>
  <c r="P14" i="59"/>
  <c r="AA14" i="59" s="1"/>
  <c r="O14" i="59"/>
  <c r="Y14" i="59" s="1"/>
  <c r="Z14" i="59" s="1"/>
  <c r="N14" i="59"/>
  <c r="X14" i="59"/>
  <c r="Q13" i="59"/>
  <c r="AB13" i="59"/>
  <c r="P13" i="59"/>
  <c r="AA13" i="59"/>
  <c r="O13" i="59"/>
  <c r="Y13" i="59"/>
  <c r="Z13" i="59" s="1"/>
  <c r="N13" i="59"/>
  <c r="X13" i="59" s="1"/>
  <c r="Q12" i="59"/>
  <c r="AB12" i="59" s="1"/>
  <c r="P12" i="59"/>
  <c r="AA12" i="59" s="1"/>
  <c r="O12" i="59"/>
  <c r="Y12" i="59" s="1"/>
  <c r="Z12" i="59" s="1"/>
  <c r="N12" i="59"/>
  <c r="X12" i="59"/>
  <c r="Q11" i="59"/>
  <c r="P11" i="59"/>
  <c r="AA11" i="59" s="1"/>
  <c r="O11" i="59"/>
  <c r="Y11" i="59" s="1"/>
  <c r="Z11" i="59" s="1"/>
  <c r="N11" i="59"/>
  <c r="D11" i="59"/>
  <c r="C16" i="59"/>
  <c r="Y15" i="59"/>
  <c r="Z15" i="59" s="1"/>
  <c r="F16" i="59"/>
  <c r="B20" i="59"/>
  <c r="B21" i="59" s="1"/>
  <c r="B22" i="59" s="1"/>
  <c r="S22" i="59" s="1"/>
  <c r="X19" i="59"/>
  <c r="E20" i="59"/>
  <c r="E21" i="59"/>
  <c r="E22" i="59" s="1"/>
  <c r="U22" i="59" s="1"/>
  <c r="AA19" i="59"/>
  <c r="B10" i="59"/>
  <c r="X6" i="59"/>
  <c r="E10" i="59"/>
  <c r="AA5" i="59"/>
  <c r="B12" i="59"/>
  <c r="C12" i="59"/>
  <c r="F12" i="59"/>
  <c r="AB11" i="59"/>
  <c r="B16" i="59"/>
  <c r="B17" i="59"/>
  <c r="B18" i="59" s="1"/>
  <c r="S18" i="59" s="1"/>
  <c r="X15" i="59"/>
  <c r="E16" i="59"/>
  <c r="E17" i="59" s="1"/>
  <c r="E18" i="59" s="1"/>
  <c r="U18" i="59" s="1"/>
  <c r="AA15" i="59"/>
  <c r="C20" i="59"/>
  <c r="Y19" i="59"/>
  <c r="Z19" i="59" s="1"/>
  <c r="F20" i="59"/>
  <c r="AB19" i="59"/>
  <c r="C10" i="59"/>
  <c r="Y6" i="59"/>
  <c r="Z6" i="59"/>
  <c r="F10" i="59"/>
  <c r="AB5" i="59"/>
  <c r="AB6"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c r="S14" i="59" s="1"/>
  <c r="E12" i="59"/>
  <c r="E13" i="59" s="1"/>
  <c r="E14" i="59" s="1"/>
  <c r="U14" i="59" s="1"/>
  <c r="S50" i="59"/>
  <c r="Z20" i="59"/>
  <c r="AA21" i="59"/>
  <c r="F13" i="59"/>
  <c r="F14" i="59"/>
  <c r="V14" i="59" s="1"/>
  <c r="F17" i="59"/>
  <c r="F18" i="59" s="1"/>
  <c r="V18" i="59" s="1"/>
  <c r="F21" i="59"/>
  <c r="F22" i="59"/>
  <c r="V22" i="59" s="1"/>
  <c r="F29" i="59"/>
  <c r="F30" i="59"/>
  <c r="V30" i="59" s="1"/>
  <c r="F41" i="59"/>
  <c r="F42" i="59"/>
  <c r="V42" i="59" s="1"/>
  <c r="C13" i="59"/>
  <c r="D12" i="59"/>
  <c r="C21" i="59"/>
  <c r="D20" i="59"/>
  <c r="C25" i="59"/>
  <c r="D24" i="59"/>
  <c r="C37" i="59"/>
  <c r="D36" i="59"/>
  <c r="C45" i="59"/>
  <c r="D44" i="59"/>
  <c r="C17" i="59"/>
  <c r="D16"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L16" i="4" s="1"/>
  <c r="V10" i="59"/>
  <c r="F9" i="59"/>
  <c r="F8" i="59" s="1"/>
  <c r="F6" i="59"/>
  <c r="U10" i="59"/>
  <c r="E9" i="59"/>
  <c r="E8" i="59" s="1"/>
  <c r="E6" i="59"/>
  <c r="E5" i="59" s="1"/>
  <c r="D10" i="59"/>
  <c r="T10" i="59"/>
  <c r="C9" i="59"/>
  <c r="S10" i="59"/>
  <c r="B9" i="59"/>
  <c r="B8" i="59"/>
  <c r="B6" i="59"/>
  <c r="D69" i="59"/>
  <c r="C68" i="59"/>
  <c r="D68" i="59"/>
  <c r="D61" i="59"/>
  <c r="C60" i="59"/>
  <c r="D60" i="59" s="1"/>
  <c r="D53" i="59"/>
  <c r="C52" i="59"/>
  <c r="D52" i="59"/>
  <c r="C48" i="59"/>
  <c r="O49" i="59"/>
  <c r="D49" i="59"/>
  <c r="D65" i="59"/>
  <c r="C64" i="59"/>
  <c r="D64" i="59"/>
  <c r="D57" i="59"/>
  <c r="C56" i="59"/>
  <c r="D56" i="59" s="1"/>
  <c r="C18" i="59"/>
  <c r="D18" i="59" s="1"/>
  <c r="D17" i="59"/>
  <c r="C46" i="59"/>
  <c r="D46" i="59" s="1"/>
  <c r="D45" i="59"/>
  <c r="C38" i="59"/>
  <c r="D38" i="59" s="1"/>
  <c r="D37" i="59"/>
  <c r="C26" i="59"/>
  <c r="D26" i="59" s="1"/>
  <c r="D25" i="59"/>
  <c r="C22" i="59"/>
  <c r="D22" i="59" s="1"/>
  <c r="D21" i="59"/>
  <c r="C14" i="59"/>
  <c r="D14" i="59" s="1"/>
  <c r="D13" i="59"/>
  <c r="N16" i="4"/>
  <c r="U6" i="59"/>
  <c r="F5" i="59"/>
  <c r="V6" i="59"/>
  <c r="B5" i="59"/>
  <c r="S6" i="59"/>
  <c r="D9" i="59"/>
  <c r="C8" i="59"/>
  <c r="D8" i="59" s="1"/>
  <c r="T14" i="59"/>
  <c r="T22" i="59"/>
  <c r="T26" i="59"/>
  <c r="T38" i="59"/>
  <c r="T46" i="59"/>
  <c r="T18" i="59"/>
  <c r="O48" i="59"/>
  <c r="D48" i="59"/>
  <c r="O47"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c r="F21" i="21"/>
  <c r="AA21" i="21"/>
  <c r="C21" i="21"/>
  <c r="Q27" i="40"/>
  <c r="Z27" i="40" s="1"/>
  <c r="D96" i="40"/>
  <c r="E96" i="40" s="1"/>
  <c r="F96" i="40" s="1"/>
  <c r="F27" i="40"/>
  <c r="AA27" i="40" s="1"/>
  <c r="Q31" i="39"/>
  <c r="Z31" i="39" s="1"/>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c r="K2" i="4"/>
  <c r="A2" i="9" s="1"/>
  <c r="K1" i="4"/>
  <c r="B1" i="4"/>
  <c r="B37" i="50" s="1"/>
  <c r="B2" i="63" s="1"/>
  <c r="C31" i="57"/>
  <c r="C32" i="57"/>
  <c r="I23" i="57"/>
  <c r="D20" i="57"/>
  <c r="I19" i="57"/>
  <c r="I18" i="57"/>
  <c r="I17" i="57"/>
  <c r="I20" i="57" s="1"/>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D55" i="46"/>
  <c r="M54" i="46"/>
  <c r="N54" i="46" s="1"/>
  <c r="K54" i="46"/>
  <c r="M53" i="46"/>
  <c r="N53" i="46"/>
  <c r="K53" i="46"/>
  <c r="J53" i="46"/>
  <c r="D53" i="46"/>
  <c r="M52" i="46"/>
  <c r="N52" i="46"/>
  <c r="K52" i="46"/>
  <c r="J52" i="46"/>
  <c r="D52" i="46"/>
  <c r="M51" i="46"/>
  <c r="N51" i="46"/>
  <c r="K51" i="46"/>
  <c r="M50" i="46"/>
  <c r="N50" i="46" s="1"/>
  <c r="M49" i="46"/>
  <c r="N49" i="46" s="1"/>
  <c r="K49" i="46"/>
  <c r="J49" i="46" s="1"/>
  <c r="D49" i="46"/>
  <c r="M48" i="46"/>
  <c r="N48" i="46"/>
  <c r="K48" i="46"/>
  <c r="J48" i="46"/>
  <c r="D48" i="46"/>
  <c r="M47" i="46"/>
  <c r="N47" i="46" s="1"/>
  <c r="K47" i="46"/>
  <c r="J47" i="46" s="1"/>
  <c r="D47" i="46"/>
  <c r="J51" i="46"/>
  <c r="D51" i="46"/>
  <c r="N86" i="46"/>
  <c r="D80" i="46"/>
  <c r="D81" i="46"/>
  <c r="N73" i="46"/>
  <c r="D75" i="46"/>
  <c r="J66" i="46"/>
  <c r="D66" i="46"/>
  <c r="J50" i="46"/>
  <c r="D50" i="46"/>
  <c r="J54" i="46"/>
  <c r="D54" i="46"/>
  <c r="Q73" i="15"/>
  <c r="Q60" i="15"/>
  <c r="Q59" i="15"/>
  <c r="Q52" i="15"/>
  <c r="AE10" i="1"/>
  <c r="AE11" i="1"/>
  <c r="AE12" i="1"/>
  <c r="AE13" i="1"/>
  <c r="M47" i="15"/>
  <c r="L46" i="15" s="1"/>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F13" i="1"/>
  <c r="D11" i="1"/>
  <c r="D12" i="1"/>
  <c r="D13" i="1"/>
  <c r="D6" i="1"/>
  <c r="D7" i="1"/>
  <c r="D8" i="1"/>
  <c r="D9" i="1"/>
  <c r="F10" i="1"/>
  <c r="AP10" i="1" s="1"/>
  <c r="D10"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4" i="3"/>
  <c r="AW204" i="3"/>
  <c r="AV204" i="3"/>
  <c r="AC204" i="3"/>
  <c r="H204" i="3"/>
  <c r="G204" i="3"/>
  <c r="AX203" i="3"/>
  <c r="AW203" i="3"/>
  <c r="AV203" i="3"/>
  <c r="AC203" i="3"/>
  <c r="H203" i="3"/>
  <c r="G203" i="3"/>
  <c r="AX202" i="3"/>
  <c r="AW202" i="3"/>
  <c r="AV202" i="3"/>
  <c r="AC202" i="3"/>
  <c r="H202" i="3"/>
  <c r="G202" i="3"/>
  <c r="AX201" i="3"/>
  <c r="AW201" i="3"/>
  <c r="AV201" i="3"/>
  <c r="AC201" i="3"/>
  <c r="H201" i="3"/>
  <c r="G201" i="3"/>
  <c r="AX200" i="3"/>
  <c r="AW200" i="3"/>
  <c r="AV200" i="3"/>
  <c r="AC200" i="3"/>
  <c r="H200" i="3"/>
  <c r="G200" i="3"/>
  <c r="AX199" i="3"/>
  <c r="AW199" i="3"/>
  <c r="AV199" i="3"/>
  <c r="AC199" i="3"/>
  <c r="H199" i="3"/>
  <c r="G199" i="3"/>
  <c r="AX198" i="3"/>
  <c r="AW198" i="3"/>
  <c r="AV198" i="3"/>
  <c r="AC198" i="3"/>
  <c r="H198" i="3"/>
  <c r="AX197" i="3"/>
  <c r="AW197" i="3"/>
  <c r="AV197" i="3"/>
  <c r="AC197" i="3"/>
  <c r="H197" i="3"/>
  <c r="G197" i="3" s="1"/>
  <c r="AX196" i="3"/>
  <c r="AW196" i="3"/>
  <c r="AV196" i="3"/>
  <c r="AC196" i="3"/>
  <c r="H196" i="3"/>
  <c r="G196" i="3" s="1"/>
  <c r="AX195" i="3"/>
  <c r="AW195" i="3"/>
  <c r="AV195" i="3"/>
  <c r="AC195" i="3"/>
  <c r="H195" i="3"/>
  <c r="G195" i="3" s="1"/>
  <c r="AX194" i="3"/>
  <c r="AW194" i="3"/>
  <c r="AV194" i="3"/>
  <c r="AC194" i="3"/>
  <c r="H194" i="3"/>
  <c r="AX193" i="3"/>
  <c r="AW193" i="3"/>
  <c r="AV193" i="3"/>
  <c r="AC193" i="3"/>
  <c r="H193" i="3"/>
  <c r="G193" i="3"/>
  <c r="AX192" i="3"/>
  <c r="AW192" i="3"/>
  <c r="AV192" i="3"/>
  <c r="AC192" i="3"/>
  <c r="H192" i="3"/>
  <c r="G192" i="3"/>
  <c r="AX191" i="3"/>
  <c r="AW191" i="3"/>
  <c r="AV191" i="3"/>
  <c r="AC191" i="3"/>
  <c r="H191" i="3"/>
  <c r="G191" i="3"/>
  <c r="AX190" i="3"/>
  <c r="AW190" i="3"/>
  <c r="AV190" i="3"/>
  <c r="AC190" i="3"/>
  <c r="H190" i="3"/>
  <c r="AX189" i="3"/>
  <c r="AW189" i="3"/>
  <c r="AV189" i="3"/>
  <c r="AC189" i="3"/>
  <c r="H189" i="3"/>
  <c r="G189" i="3" s="1"/>
  <c r="AX188" i="3"/>
  <c r="AW188" i="3"/>
  <c r="AV188" i="3"/>
  <c r="AC188" i="3"/>
  <c r="H188" i="3"/>
  <c r="G188" i="3" s="1"/>
  <c r="AX187" i="3"/>
  <c r="AW187" i="3"/>
  <c r="AV187" i="3"/>
  <c r="AC187" i="3"/>
  <c r="H187" i="3"/>
  <c r="G187" i="3" s="1"/>
  <c r="AX186" i="3"/>
  <c r="AW186" i="3"/>
  <c r="AV186" i="3"/>
  <c r="AC186" i="3"/>
  <c r="H186" i="3"/>
  <c r="AX185" i="3"/>
  <c r="AW185" i="3"/>
  <c r="AV185" i="3"/>
  <c r="AC185" i="3"/>
  <c r="H185" i="3"/>
  <c r="G185" i="3"/>
  <c r="AX184" i="3"/>
  <c r="AW184" i="3"/>
  <c r="AV184" i="3"/>
  <c r="AC184" i="3"/>
  <c r="H184" i="3"/>
  <c r="G184" i="3"/>
  <c r="AX183" i="3"/>
  <c r="AW183" i="3"/>
  <c r="AV183" i="3"/>
  <c r="AC183" i="3"/>
  <c r="H183" i="3"/>
  <c r="G183" i="3"/>
  <c r="AX182" i="3"/>
  <c r="AW182" i="3"/>
  <c r="AV182" i="3"/>
  <c r="AC182" i="3"/>
  <c r="H182" i="3"/>
  <c r="AX181" i="3"/>
  <c r="AW181" i="3"/>
  <c r="AV181" i="3"/>
  <c r="AC181" i="3"/>
  <c r="H181" i="3"/>
  <c r="G181" i="3" s="1"/>
  <c r="AX180" i="3"/>
  <c r="AW180" i="3"/>
  <c r="AV180" i="3"/>
  <c r="AC180" i="3"/>
  <c r="H180" i="3"/>
  <c r="AX179" i="3"/>
  <c r="AW179" i="3"/>
  <c r="AV179" i="3"/>
  <c r="AC179" i="3"/>
  <c r="H179" i="3"/>
  <c r="G179" i="3"/>
  <c r="AX178" i="3"/>
  <c r="AW178" i="3"/>
  <c r="AV178" i="3"/>
  <c r="AC178" i="3"/>
  <c r="H178" i="3"/>
  <c r="G178" i="3"/>
  <c r="AX177" i="3"/>
  <c r="AW177" i="3"/>
  <c r="AV177" i="3"/>
  <c r="AC177" i="3"/>
  <c r="H177" i="3"/>
  <c r="G177" i="3"/>
  <c r="AX176" i="3"/>
  <c r="AW176" i="3"/>
  <c r="AV176" i="3"/>
  <c r="AC176" i="3"/>
  <c r="H176" i="3"/>
  <c r="G176" i="3"/>
  <c r="AX175" i="3"/>
  <c r="AW175" i="3"/>
  <c r="AV175" i="3"/>
  <c r="AC175" i="3"/>
  <c r="H175" i="3"/>
  <c r="AX174" i="3"/>
  <c r="AW174" i="3"/>
  <c r="AV174" i="3"/>
  <c r="AC174" i="3"/>
  <c r="H174" i="3"/>
  <c r="G174" i="3" s="1"/>
  <c r="AX173" i="3"/>
  <c r="AW173" i="3"/>
  <c r="AV173" i="3"/>
  <c r="AC173" i="3"/>
  <c r="H173" i="3"/>
  <c r="G173" i="3" s="1"/>
  <c r="AX172" i="3"/>
  <c r="AW172" i="3"/>
  <c r="AV172" i="3"/>
  <c r="AC172" i="3"/>
  <c r="H172" i="3"/>
  <c r="G172" i="3" s="1"/>
  <c r="AX171" i="3"/>
  <c r="AW171" i="3"/>
  <c r="AV171" i="3"/>
  <c r="AC171" i="3"/>
  <c r="H171" i="3"/>
  <c r="AX170" i="3"/>
  <c r="AW170" i="3"/>
  <c r="AV170" i="3"/>
  <c r="AC170" i="3"/>
  <c r="H170" i="3"/>
  <c r="G170" i="3"/>
  <c r="AX169" i="3"/>
  <c r="AW169" i="3"/>
  <c r="AV169" i="3"/>
  <c r="AC169" i="3"/>
  <c r="H169" i="3"/>
  <c r="G169" i="3"/>
  <c r="AX168" i="3"/>
  <c r="AW168" i="3"/>
  <c r="AV168" i="3"/>
  <c r="AC168" i="3"/>
  <c r="H168" i="3"/>
  <c r="G168" i="3"/>
  <c r="AX167" i="3"/>
  <c r="AW167" i="3"/>
  <c r="AV167" i="3"/>
  <c r="AC167" i="3"/>
  <c r="H167" i="3"/>
  <c r="AX166" i="3"/>
  <c r="AW166" i="3"/>
  <c r="AV166" i="3"/>
  <c r="AC166" i="3"/>
  <c r="H166" i="3"/>
  <c r="G166" i="3" s="1"/>
  <c r="AX165" i="3"/>
  <c r="AW165" i="3"/>
  <c r="AV165" i="3"/>
  <c r="AC165" i="3"/>
  <c r="H165" i="3"/>
  <c r="G165" i="3" s="1"/>
  <c r="AX164" i="3"/>
  <c r="AW164" i="3"/>
  <c r="AV164" i="3"/>
  <c r="AC164" i="3"/>
  <c r="H164" i="3"/>
  <c r="G164" i="3" s="1"/>
  <c r="AX163" i="3"/>
  <c r="AW163" i="3"/>
  <c r="AV163" i="3"/>
  <c r="AC163" i="3"/>
  <c r="H163" i="3"/>
  <c r="AX162" i="3"/>
  <c r="AW162" i="3"/>
  <c r="AV162" i="3"/>
  <c r="AC162" i="3"/>
  <c r="H162" i="3"/>
  <c r="G162" i="3"/>
  <c r="AX161" i="3"/>
  <c r="AW161" i="3"/>
  <c r="AV161" i="3"/>
  <c r="AC161" i="3"/>
  <c r="H161" i="3"/>
  <c r="G161" i="3"/>
  <c r="AX160" i="3"/>
  <c r="AW160" i="3"/>
  <c r="AV160" i="3"/>
  <c r="AC160" i="3"/>
  <c r="H160" i="3"/>
  <c r="G160" i="3"/>
  <c r="AX159" i="3"/>
  <c r="AW159" i="3"/>
  <c r="AV159" i="3"/>
  <c r="AC159" i="3"/>
  <c r="H159" i="3"/>
  <c r="AX158" i="3"/>
  <c r="AW158" i="3"/>
  <c r="AV158" i="3"/>
  <c r="AC158" i="3"/>
  <c r="H158" i="3"/>
  <c r="G158" i="3" s="1"/>
  <c r="AX157" i="3"/>
  <c r="AW157" i="3"/>
  <c r="AV157" i="3"/>
  <c r="AC157" i="3"/>
  <c r="H157" i="3"/>
  <c r="G157" i="3" s="1"/>
  <c r="AX156" i="3"/>
  <c r="AW156" i="3"/>
  <c r="AV156" i="3"/>
  <c r="AC156" i="3"/>
  <c r="H156" i="3"/>
  <c r="G156" i="3" s="1"/>
  <c r="AX155" i="3"/>
  <c r="AW155" i="3"/>
  <c r="AV155" i="3"/>
  <c r="AC155" i="3"/>
  <c r="H155" i="3"/>
  <c r="AX154" i="3"/>
  <c r="AW154" i="3"/>
  <c r="AV154" i="3"/>
  <c r="AC154" i="3"/>
  <c r="H154" i="3"/>
  <c r="G154" i="3"/>
  <c r="AX153" i="3"/>
  <c r="AW153" i="3"/>
  <c r="AV153" i="3"/>
  <c r="AC153" i="3"/>
  <c r="H153" i="3"/>
  <c r="G153" i="3"/>
  <c r="AX152" i="3"/>
  <c r="AW152" i="3"/>
  <c r="AV152" i="3"/>
  <c r="AC152" i="3"/>
  <c r="H152" i="3"/>
  <c r="G152" i="3"/>
  <c r="AX151" i="3"/>
  <c r="AW151" i="3"/>
  <c r="AV151" i="3"/>
  <c r="AC151" i="3"/>
  <c r="H151" i="3"/>
  <c r="G151" i="3"/>
  <c r="AX150" i="3"/>
  <c r="AW150" i="3"/>
  <c r="AV150" i="3"/>
  <c r="AC150" i="3"/>
  <c r="H150" i="3"/>
  <c r="G150" i="3"/>
  <c r="AX149" i="3"/>
  <c r="AW149" i="3"/>
  <c r="AV149" i="3"/>
  <c r="AC149" i="3"/>
  <c r="H149" i="3"/>
  <c r="G149" i="3"/>
  <c r="AX148" i="3"/>
  <c r="AW148" i="3"/>
  <c r="AV148" i="3"/>
  <c r="AC148" i="3"/>
  <c r="H148" i="3"/>
  <c r="AX147" i="3"/>
  <c r="AW147" i="3"/>
  <c r="AV147" i="3"/>
  <c r="AC147" i="3"/>
  <c r="H147" i="3"/>
  <c r="G147" i="3" s="1"/>
  <c r="AX146" i="3"/>
  <c r="AW146" i="3"/>
  <c r="AV146" i="3"/>
  <c r="AC146" i="3"/>
  <c r="H146" i="3"/>
  <c r="G146" i="3" s="1"/>
  <c r="AX145" i="3"/>
  <c r="AW145" i="3"/>
  <c r="AV145" i="3"/>
  <c r="AC145" i="3"/>
  <c r="H145" i="3"/>
  <c r="G145" i="3" s="1"/>
  <c r="AX144" i="3"/>
  <c r="AW144" i="3"/>
  <c r="AV144" i="3"/>
  <c r="AC144" i="3"/>
  <c r="H144" i="3"/>
  <c r="AX143" i="3"/>
  <c r="AW143" i="3"/>
  <c r="AV143" i="3"/>
  <c r="AC143" i="3"/>
  <c r="H143" i="3"/>
  <c r="G143" i="3"/>
  <c r="AX142" i="3"/>
  <c r="AW142" i="3"/>
  <c r="AV142" i="3"/>
  <c r="AC142" i="3"/>
  <c r="H142" i="3"/>
  <c r="G142" i="3"/>
  <c r="AX141" i="3"/>
  <c r="AW141" i="3"/>
  <c r="AV141" i="3"/>
  <c r="AC141" i="3"/>
  <c r="H141" i="3"/>
  <c r="G141" i="3"/>
  <c r="AX140" i="3"/>
  <c r="AW140" i="3"/>
  <c r="AV140" i="3"/>
  <c r="AC140" i="3"/>
  <c r="H140" i="3"/>
  <c r="AX139" i="3"/>
  <c r="AW139" i="3"/>
  <c r="AV139" i="3"/>
  <c r="AC139" i="3"/>
  <c r="H139" i="3"/>
  <c r="G139" i="3" s="1"/>
  <c r="AX138" i="3"/>
  <c r="AW138" i="3"/>
  <c r="AV138" i="3"/>
  <c r="AC138" i="3"/>
  <c r="H138" i="3"/>
  <c r="G138" i="3" s="1"/>
  <c r="AX137" i="3"/>
  <c r="AW137" i="3"/>
  <c r="AV137" i="3"/>
  <c r="AC137" i="3"/>
  <c r="H137" i="3"/>
  <c r="G137" i="3" s="1"/>
  <c r="AX136" i="3"/>
  <c r="AW136" i="3"/>
  <c r="AV136" i="3"/>
  <c r="AC136" i="3"/>
  <c r="H136" i="3"/>
  <c r="AX135" i="3"/>
  <c r="AW135" i="3"/>
  <c r="AV135" i="3"/>
  <c r="AC135" i="3"/>
  <c r="H135" i="3"/>
  <c r="G135" i="3"/>
  <c r="AX134" i="3"/>
  <c r="AW134" i="3"/>
  <c r="AV134" i="3"/>
  <c r="AC134" i="3"/>
  <c r="H134" i="3"/>
  <c r="G134" i="3"/>
  <c r="AX133" i="3"/>
  <c r="AW133" i="3"/>
  <c r="AV133" i="3"/>
  <c r="AC133" i="3"/>
  <c r="H133" i="3"/>
  <c r="G133" i="3"/>
  <c r="AX132" i="3"/>
  <c r="AW132" i="3"/>
  <c r="AV132" i="3"/>
  <c r="AC132" i="3"/>
  <c r="H132" i="3"/>
  <c r="AX131" i="3"/>
  <c r="AW131" i="3"/>
  <c r="AV131" i="3"/>
  <c r="AC131" i="3"/>
  <c r="H131" i="3"/>
  <c r="G131" i="3" s="1"/>
  <c r="AX130" i="3"/>
  <c r="AW130" i="3"/>
  <c r="AV130" i="3"/>
  <c r="AC130" i="3"/>
  <c r="H130" i="3"/>
  <c r="G130" i="3" s="1"/>
  <c r="AX129" i="3"/>
  <c r="AW129" i="3"/>
  <c r="AV129" i="3"/>
  <c r="AC129" i="3"/>
  <c r="H129" i="3"/>
  <c r="G129" i="3" s="1"/>
  <c r="AX128" i="3"/>
  <c r="AW128" i="3"/>
  <c r="AV128" i="3"/>
  <c r="AC128" i="3"/>
  <c r="H128" i="3"/>
  <c r="AX127" i="3"/>
  <c r="AW127" i="3"/>
  <c r="AV127" i="3"/>
  <c r="AC127" i="3"/>
  <c r="H127" i="3"/>
  <c r="G127" i="3"/>
  <c r="AX126" i="3"/>
  <c r="AW126" i="3"/>
  <c r="AV126" i="3"/>
  <c r="AC126" i="3"/>
  <c r="H126" i="3"/>
  <c r="G126" i="3"/>
  <c r="AX125" i="3"/>
  <c r="AW125" i="3"/>
  <c r="AV125" i="3"/>
  <c r="AC125" i="3"/>
  <c r="H125" i="3"/>
  <c r="G125" i="3"/>
  <c r="AX124" i="3"/>
  <c r="AW124" i="3"/>
  <c r="AV124" i="3"/>
  <c r="AC124" i="3"/>
  <c r="H124" i="3"/>
  <c r="AX123" i="3"/>
  <c r="AW123" i="3"/>
  <c r="AV123" i="3"/>
  <c r="AC123" i="3"/>
  <c r="H123" i="3"/>
  <c r="G123" i="3" s="1"/>
  <c r="AX122" i="3"/>
  <c r="AW122" i="3"/>
  <c r="AV122" i="3"/>
  <c r="AC122" i="3"/>
  <c r="H122" i="3"/>
  <c r="G122" i="3" s="1"/>
  <c r="AX121" i="3"/>
  <c r="AW121" i="3"/>
  <c r="AV121" i="3"/>
  <c r="AC121" i="3"/>
  <c r="H121" i="3"/>
  <c r="G121" i="3" s="1"/>
  <c r="AX120" i="3"/>
  <c r="AW120" i="3"/>
  <c r="AV120" i="3"/>
  <c r="AC120" i="3"/>
  <c r="H120" i="3"/>
  <c r="AX119" i="3"/>
  <c r="AW119" i="3"/>
  <c r="AV119" i="3"/>
  <c r="AC119" i="3"/>
  <c r="H119" i="3"/>
  <c r="G119" i="3"/>
  <c r="AX118" i="3"/>
  <c r="AW118" i="3"/>
  <c r="AV118" i="3"/>
  <c r="AC118" i="3"/>
  <c r="H118" i="3"/>
  <c r="G118" i="3"/>
  <c r="AX117" i="3"/>
  <c r="AW117" i="3"/>
  <c r="AV117" i="3"/>
  <c r="AC117" i="3"/>
  <c r="H117" i="3"/>
  <c r="G117" i="3"/>
  <c r="AX116" i="3"/>
  <c r="AW116" i="3"/>
  <c r="AV116" i="3"/>
  <c r="AC116" i="3"/>
  <c r="H116" i="3"/>
  <c r="AX115" i="3"/>
  <c r="AW115" i="3"/>
  <c r="AV115" i="3"/>
  <c r="AC115" i="3"/>
  <c r="H115" i="3"/>
  <c r="G115" i="3" s="1"/>
  <c r="AX114" i="3"/>
  <c r="AW114" i="3"/>
  <c r="AV114" i="3"/>
  <c r="AC114" i="3"/>
  <c r="H114" i="3"/>
  <c r="G114" i="3" s="1"/>
  <c r="AX113" i="3"/>
  <c r="AW113" i="3"/>
  <c r="AV113" i="3"/>
  <c r="AC113" i="3"/>
  <c r="H113" i="3"/>
  <c r="G113" i="3" s="1"/>
  <c r="AX296" i="3"/>
  <c r="AW296" i="3"/>
  <c r="AV296" i="3"/>
  <c r="AC296" i="3"/>
  <c r="H296" i="3"/>
  <c r="G296" i="3" s="1"/>
  <c r="AX295" i="3"/>
  <c r="AW295" i="3"/>
  <c r="AV295" i="3"/>
  <c r="AC295" i="3"/>
  <c r="H295" i="3"/>
  <c r="G295" i="3" s="1"/>
  <c r="AX294" i="3"/>
  <c r="AW294" i="3"/>
  <c r="AV294" i="3"/>
  <c r="AC294" i="3"/>
  <c r="H294" i="3"/>
  <c r="G294" i="3" s="1"/>
  <c r="AX293" i="3"/>
  <c r="AW293" i="3"/>
  <c r="AV293" i="3"/>
  <c r="AC293" i="3"/>
  <c r="H293" i="3"/>
  <c r="G293" i="3" s="1"/>
  <c r="AX292" i="3"/>
  <c r="AW292" i="3"/>
  <c r="AV292" i="3"/>
  <c r="AC292" i="3"/>
  <c r="H292" i="3"/>
  <c r="G292" i="3" s="1"/>
  <c r="AX291" i="3"/>
  <c r="AW291" i="3"/>
  <c r="AV291" i="3"/>
  <c r="AC291" i="3"/>
  <c r="H291" i="3"/>
  <c r="G291" i="3" s="1"/>
  <c r="AX290" i="3"/>
  <c r="AW290" i="3"/>
  <c r="AV290" i="3"/>
  <c r="AC290" i="3"/>
  <c r="H290" i="3"/>
  <c r="G290" i="3" s="1"/>
  <c r="AX289" i="3"/>
  <c r="AW289" i="3"/>
  <c r="AV289" i="3"/>
  <c r="AC289" i="3"/>
  <c r="H289" i="3"/>
  <c r="G289" i="3" s="1"/>
  <c r="AX288" i="3"/>
  <c r="AW288" i="3"/>
  <c r="AV288" i="3"/>
  <c r="AC288" i="3"/>
  <c r="H288" i="3"/>
  <c r="G288" i="3" s="1"/>
  <c r="AX287" i="3"/>
  <c r="AW287" i="3"/>
  <c r="AV287" i="3"/>
  <c r="AC287" i="3"/>
  <c r="H287" i="3"/>
  <c r="G287" i="3" s="1"/>
  <c r="AX286" i="3"/>
  <c r="AW286" i="3"/>
  <c r="AV286" i="3"/>
  <c r="AC286" i="3"/>
  <c r="H286" i="3"/>
  <c r="G286" i="3" s="1"/>
  <c r="AX285" i="3"/>
  <c r="AW285" i="3"/>
  <c r="AV285" i="3"/>
  <c r="AC285" i="3"/>
  <c r="H285" i="3"/>
  <c r="G285" i="3" s="1"/>
  <c r="AX284" i="3"/>
  <c r="AW284" i="3"/>
  <c r="AV284" i="3"/>
  <c r="AC284" i="3"/>
  <c r="H284" i="3"/>
  <c r="G284" i="3" s="1"/>
  <c r="AX283" i="3"/>
  <c r="AW283" i="3"/>
  <c r="AV283" i="3"/>
  <c r="AC283" i="3"/>
  <c r="H283" i="3"/>
  <c r="G283" i="3" s="1"/>
  <c r="AX282" i="3"/>
  <c r="AW282" i="3"/>
  <c r="AV282" i="3"/>
  <c r="AC282" i="3"/>
  <c r="H282" i="3"/>
  <c r="G282" i="3" s="1"/>
  <c r="AX281" i="3"/>
  <c r="AW281" i="3"/>
  <c r="AV281" i="3"/>
  <c r="AC281" i="3"/>
  <c r="H281" i="3"/>
  <c r="G281" i="3" s="1"/>
  <c r="AX280" i="3"/>
  <c r="AW280" i="3"/>
  <c r="AV280" i="3"/>
  <c r="AC280" i="3"/>
  <c r="H280" i="3"/>
  <c r="G280" i="3" s="1"/>
  <c r="AX279" i="3"/>
  <c r="AW279" i="3"/>
  <c r="AV279" i="3"/>
  <c r="AC279" i="3"/>
  <c r="H279" i="3"/>
  <c r="G279" i="3" s="1"/>
  <c r="AX278" i="3"/>
  <c r="AW278" i="3"/>
  <c r="AV278" i="3"/>
  <c r="AC278" i="3"/>
  <c r="H278" i="3"/>
  <c r="G278" i="3" s="1"/>
  <c r="AX277" i="3"/>
  <c r="AW277" i="3"/>
  <c r="AV277" i="3"/>
  <c r="AC277" i="3"/>
  <c r="H277" i="3"/>
  <c r="G277" i="3" s="1"/>
  <c r="AX276" i="3"/>
  <c r="AW276" i="3"/>
  <c r="AV276" i="3"/>
  <c r="AC276" i="3"/>
  <c r="H276" i="3"/>
  <c r="G276" i="3" s="1"/>
  <c r="AX275" i="3"/>
  <c r="AW275" i="3"/>
  <c r="AV275" i="3"/>
  <c r="AC275" i="3"/>
  <c r="H275" i="3"/>
  <c r="G275" i="3" s="1"/>
  <c r="AX274" i="3"/>
  <c r="AW274" i="3"/>
  <c r="AV274" i="3"/>
  <c r="AC274" i="3"/>
  <c r="H274" i="3"/>
  <c r="G274" i="3" s="1"/>
  <c r="AX273" i="3"/>
  <c r="AW273" i="3"/>
  <c r="AV273" i="3"/>
  <c r="AC273" i="3"/>
  <c r="H273" i="3"/>
  <c r="G273" i="3" s="1"/>
  <c r="AX272" i="3"/>
  <c r="AW272" i="3"/>
  <c r="AV272" i="3"/>
  <c r="AC272" i="3"/>
  <c r="H272" i="3"/>
  <c r="G272" i="3" s="1"/>
  <c r="AX271" i="3"/>
  <c r="AW271" i="3"/>
  <c r="AV271" i="3"/>
  <c r="AC271" i="3"/>
  <c r="H271" i="3"/>
  <c r="G271" i="3" s="1"/>
  <c r="AX270" i="3"/>
  <c r="AW270" i="3"/>
  <c r="AV270" i="3"/>
  <c r="AC270" i="3"/>
  <c r="H270" i="3"/>
  <c r="G270" i="3" s="1"/>
  <c r="AX269" i="3"/>
  <c r="AW269" i="3"/>
  <c r="AV269" i="3"/>
  <c r="AC269" i="3"/>
  <c r="H269" i="3"/>
  <c r="G269" i="3" s="1"/>
  <c r="AX268" i="3"/>
  <c r="AW268" i="3"/>
  <c r="AV268" i="3"/>
  <c r="AC268" i="3"/>
  <c r="H268" i="3"/>
  <c r="G268" i="3" s="1"/>
  <c r="AX267" i="3"/>
  <c r="AW267" i="3"/>
  <c r="AV267" i="3"/>
  <c r="AC267" i="3"/>
  <c r="H267" i="3"/>
  <c r="G267" i="3" s="1"/>
  <c r="AX266" i="3"/>
  <c r="AW266" i="3"/>
  <c r="AV266" i="3"/>
  <c r="AC266" i="3"/>
  <c r="H266" i="3"/>
  <c r="G266" i="3" s="1"/>
  <c r="AX265" i="3"/>
  <c r="AW265" i="3"/>
  <c r="AV265" i="3"/>
  <c r="AC265" i="3"/>
  <c r="H265" i="3"/>
  <c r="G265" i="3" s="1"/>
  <c r="AX264" i="3"/>
  <c r="AW264" i="3"/>
  <c r="AV264" i="3"/>
  <c r="AC264" i="3"/>
  <c r="H264" i="3"/>
  <c r="G264" i="3" s="1"/>
  <c r="AX263" i="3"/>
  <c r="AW263" i="3"/>
  <c r="AV263" i="3"/>
  <c r="AC263" i="3"/>
  <c r="H263" i="3"/>
  <c r="G263" i="3" s="1"/>
  <c r="AX262" i="3"/>
  <c r="AW262" i="3"/>
  <c r="AV262" i="3"/>
  <c r="AC262" i="3"/>
  <c r="H262" i="3"/>
  <c r="G262" i="3" s="1"/>
  <c r="AX261" i="3"/>
  <c r="AW261" i="3"/>
  <c r="AV261" i="3"/>
  <c r="AC261" i="3"/>
  <c r="H261" i="3"/>
  <c r="G261" i="3" s="1"/>
  <c r="AX260" i="3"/>
  <c r="AW260" i="3"/>
  <c r="AV260" i="3"/>
  <c r="AC260" i="3"/>
  <c r="H260" i="3"/>
  <c r="G260" i="3" s="1"/>
  <c r="AX259" i="3"/>
  <c r="AW259" i="3"/>
  <c r="AV259" i="3"/>
  <c r="AC259" i="3"/>
  <c r="H259" i="3"/>
  <c r="G259" i="3" s="1"/>
  <c r="AX258" i="3"/>
  <c r="AW258" i="3"/>
  <c r="AV258" i="3"/>
  <c r="AC258" i="3"/>
  <c r="H258" i="3"/>
  <c r="G258" i="3" s="1"/>
  <c r="AX257" i="3"/>
  <c r="AW257" i="3"/>
  <c r="AV257" i="3"/>
  <c r="AC257" i="3"/>
  <c r="H257" i="3"/>
  <c r="G257" i="3" s="1"/>
  <c r="AX256" i="3"/>
  <c r="AW256" i="3"/>
  <c r="AV256" i="3"/>
  <c r="AC256" i="3"/>
  <c r="H256" i="3"/>
  <c r="G256" i="3" s="1"/>
  <c r="AX255" i="3"/>
  <c r="AW255" i="3"/>
  <c r="AV255" i="3"/>
  <c r="AC255" i="3"/>
  <c r="H255" i="3"/>
  <c r="G255" i="3" s="1"/>
  <c r="AX254" i="3"/>
  <c r="AW254" i="3"/>
  <c r="AV254" i="3"/>
  <c r="AC254" i="3"/>
  <c r="H254" i="3"/>
  <c r="G254" i="3" s="1"/>
  <c r="AX253" i="3"/>
  <c r="AW253" i="3"/>
  <c r="AV253" i="3"/>
  <c r="AC253" i="3"/>
  <c r="H253" i="3"/>
  <c r="G253" i="3" s="1"/>
  <c r="AX252" i="3"/>
  <c r="AW252" i="3"/>
  <c r="AV252" i="3"/>
  <c r="AC252" i="3"/>
  <c r="H252" i="3"/>
  <c r="G252" i="3" s="1"/>
  <c r="AX251" i="3"/>
  <c r="AW251" i="3"/>
  <c r="AV251" i="3"/>
  <c r="AC251" i="3"/>
  <c r="H251" i="3"/>
  <c r="G251" i="3" s="1"/>
  <c r="AX250" i="3"/>
  <c r="AW250" i="3"/>
  <c r="AV250" i="3"/>
  <c r="AC250" i="3"/>
  <c r="H250" i="3"/>
  <c r="G250" i="3" s="1"/>
  <c r="AX249" i="3"/>
  <c r="AW249" i="3"/>
  <c r="AV249" i="3"/>
  <c r="AC249" i="3"/>
  <c r="H249" i="3"/>
  <c r="G249" i="3" s="1"/>
  <c r="AX248" i="3"/>
  <c r="AW248" i="3"/>
  <c r="AV248" i="3"/>
  <c r="AC248" i="3"/>
  <c r="H248" i="3"/>
  <c r="G248" i="3" s="1"/>
  <c r="AX247" i="3"/>
  <c r="AW247" i="3"/>
  <c r="AV247" i="3"/>
  <c r="AC247" i="3"/>
  <c r="H247" i="3"/>
  <c r="G247" i="3" s="1"/>
  <c r="AX246" i="3"/>
  <c r="AW246" i="3"/>
  <c r="AV246" i="3"/>
  <c r="AC246" i="3"/>
  <c r="H246" i="3"/>
  <c r="G246" i="3" s="1"/>
  <c r="AX245" i="3"/>
  <c r="AW245" i="3"/>
  <c r="AV245" i="3"/>
  <c r="AC245" i="3"/>
  <c r="H245" i="3"/>
  <c r="G245" i="3" s="1"/>
  <c r="AX244" i="3"/>
  <c r="AW244" i="3"/>
  <c r="AV244" i="3"/>
  <c r="AC244" i="3"/>
  <c r="H244" i="3"/>
  <c r="G244" i="3" s="1"/>
  <c r="AX243" i="3"/>
  <c r="AW243" i="3"/>
  <c r="AV243" i="3"/>
  <c r="AC243" i="3"/>
  <c r="H243" i="3"/>
  <c r="G243" i="3" s="1"/>
  <c r="AX242" i="3"/>
  <c r="AW242" i="3"/>
  <c r="AV242" i="3"/>
  <c r="AC242" i="3"/>
  <c r="H242" i="3"/>
  <c r="G242" i="3" s="1"/>
  <c r="AX241" i="3"/>
  <c r="AW241" i="3"/>
  <c r="AV241" i="3"/>
  <c r="AC241" i="3"/>
  <c r="H241" i="3"/>
  <c r="G241" i="3" s="1"/>
  <c r="AX240" i="3"/>
  <c r="AW240" i="3"/>
  <c r="AV240" i="3"/>
  <c r="AC240" i="3"/>
  <c r="H240" i="3"/>
  <c r="G240" i="3" s="1"/>
  <c r="AX239" i="3"/>
  <c r="AW239" i="3"/>
  <c r="AV239" i="3"/>
  <c r="AC239" i="3"/>
  <c r="H239" i="3"/>
  <c r="G239" i="3" s="1"/>
  <c r="AX238" i="3"/>
  <c r="AW238" i="3"/>
  <c r="AV238" i="3"/>
  <c r="AC238" i="3"/>
  <c r="H238" i="3"/>
  <c r="G238" i="3" s="1"/>
  <c r="AX237" i="3"/>
  <c r="AW237" i="3"/>
  <c r="AV237" i="3"/>
  <c r="AC237" i="3"/>
  <c r="H237" i="3"/>
  <c r="G237" i="3" s="1"/>
  <c r="AX236" i="3"/>
  <c r="AW236" i="3"/>
  <c r="AV236" i="3"/>
  <c r="AC236" i="3"/>
  <c r="H236" i="3"/>
  <c r="G236" i="3" s="1"/>
  <c r="AX235" i="3"/>
  <c r="AW235" i="3"/>
  <c r="AV235" i="3"/>
  <c r="AC235" i="3"/>
  <c r="H235" i="3"/>
  <c r="G235" i="3" s="1"/>
  <c r="AX234" i="3"/>
  <c r="AW234" i="3"/>
  <c r="AV234" i="3"/>
  <c r="AC234" i="3"/>
  <c r="H234" i="3"/>
  <c r="G234" i="3" s="1"/>
  <c r="AX233" i="3"/>
  <c r="AW233" i="3"/>
  <c r="AV233" i="3"/>
  <c r="AC233" i="3"/>
  <c r="H233" i="3"/>
  <c r="G233" i="3" s="1"/>
  <c r="AX232" i="3"/>
  <c r="AW232" i="3"/>
  <c r="AV232" i="3"/>
  <c r="AC232" i="3"/>
  <c r="H232" i="3"/>
  <c r="G232" i="3" s="1"/>
  <c r="AX231" i="3"/>
  <c r="AW231" i="3"/>
  <c r="AV231" i="3"/>
  <c r="AC231" i="3"/>
  <c r="H231" i="3"/>
  <c r="G231" i="3" s="1"/>
  <c r="AX230" i="3"/>
  <c r="AW230" i="3"/>
  <c r="AV230" i="3"/>
  <c r="AC230" i="3"/>
  <c r="H230" i="3"/>
  <c r="G230" i="3" s="1"/>
  <c r="AX229" i="3"/>
  <c r="AW229" i="3"/>
  <c r="AV229" i="3"/>
  <c r="AC229" i="3"/>
  <c r="H229" i="3"/>
  <c r="G229" i="3" s="1"/>
  <c r="AX228" i="3"/>
  <c r="AW228" i="3"/>
  <c r="AV228" i="3"/>
  <c r="AC228" i="3"/>
  <c r="H228" i="3"/>
  <c r="G228" i="3" s="1"/>
  <c r="AX227" i="3"/>
  <c r="AW227" i="3"/>
  <c r="AV227" i="3"/>
  <c r="AC227" i="3"/>
  <c r="H227" i="3"/>
  <c r="G227" i="3" s="1"/>
  <c r="AX226" i="3"/>
  <c r="AW226" i="3"/>
  <c r="AV226" i="3"/>
  <c r="AC226" i="3"/>
  <c r="H226" i="3"/>
  <c r="G226" i="3" s="1"/>
  <c r="AX225" i="3"/>
  <c r="AW225" i="3"/>
  <c r="AV225" i="3"/>
  <c r="AC225" i="3"/>
  <c r="H225" i="3"/>
  <c r="G225" i="3" s="1"/>
  <c r="AX224" i="3"/>
  <c r="AW224" i="3"/>
  <c r="AV224" i="3"/>
  <c r="AC224" i="3"/>
  <c r="H224" i="3"/>
  <c r="G224" i="3" s="1"/>
  <c r="AX223" i="3"/>
  <c r="AW223" i="3"/>
  <c r="AV223" i="3"/>
  <c r="AC223" i="3"/>
  <c r="H223" i="3"/>
  <c r="G223" i="3" s="1"/>
  <c r="AX222" i="3"/>
  <c r="AW222" i="3"/>
  <c r="AV222" i="3"/>
  <c r="AC222" i="3"/>
  <c r="H222" i="3"/>
  <c r="G222" i="3" s="1"/>
  <c r="AX221" i="3"/>
  <c r="AW221" i="3"/>
  <c r="AV221" i="3"/>
  <c r="AC221" i="3"/>
  <c r="H221" i="3"/>
  <c r="G221" i="3" s="1"/>
  <c r="AX220" i="3"/>
  <c r="AW220" i="3"/>
  <c r="AV220" i="3"/>
  <c r="AC220" i="3"/>
  <c r="H220" i="3"/>
  <c r="G220" i="3" s="1"/>
  <c r="AX219" i="3"/>
  <c r="AW219" i="3"/>
  <c r="AV219" i="3"/>
  <c r="AC219" i="3"/>
  <c r="H219" i="3"/>
  <c r="G219" i="3" s="1"/>
  <c r="AX218" i="3"/>
  <c r="AW218" i="3"/>
  <c r="AV218" i="3"/>
  <c r="AC218" i="3"/>
  <c r="H218" i="3"/>
  <c r="G218" i="3" s="1"/>
  <c r="AX217" i="3"/>
  <c r="AW217" i="3"/>
  <c r="AV217" i="3"/>
  <c r="AC217" i="3"/>
  <c r="H217" i="3"/>
  <c r="G217" i="3" s="1"/>
  <c r="AX216" i="3"/>
  <c r="AW216" i="3"/>
  <c r="AV216" i="3"/>
  <c r="AC216" i="3"/>
  <c r="H216" i="3"/>
  <c r="G216" i="3" s="1"/>
  <c r="AX215" i="3"/>
  <c r="AW215" i="3"/>
  <c r="AV215" i="3"/>
  <c r="AC215" i="3"/>
  <c r="H215" i="3"/>
  <c r="G215" i="3" s="1"/>
  <c r="AX214" i="3"/>
  <c r="AW214" i="3"/>
  <c r="AV214" i="3"/>
  <c r="AC214" i="3"/>
  <c r="H214" i="3"/>
  <c r="G214" i="3" s="1"/>
  <c r="AX213" i="3"/>
  <c r="AW213" i="3"/>
  <c r="AV213" i="3"/>
  <c r="AC213" i="3"/>
  <c r="H213" i="3"/>
  <c r="G213" i="3" s="1"/>
  <c r="AX212" i="3"/>
  <c r="AW212" i="3"/>
  <c r="AV212" i="3"/>
  <c r="AC212" i="3"/>
  <c r="H212" i="3"/>
  <c r="G212" i="3" s="1"/>
  <c r="AX211" i="3"/>
  <c r="AW211" i="3"/>
  <c r="AV211" i="3"/>
  <c r="AC211" i="3"/>
  <c r="H211" i="3"/>
  <c r="G211" i="3" s="1"/>
  <c r="AX210" i="3"/>
  <c r="AW210" i="3"/>
  <c r="AV210" i="3"/>
  <c r="AC210" i="3"/>
  <c r="H210" i="3"/>
  <c r="G210" i="3" s="1"/>
  <c r="AX209" i="3"/>
  <c r="AW209" i="3"/>
  <c r="AV209" i="3"/>
  <c r="AC209" i="3"/>
  <c r="H209" i="3"/>
  <c r="G209" i="3" s="1"/>
  <c r="AX208" i="3"/>
  <c r="AW208" i="3"/>
  <c r="AV208" i="3"/>
  <c r="AC208" i="3"/>
  <c r="H208" i="3"/>
  <c r="G208" i="3" s="1"/>
  <c r="AX207" i="3"/>
  <c r="AW207" i="3"/>
  <c r="AV207" i="3"/>
  <c r="AC207" i="3"/>
  <c r="H207" i="3"/>
  <c r="G207" i="3" s="1"/>
  <c r="AX206" i="3"/>
  <c r="AW206" i="3"/>
  <c r="AV206" i="3"/>
  <c r="AC206" i="3"/>
  <c r="H206" i="3"/>
  <c r="G206" i="3" s="1"/>
  <c r="AX205" i="3"/>
  <c r="AW205" i="3"/>
  <c r="AV205" i="3"/>
  <c r="AC205" i="3"/>
  <c r="H205" i="3"/>
  <c r="G205" i="3" s="1"/>
  <c r="AX388" i="3"/>
  <c r="AW388" i="3"/>
  <c r="AV388" i="3"/>
  <c r="AC388" i="3"/>
  <c r="H388" i="3"/>
  <c r="G388" i="3" s="1"/>
  <c r="AX387" i="3"/>
  <c r="AW387" i="3"/>
  <c r="AV387" i="3"/>
  <c r="AC387" i="3"/>
  <c r="H387" i="3"/>
  <c r="G387" i="3" s="1"/>
  <c r="AX386" i="3"/>
  <c r="AW386" i="3"/>
  <c r="AV386" i="3"/>
  <c r="AC386" i="3"/>
  <c r="H386" i="3"/>
  <c r="G386" i="3" s="1"/>
  <c r="AX385" i="3"/>
  <c r="AW385" i="3"/>
  <c r="AV385" i="3"/>
  <c r="AC385" i="3"/>
  <c r="H385" i="3"/>
  <c r="AX384" i="3"/>
  <c r="AW384" i="3"/>
  <c r="AV384" i="3"/>
  <c r="AC384" i="3"/>
  <c r="H384" i="3"/>
  <c r="AX383" i="3"/>
  <c r="AW383" i="3"/>
  <c r="AV383" i="3"/>
  <c r="AC383" i="3"/>
  <c r="H383" i="3"/>
  <c r="G383" i="3" s="1"/>
  <c r="AX382" i="3"/>
  <c r="AW382" i="3"/>
  <c r="AV382" i="3"/>
  <c r="AC382" i="3"/>
  <c r="H382" i="3"/>
  <c r="AX381" i="3"/>
  <c r="AW381" i="3"/>
  <c r="AV381" i="3"/>
  <c r="AC381" i="3"/>
  <c r="H381" i="3"/>
  <c r="G381" i="3"/>
  <c r="AX380" i="3"/>
  <c r="AW380" i="3"/>
  <c r="AV380" i="3"/>
  <c r="AC380" i="3"/>
  <c r="H380" i="3"/>
  <c r="AX379" i="3"/>
  <c r="AW379" i="3"/>
  <c r="AV379" i="3"/>
  <c r="AC379" i="3"/>
  <c r="H379" i="3"/>
  <c r="G379" i="3" s="1"/>
  <c r="AX378" i="3"/>
  <c r="AW378" i="3"/>
  <c r="AV378" i="3"/>
  <c r="AC378" i="3"/>
  <c r="H378" i="3"/>
  <c r="AX377" i="3"/>
  <c r="AW377" i="3"/>
  <c r="AV377" i="3"/>
  <c r="AC377" i="3"/>
  <c r="H377" i="3"/>
  <c r="AX376" i="3"/>
  <c r="AW376" i="3"/>
  <c r="AV376" i="3"/>
  <c r="AC376" i="3"/>
  <c r="H376" i="3"/>
  <c r="AX375" i="3"/>
  <c r="AW375" i="3"/>
  <c r="AV375" i="3"/>
  <c r="AC375" i="3"/>
  <c r="H375" i="3"/>
  <c r="G375" i="3"/>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G370" i="3"/>
  <c r="AX369" i="3"/>
  <c r="AW369" i="3"/>
  <c r="AV369" i="3"/>
  <c r="AC369" i="3"/>
  <c r="H369" i="3"/>
  <c r="AX368" i="3"/>
  <c r="AW368" i="3"/>
  <c r="AV368" i="3"/>
  <c r="AC368" i="3"/>
  <c r="H368" i="3"/>
  <c r="AX367" i="3"/>
  <c r="AW367" i="3"/>
  <c r="AV367" i="3"/>
  <c r="AC367" i="3"/>
  <c r="H367" i="3"/>
  <c r="G367" i="3"/>
  <c r="AX366" i="3"/>
  <c r="AW366" i="3"/>
  <c r="AV366" i="3"/>
  <c r="AC366" i="3"/>
  <c r="H366" i="3"/>
  <c r="AX365" i="3"/>
  <c r="AW365" i="3"/>
  <c r="AV365" i="3"/>
  <c r="AC365" i="3"/>
  <c r="H365" i="3"/>
  <c r="G365" i="3" s="1"/>
  <c r="AX364" i="3"/>
  <c r="AW364" i="3"/>
  <c r="AV364" i="3"/>
  <c r="AC364" i="3"/>
  <c r="H364" i="3"/>
  <c r="AX363" i="3"/>
  <c r="AW363" i="3"/>
  <c r="AV363" i="3"/>
  <c r="AC363" i="3"/>
  <c r="H363" i="3"/>
  <c r="G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G352" i="3"/>
  <c r="AX351" i="3"/>
  <c r="AW351" i="3"/>
  <c r="AV351" i="3"/>
  <c r="AC351" i="3"/>
  <c r="H351" i="3"/>
  <c r="AX350" i="3"/>
  <c r="AW350" i="3"/>
  <c r="AV350" i="3"/>
  <c r="AC350" i="3"/>
  <c r="H350" i="3"/>
  <c r="AX349" i="3"/>
  <c r="AW349" i="3"/>
  <c r="AV349" i="3"/>
  <c r="AC349" i="3"/>
  <c r="H349" i="3"/>
  <c r="G349" i="3"/>
  <c r="AX348" i="3"/>
  <c r="AW348" i="3"/>
  <c r="AV348" i="3"/>
  <c r="AC348" i="3"/>
  <c r="H348" i="3"/>
  <c r="AX347" i="3"/>
  <c r="AW347" i="3"/>
  <c r="AV347" i="3"/>
  <c r="AC347" i="3"/>
  <c r="H347" i="3"/>
  <c r="G347" i="3" s="1"/>
  <c r="AX346" i="3"/>
  <c r="AW346" i="3"/>
  <c r="AV346" i="3"/>
  <c r="AC346" i="3"/>
  <c r="H346" i="3"/>
  <c r="AX345" i="3"/>
  <c r="AW345" i="3"/>
  <c r="AV345" i="3"/>
  <c r="AC345" i="3"/>
  <c r="H345" i="3"/>
  <c r="G345" i="3"/>
  <c r="AX344" i="3"/>
  <c r="AW344" i="3"/>
  <c r="AV344" i="3"/>
  <c r="AC344" i="3"/>
  <c r="H344" i="3"/>
  <c r="AX343" i="3"/>
  <c r="AW343" i="3"/>
  <c r="AV343" i="3"/>
  <c r="AC343" i="3"/>
  <c r="H343" i="3"/>
  <c r="AX342" i="3"/>
  <c r="AW342" i="3"/>
  <c r="AV342" i="3"/>
  <c r="AC342" i="3"/>
  <c r="H342" i="3"/>
  <c r="AX341" i="3"/>
  <c r="AW341" i="3"/>
  <c r="AV341" i="3"/>
  <c r="AC341" i="3"/>
  <c r="H341" i="3"/>
  <c r="G341" i="3" s="1"/>
  <c r="AX340" i="3"/>
  <c r="AW340" i="3"/>
  <c r="AV340" i="3"/>
  <c r="AC340" i="3"/>
  <c r="H340" i="3"/>
  <c r="AX339" i="3"/>
  <c r="AW339" i="3"/>
  <c r="AV339" i="3"/>
  <c r="AC339" i="3"/>
  <c r="H339" i="3"/>
  <c r="AX338" i="3"/>
  <c r="AW338" i="3"/>
  <c r="AV338" i="3"/>
  <c r="AC338" i="3"/>
  <c r="H338" i="3"/>
  <c r="AX337" i="3"/>
  <c r="AW337" i="3"/>
  <c r="AV337" i="3"/>
  <c r="AC337" i="3"/>
  <c r="H337" i="3"/>
  <c r="AX336" i="3"/>
  <c r="AW336" i="3"/>
  <c r="AV336" i="3"/>
  <c r="AC336" i="3"/>
  <c r="H336" i="3"/>
  <c r="G336" i="3" s="1"/>
  <c r="AX335" i="3"/>
  <c r="AW335" i="3"/>
  <c r="AV335" i="3"/>
  <c r="AC335" i="3"/>
  <c r="H335" i="3"/>
  <c r="AX334" i="3"/>
  <c r="AW334" i="3"/>
  <c r="AV334" i="3"/>
  <c r="AC334" i="3"/>
  <c r="H334" i="3"/>
  <c r="AX333" i="3"/>
  <c r="AW333" i="3"/>
  <c r="AV333" i="3"/>
  <c r="AC333" i="3"/>
  <c r="H333" i="3"/>
  <c r="G333" i="3" s="1"/>
  <c r="AX332" i="3"/>
  <c r="AW332" i="3"/>
  <c r="AV332" i="3"/>
  <c r="AC332" i="3"/>
  <c r="H332" i="3"/>
  <c r="AX331" i="3"/>
  <c r="AW331" i="3"/>
  <c r="AV331" i="3"/>
  <c r="AC331" i="3"/>
  <c r="H331" i="3"/>
  <c r="G331" i="3"/>
  <c r="AX330" i="3"/>
  <c r="AW330" i="3"/>
  <c r="AV330" i="3"/>
  <c r="AC330" i="3"/>
  <c r="H330" i="3"/>
  <c r="AX329" i="3"/>
  <c r="AW329" i="3"/>
  <c r="AV329" i="3"/>
  <c r="AC329" i="3"/>
  <c r="H329" i="3"/>
  <c r="G329" i="3" s="1"/>
  <c r="AX328" i="3"/>
  <c r="AW328" i="3"/>
  <c r="AV328" i="3"/>
  <c r="AC328" i="3"/>
  <c r="H328" i="3"/>
  <c r="AX327" i="3"/>
  <c r="AW327" i="3"/>
  <c r="AV327" i="3"/>
  <c r="AC327" i="3"/>
  <c r="H327" i="3"/>
  <c r="AX326" i="3"/>
  <c r="AW326" i="3"/>
  <c r="AV326" i="3"/>
  <c r="AC326" i="3"/>
  <c r="H326" i="3"/>
  <c r="AX325" i="3"/>
  <c r="AW325" i="3"/>
  <c r="AV325" i="3"/>
  <c r="AC325" i="3"/>
  <c r="H325" i="3"/>
  <c r="G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H320" i="3"/>
  <c r="G320" i="3"/>
  <c r="AX319" i="3"/>
  <c r="AW319" i="3"/>
  <c r="AV319" i="3"/>
  <c r="AC319" i="3"/>
  <c r="H319" i="3"/>
  <c r="AX318" i="3"/>
  <c r="AW318" i="3"/>
  <c r="AV318" i="3"/>
  <c r="AC318" i="3"/>
  <c r="H318" i="3"/>
  <c r="AX317" i="3"/>
  <c r="AW317" i="3"/>
  <c r="AV317" i="3"/>
  <c r="AC317" i="3"/>
  <c r="H317" i="3"/>
  <c r="G317" i="3"/>
  <c r="AX316" i="3"/>
  <c r="AW316" i="3"/>
  <c r="AV316" i="3"/>
  <c r="AC316" i="3"/>
  <c r="H316" i="3"/>
  <c r="AX315" i="3"/>
  <c r="AW315" i="3"/>
  <c r="AV315" i="3"/>
  <c r="AC315" i="3"/>
  <c r="H315" i="3"/>
  <c r="G315" i="3" s="1"/>
  <c r="AX314" i="3"/>
  <c r="AW314" i="3"/>
  <c r="AV314" i="3"/>
  <c r="AC314" i="3"/>
  <c r="H314" i="3"/>
  <c r="AX313" i="3"/>
  <c r="AW313" i="3"/>
  <c r="AV313" i="3"/>
  <c r="AC313" i="3"/>
  <c r="H313" i="3"/>
  <c r="G313" i="3"/>
  <c r="AX312" i="3"/>
  <c r="AW312" i="3"/>
  <c r="AV312" i="3"/>
  <c r="AC312" i="3"/>
  <c r="H312" i="3"/>
  <c r="AX311" i="3"/>
  <c r="AW311" i="3"/>
  <c r="AV311" i="3"/>
  <c r="AC311" i="3"/>
  <c r="H311" i="3"/>
  <c r="G311" i="3" s="1"/>
  <c r="AX310" i="3"/>
  <c r="AW310" i="3"/>
  <c r="AV310" i="3"/>
  <c r="AC310" i="3"/>
  <c r="H310" i="3"/>
  <c r="AX309" i="3"/>
  <c r="AW309" i="3"/>
  <c r="AV309" i="3"/>
  <c r="AC309" i="3"/>
  <c r="H309" i="3"/>
  <c r="G309" i="3"/>
  <c r="AX308" i="3"/>
  <c r="AW308" i="3"/>
  <c r="AV308" i="3"/>
  <c r="AC308" i="3"/>
  <c r="H308" i="3"/>
  <c r="AX307" i="3"/>
  <c r="AW307" i="3"/>
  <c r="AV307" i="3"/>
  <c r="AC307" i="3"/>
  <c r="H307" i="3"/>
  <c r="G307" i="3" s="1"/>
  <c r="AX306" i="3"/>
  <c r="AW306" i="3"/>
  <c r="AV306" i="3"/>
  <c r="AC306" i="3"/>
  <c r="H306" i="3"/>
  <c r="AX305" i="3"/>
  <c r="AW305" i="3"/>
  <c r="AV305" i="3"/>
  <c r="AC305" i="3"/>
  <c r="H305" i="3"/>
  <c r="G305" i="3"/>
  <c r="AX304" i="3"/>
  <c r="AW304" i="3"/>
  <c r="AV304" i="3"/>
  <c r="AC304" i="3"/>
  <c r="H304" i="3"/>
  <c r="AX303" i="3"/>
  <c r="AW303" i="3"/>
  <c r="AV303" i="3"/>
  <c r="AC303" i="3"/>
  <c r="H303" i="3"/>
  <c r="AX302" i="3"/>
  <c r="AW302" i="3"/>
  <c r="AV302" i="3"/>
  <c r="AC302" i="3"/>
  <c r="H302" i="3"/>
  <c r="AX301" i="3"/>
  <c r="AW301" i="3"/>
  <c r="AV301" i="3"/>
  <c r="AC301" i="3"/>
  <c r="H301" i="3"/>
  <c r="G301" i="3" s="1"/>
  <c r="AX300" i="3"/>
  <c r="AW300" i="3"/>
  <c r="AV300" i="3"/>
  <c r="AC300" i="3"/>
  <c r="H300" i="3"/>
  <c r="AX299" i="3"/>
  <c r="AW299" i="3"/>
  <c r="AV299" i="3"/>
  <c r="AC299" i="3"/>
  <c r="H299" i="3"/>
  <c r="AX298" i="3"/>
  <c r="AW298" i="3"/>
  <c r="AV298" i="3"/>
  <c r="AC298" i="3"/>
  <c r="H298" i="3"/>
  <c r="AX297" i="3"/>
  <c r="AW297" i="3"/>
  <c r="AV297" i="3"/>
  <c r="AC297" i="3"/>
  <c r="H297" i="3"/>
  <c r="AX480" i="3"/>
  <c r="AW480" i="3"/>
  <c r="AV480" i="3"/>
  <c r="AC480" i="3"/>
  <c r="H480" i="3"/>
  <c r="G480" i="3" s="1"/>
  <c r="AX479" i="3"/>
  <c r="AW479" i="3"/>
  <c r="AV479" i="3"/>
  <c r="AC479" i="3"/>
  <c r="H479" i="3"/>
  <c r="G479" i="3" s="1"/>
  <c r="AX478" i="3"/>
  <c r="AW478" i="3"/>
  <c r="AV478" i="3"/>
  <c r="AC478" i="3"/>
  <c r="H478" i="3"/>
  <c r="G478" i="3" s="1"/>
  <c r="AX477" i="3"/>
  <c r="AW477" i="3"/>
  <c r="AV477" i="3"/>
  <c r="AC477" i="3"/>
  <c r="H477" i="3"/>
  <c r="G477" i="3" s="1"/>
  <c r="AX476" i="3"/>
  <c r="AW476" i="3"/>
  <c r="AV476" i="3"/>
  <c r="AC476" i="3"/>
  <c r="H476" i="3"/>
  <c r="G476" i="3" s="1"/>
  <c r="AX475" i="3"/>
  <c r="AW475" i="3"/>
  <c r="AV475" i="3"/>
  <c r="AC475" i="3"/>
  <c r="H475" i="3"/>
  <c r="G475" i="3" s="1"/>
  <c r="AX474" i="3"/>
  <c r="AW474" i="3"/>
  <c r="AV474" i="3"/>
  <c r="AC474" i="3"/>
  <c r="H474" i="3"/>
  <c r="G474" i="3" s="1"/>
  <c r="AX473" i="3"/>
  <c r="AW473" i="3"/>
  <c r="AV473" i="3"/>
  <c r="AC473" i="3"/>
  <c r="H473" i="3"/>
  <c r="G473" i="3" s="1"/>
  <c r="AX472" i="3"/>
  <c r="AW472" i="3"/>
  <c r="AV472" i="3"/>
  <c r="AC472" i="3"/>
  <c r="H472" i="3"/>
  <c r="G472" i="3" s="1"/>
  <c r="AX471" i="3"/>
  <c r="AW471" i="3"/>
  <c r="AV471" i="3"/>
  <c r="AC471" i="3"/>
  <c r="H471" i="3"/>
  <c r="G471" i="3" s="1"/>
  <c r="AX470" i="3"/>
  <c r="AW470" i="3"/>
  <c r="AV470" i="3"/>
  <c r="AC470" i="3"/>
  <c r="H470" i="3"/>
  <c r="G470" i="3" s="1"/>
  <c r="AX469" i="3"/>
  <c r="AW469" i="3"/>
  <c r="AV469" i="3"/>
  <c r="AC469" i="3"/>
  <c r="H469" i="3"/>
  <c r="G469" i="3" s="1"/>
  <c r="AX468" i="3"/>
  <c r="AW468" i="3"/>
  <c r="AV468" i="3"/>
  <c r="AC468" i="3"/>
  <c r="H468" i="3"/>
  <c r="G468" i="3" s="1"/>
  <c r="AX467" i="3"/>
  <c r="AW467" i="3"/>
  <c r="AV467" i="3"/>
  <c r="AC467" i="3"/>
  <c r="H467" i="3"/>
  <c r="G467" i="3" s="1"/>
  <c r="AX466" i="3"/>
  <c r="AW466" i="3"/>
  <c r="AV466" i="3"/>
  <c r="AC466" i="3"/>
  <c r="H466" i="3"/>
  <c r="G466" i="3" s="1"/>
  <c r="AX465" i="3"/>
  <c r="AW465" i="3"/>
  <c r="AV465" i="3"/>
  <c r="AC465" i="3"/>
  <c r="H465" i="3"/>
  <c r="G465" i="3" s="1"/>
  <c r="AX464" i="3"/>
  <c r="AW464" i="3"/>
  <c r="AV464" i="3"/>
  <c r="AC464" i="3"/>
  <c r="H464" i="3"/>
  <c r="G464" i="3" s="1"/>
  <c r="AX463" i="3"/>
  <c r="AW463" i="3"/>
  <c r="AV463" i="3"/>
  <c r="AC463" i="3"/>
  <c r="H463" i="3"/>
  <c r="G463" i="3" s="1"/>
  <c r="AX462" i="3"/>
  <c r="AW462" i="3"/>
  <c r="AV462" i="3"/>
  <c r="AC462" i="3"/>
  <c r="H462" i="3"/>
  <c r="G462" i="3" s="1"/>
  <c r="AX461" i="3"/>
  <c r="AW461" i="3"/>
  <c r="AV461" i="3"/>
  <c r="AC461" i="3"/>
  <c r="H461" i="3"/>
  <c r="G461" i="3" s="1"/>
  <c r="AX460" i="3"/>
  <c r="AW460" i="3"/>
  <c r="AV460" i="3"/>
  <c r="AC460" i="3"/>
  <c r="H460" i="3"/>
  <c r="G460" i="3" s="1"/>
  <c r="AX459" i="3"/>
  <c r="AW459" i="3"/>
  <c r="AV459" i="3"/>
  <c r="AC459" i="3"/>
  <c r="H459" i="3"/>
  <c r="G459" i="3" s="1"/>
  <c r="AX458" i="3"/>
  <c r="AW458" i="3"/>
  <c r="AV458" i="3"/>
  <c r="AC458" i="3"/>
  <c r="H458" i="3"/>
  <c r="G458" i="3" s="1"/>
  <c r="AX457" i="3"/>
  <c r="AW457" i="3"/>
  <c r="AV457" i="3"/>
  <c r="AC457" i="3"/>
  <c r="H457" i="3"/>
  <c r="G457" i="3" s="1"/>
  <c r="AX456" i="3"/>
  <c r="AW456" i="3"/>
  <c r="AV456" i="3"/>
  <c r="AC456" i="3"/>
  <c r="H456" i="3"/>
  <c r="G456" i="3" s="1"/>
  <c r="AX455" i="3"/>
  <c r="AW455" i="3"/>
  <c r="AV455" i="3"/>
  <c r="AC455" i="3"/>
  <c r="H455" i="3"/>
  <c r="G455" i="3" s="1"/>
  <c r="AX454" i="3"/>
  <c r="AW454" i="3"/>
  <c r="AV454" i="3"/>
  <c r="AC454" i="3"/>
  <c r="H454" i="3"/>
  <c r="G454" i="3" s="1"/>
  <c r="AX453" i="3"/>
  <c r="AW453" i="3"/>
  <c r="AV453" i="3"/>
  <c r="AC453" i="3"/>
  <c r="H453" i="3"/>
  <c r="G453" i="3" s="1"/>
  <c r="AX452" i="3"/>
  <c r="AW452" i="3"/>
  <c r="AV452" i="3"/>
  <c r="AC452" i="3"/>
  <c r="H452" i="3"/>
  <c r="G452" i="3" s="1"/>
  <c r="AX451" i="3"/>
  <c r="AW451" i="3"/>
  <c r="AV451" i="3"/>
  <c r="AC451" i="3"/>
  <c r="H451" i="3"/>
  <c r="G451" i="3" s="1"/>
  <c r="AX450" i="3"/>
  <c r="AW450" i="3"/>
  <c r="AV450" i="3"/>
  <c r="AC450" i="3"/>
  <c r="H450" i="3"/>
  <c r="G450" i="3" s="1"/>
  <c r="AX449" i="3"/>
  <c r="AW449" i="3"/>
  <c r="AV449" i="3"/>
  <c r="AC449" i="3"/>
  <c r="H449" i="3"/>
  <c r="G449" i="3" s="1"/>
  <c r="AX448" i="3"/>
  <c r="AW448" i="3"/>
  <c r="AV448" i="3"/>
  <c r="AC448" i="3"/>
  <c r="H448" i="3"/>
  <c r="G448" i="3" s="1"/>
  <c r="AX447" i="3"/>
  <c r="AW447" i="3"/>
  <c r="AV447" i="3"/>
  <c r="AC447" i="3"/>
  <c r="H447" i="3"/>
  <c r="G447" i="3" s="1"/>
  <c r="AX446" i="3"/>
  <c r="AW446" i="3"/>
  <c r="AV446" i="3"/>
  <c r="AC446" i="3"/>
  <c r="H446" i="3"/>
  <c r="G446" i="3" s="1"/>
  <c r="AX445" i="3"/>
  <c r="AW445" i="3"/>
  <c r="AV445" i="3"/>
  <c r="AC445" i="3"/>
  <c r="H445" i="3"/>
  <c r="G445" i="3" s="1"/>
  <c r="AX444" i="3"/>
  <c r="AW444" i="3"/>
  <c r="AV444" i="3"/>
  <c r="AC444" i="3"/>
  <c r="H444" i="3"/>
  <c r="G444" i="3" s="1"/>
  <c r="AX443" i="3"/>
  <c r="AW443" i="3"/>
  <c r="AV443" i="3"/>
  <c r="AC443" i="3"/>
  <c r="H443" i="3"/>
  <c r="G443" i="3" s="1"/>
  <c r="AX442" i="3"/>
  <c r="AW442" i="3"/>
  <c r="AV442" i="3"/>
  <c r="AC442" i="3"/>
  <c r="H442" i="3"/>
  <c r="G442" i="3" s="1"/>
  <c r="AX441" i="3"/>
  <c r="AW441" i="3"/>
  <c r="AV441" i="3"/>
  <c r="AC441" i="3"/>
  <c r="H441" i="3"/>
  <c r="G441" i="3" s="1"/>
  <c r="AX440" i="3"/>
  <c r="AW440" i="3"/>
  <c r="AV440" i="3"/>
  <c r="AC440" i="3"/>
  <c r="H440" i="3"/>
  <c r="G440" i="3" s="1"/>
  <c r="AX439" i="3"/>
  <c r="AW439" i="3"/>
  <c r="AV439" i="3"/>
  <c r="AC439" i="3"/>
  <c r="H439" i="3"/>
  <c r="G439" i="3" s="1"/>
  <c r="AX438" i="3"/>
  <c r="AW438" i="3"/>
  <c r="AV438" i="3"/>
  <c r="AC438" i="3"/>
  <c r="H438" i="3"/>
  <c r="G438" i="3" s="1"/>
  <c r="AX437" i="3"/>
  <c r="AW437" i="3"/>
  <c r="AV437" i="3"/>
  <c r="AC437" i="3"/>
  <c r="H437" i="3"/>
  <c r="G437" i="3" s="1"/>
  <c r="AX436" i="3"/>
  <c r="AW436" i="3"/>
  <c r="AV436" i="3"/>
  <c r="AC436" i="3"/>
  <c r="H436" i="3"/>
  <c r="G436" i="3" s="1"/>
  <c r="AX435" i="3"/>
  <c r="AW435" i="3"/>
  <c r="AV435" i="3"/>
  <c r="AC435" i="3"/>
  <c r="H435" i="3"/>
  <c r="G435" i="3" s="1"/>
  <c r="AX434" i="3"/>
  <c r="AW434" i="3"/>
  <c r="AV434" i="3"/>
  <c r="AC434" i="3"/>
  <c r="H434" i="3"/>
  <c r="G434" i="3" s="1"/>
  <c r="AX433" i="3"/>
  <c r="AW433" i="3"/>
  <c r="AV433" i="3"/>
  <c r="AC433" i="3"/>
  <c r="H433" i="3"/>
  <c r="G433" i="3" s="1"/>
  <c r="AX432" i="3"/>
  <c r="AW432" i="3"/>
  <c r="AV432" i="3"/>
  <c r="AC432" i="3"/>
  <c r="H432" i="3"/>
  <c r="G432" i="3" s="1"/>
  <c r="AX431" i="3"/>
  <c r="AW431" i="3"/>
  <c r="AV431" i="3"/>
  <c r="AC431" i="3"/>
  <c r="H431" i="3"/>
  <c r="G431" i="3" s="1"/>
  <c r="AX430" i="3"/>
  <c r="AW430" i="3"/>
  <c r="AV430" i="3"/>
  <c r="AC430" i="3"/>
  <c r="H430" i="3"/>
  <c r="G430" i="3" s="1"/>
  <c r="AX429" i="3"/>
  <c r="AW429" i="3"/>
  <c r="AV429" i="3"/>
  <c r="AC429" i="3"/>
  <c r="H429" i="3"/>
  <c r="G429" i="3" s="1"/>
  <c r="AX428" i="3"/>
  <c r="AW428" i="3"/>
  <c r="AV428" i="3"/>
  <c r="AC428" i="3"/>
  <c r="H428" i="3"/>
  <c r="G428" i="3" s="1"/>
  <c r="AX427" i="3"/>
  <c r="AW427" i="3"/>
  <c r="AV427" i="3"/>
  <c r="AC427" i="3"/>
  <c r="H427" i="3"/>
  <c r="G427" i="3" s="1"/>
  <c r="AX426" i="3"/>
  <c r="AW426" i="3"/>
  <c r="AV426" i="3"/>
  <c r="AC426" i="3"/>
  <c r="H426" i="3"/>
  <c r="G426" i="3" s="1"/>
  <c r="AX425" i="3"/>
  <c r="AW425" i="3"/>
  <c r="AV425" i="3"/>
  <c r="AC425" i="3"/>
  <c r="H425" i="3"/>
  <c r="G425" i="3" s="1"/>
  <c r="AX424" i="3"/>
  <c r="AW424" i="3"/>
  <c r="AV424" i="3"/>
  <c r="AC424" i="3"/>
  <c r="H424" i="3"/>
  <c r="G424" i="3" s="1"/>
  <c r="AX423" i="3"/>
  <c r="AW423" i="3"/>
  <c r="AV423" i="3"/>
  <c r="AC423" i="3"/>
  <c r="H423" i="3"/>
  <c r="G423" i="3" s="1"/>
  <c r="AX422" i="3"/>
  <c r="AW422" i="3"/>
  <c r="AV422" i="3"/>
  <c r="AC422" i="3"/>
  <c r="H422" i="3"/>
  <c r="G422" i="3" s="1"/>
  <c r="AX421" i="3"/>
  <c r="AW421" i="3"/>
  <c r="AV421" i="3"/>
  <c r="AC421" i="3"/>
  <c r="H421" i="3"/>
  <c r="G421" i="3" s="1"/>
  <c r="AX420" i="3"/>
  <c r="AW420" i="3"/>
  <c r="AV420" i="3"/>
  <c r="AC420" i="3"/>
  <c r="H420" i="3"/>
  <c r="G420" i="3" s="1"/>
  <c r="AX419" i="3"/>
  <c r="AW419" i="3"/>
  <c r="AV419" i="3"/>
  <c r="AC419" i="3"/>
  <c r="H419" i="3"/>
  <c r="G419" i="3" s="1"/>
  <c r="AX418" i="3"/>
  <c r="AW418" i="3"/>
  <c r="AV418" i="3"/>
  <c r="AC418" i="3"/>
  <c r="H418" i="3"/>
  <c r="G418" i="3" s="1"/>
  <c r="AX417" i="3"/>
  <c r="AW417" i="3"/>
  <c r="AV417" i="3"/>
  <c r="AC417" i="3"/>
  <c r="H417" i="3"/>
  <c r="G417" i="3" s="1"/>
  <c r="AX416" i="3"/>
  <c r="AW416" i="3"/>
  <c r="AV416" i="3"/>
  <c r="AC416" i="3"/>
  <c r="H416" i="3"/>
  <c r="G416" i="3" s="1"/>
  <c r="AX415" i="3"/>
  <c r="AW415" i="3"/>
  <c r="AV415" i="3"/>
  <c r="AC415" i="3"/>
  <c r="H415" i="3"/>
  <c r="G415" i="3" s="1"/>
  <c r="AX414" i="3"/>
  <c r="AW414" i="3"/>
  <c r="AV414" i="3"/>
  <c r="AC414" i="3"/>
  <c r="H414" i="3"/>
  <c r="G414" i="3" s="1"/>
  <c r="AX413" i="3"/>
  <c r="AW413" i="3"/>
  <c r="AV413" i="3"/>
  <c r="AC413" i="3"/>
  <c r="H413" i="3"/>
  <c r="G413" i="3" s="1"/>
  <c r="AX412" i="3"/>
  <c r="AW412" i="3"/>
  <c r="AV412" i="3"/>
  <c r="AC412" i="3"/>
  <c r="H412" i="3"/>
  <c r="G412" i="3" s="1"/>
  <c r="AX411" i="3"/>
  <c r="AW411" i="3"/>
  <c r="AV411" i="3"/>
  <c r="AC411" i="3"/>
  <c r="H411" i="3"/>
  <c r="G411" i="3" s="1"/>
  <c r="AX410" i="3"/>
  <c r="AW410" i="3"/>
  <c r="AV410" i="3"/>
  <c r="AC410" i="3"/>
  <c r="H410" i="3"/>
  <c r="G410" i="3" s="1"/>
  <c r="AX409" i="3"/>
  <c r="AW409" i="3"/>
  <c r="AV409" i="3"/>
  <c r="AC409" i="3"/>
  <c r="H409" i="3"/>
  <c r="G409" i="3" s="1"/>
  <c r="AX408" i="3"/>
  <c r="AW408" i="3"/>
  <c r="AV408" i="3"/>
  <c r="AC408" i="3"/>
  <c r="H408" i="3"/>
  <c r="G408" i="3" s="1"/>
  <c r="AX407" i="3"/>
  <c r="AW407" i="3"/>
  <c r="AV407" i="3"/>
  <c r="AC407" i="3"/>
  <c r="H407" i="3"/>
  <c r="G407" i="3" s="1"/>
  <c r="AX406" i="3"/>
  <c r="AW406" i="3"/>
  <c r="AV406" i="3"/>
  <c r="AC406" i="3"/>
  <c r="H406" i="3"/>
  <c r="G406" i="3" s="1"/>
  <c r="AX405" i="3"/>
  <c r="AW405" i="3"/>
  <c r="AV405" i="3"/>
  <c r="AC405" i="3"/>
  <c r="H405" i="3"/>
  <c r="G405" i="3" s="1"/>
  <c r="AX404" i="3"/>
  <c r="AW404" i="3"/>
  <c r="AV404" i="3"/>
  <c r="AC404" i="3"/>
  <c r="H404" i="3"/>
  <c r="G404" i="3" s="1"/>
  <c r="AX403" i="3"/>
  <c r="AW403" i="3"/>
  <c r="AV403" i="3"/>
  <c r="AC403" i="3"/>
  <c r="H403" i="3"/>
  <c r="G403" i="3" s="1"/>
  <c r="AX402" i="3"/>
  <c r="AW402" i="3"/>
  <c r="AV402" i="3"/>
  <c r="AC402" i="3"/>
  <c r="H402" i="3"/>
  <c r="G402" i="3" s="1"/>
  <c r="AX401" i="3"/>
  <c r="AW401" i="3"/>
  <c r="AV401" i="3"/>
  <c r="AC401" i="3"/>
  <c r="H401" i="3"/>
  <c r="G401" i="3" s="1"/>
  <c r="AX400" i="3"/>
  <c r="AW400" i="3"/>
  <c r="AV400" i="3"/>
  <c r="AC400" i="3"/>
  <c r="H400" i="3"/>
  <c r="G400" i="3" s="1"/>
  <c r="AX399" i="3"/>
  <c r="AW399" i="3"/>
  <c r="AV399" i="3"/>
  <c r="AC399" i="3"/>
  <c r="H399" i="3"/>
  <c r="G399" i="3" s="1"/>
  <c r="AX398" i="3"/>
  <c r="AW398" i="3"/>
  <c r="AV398" i="3"/>
  <c r="AC398" i="3"/>
  <c r="H398" i="3"/>
  <c r="G398" i="3" s="1"/>
  <c r="AX397" i="3"/>
  <c r="AW397" i="3"/>
  <c r="AV397" i="3"/>
  <c r="AC397" i="3"/>
  <c r="H397" i="3"/>
  <c r="G397" i="3" s="1"/>
  <c r="AX396" i="3"/>
  <c r="AW396" i="3"/>
  <c r="AV396" i="3"/>
  <c r="AC396" i="3"/>
  <c r="H396" i="3"/>
  <c r="G396" i="3" s="1"/>
  <c r="AX395" i="3"/>
  <c r="AW395" i="3"/>
  <c r="AV395" i="3"/>
  <c r="AC395" i="3"/>
  <c r="H395" i="3"/>
  <c r="G395" i="3" s="1"/>
  <c r="AX394" i="3"/>
  <c r="AW394" i="3"/>
  <c r="AV394" i="3"/>
  <c r="AC394" i="3"/>
  <c r="H394" i="3"/>
  <c r="G394" i="3" s="1"/>
  <c r="AX393" i="3"/>
  <c r="AW393" i="3"/>
  <c r="AV393" i="3"/>
  <c r="AC393" i="3"/>
  <c r="H393" i="3"/>
  <c r="G393" i="3" s="1"/>
  <c r="AX392" i="3"/>
  <c r="AW392" i="3"/>
  <c r="AV392" i="3"/>
  <c r="AC392" i="3"/>
  <c r="H392" i="3"/>
  <c r="G392" i="3" s="1"/>
  <c r="AX391" i="3"/>
  <c r="AW391" i="3"/>
  <c r="AV391" i="3"/>
  <c r="AC391" i="3"/>
  <c r="H391" i="3"/>
  <c r="G391" i="3" s="1"/>
  <c r="AX390" i="3"/>
  <c r="AW390" i="3"/>
  <c r="AV390" i="3"/>
  <c r="AC390" i="3"/>
  <c r="H390" i="3"/>
  <c r="G390"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K139" i="21" s="1"/>
  <c r="K145" i="21" s="1"/>
  <c r="J142" i="21"/>
  <c r="J140" i="21"/>
  <c r="M87" i="21"/>
  <c r="L87" i="21"/>
  <c r="K87" i="21"/>
  <c r="J87" i="21"/>
  <c r="I87" i="21"/>
  <c r="H87" i="21"/>
  <c r="G87" i="21"/>
  <c r="F87" i="21"/>
  <c r="E87" i="21"/>
  <c r="D87" i="21"/>
  <c r="G2" i="46"/>
  <c r="X7"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T16" i="4"/>
  <c r="D14" i="4"/>
  <c r="M4" i="9"/>
  <c r="L4" i="9"/>
  <c r="G36" i="4"/>
  <c r="A3" i="51"/>
  <c r="R41" i="4"/>
  <c r="Q41" i="4"/>
  <c r="P41" i="4"/>
  <c r="O41" i="4"/>
  <c r="N41" i="4"/>
  <c r="M41" i="4"/>
  <c r="L41" i="4"/>
  <c r="K40" i="4"/>
  <c r="T40" i="4" s="1"/>
  <c r="A18" i="51" s="1"/>
  <c r="B14" i="63" s="1"/>
  <c r="F23" i="4"/>
  <c r="D19" i="4"/>
  <c r="F6" i="1" s="1"/>
  <c r="I19" i="4"/>
  <c r="H19" i="4"/>
  <c r="F19" i="4"/>
  <c r="E19" i="4"/>
  <c r="F8" i="1" s="1"/>
  <c r="B2" i="52"/>
  <c r="B4" i="52" s="1"/>
  <c r="I2" i="46"/>
  <c r="N12" i="46"/>
  <c r="A7" i="46"/>
  <c r="F41" i="4"/>
  <c r="J52" i="40" s="1"/>
  <c r="H61" i="49"/>
  <c r="H39" i="46"/>
  <c r="H38" i="46"/>
  <c r="H37" i="46"/>
  <c r="H36" i="46"/>
  <c r="H35" i="46"/>
  <c r="H34" i="46"/>
  <c r="H33" i="46"/>
  <c r="G20" i="46"/>
  <c r="J20" i="46"/>
  <c r="C18" i="46"/>
  <c r="G17" i="46"/>
  <c r="F15" i="46"/>
  <c r="E15" i="46"/>
  <c r="D15" i="46"/>
  <c r="C15" i="46"/>
  <c r="C10" i="46"/>
  <c r="C11" i="46" s="1"/>
  <c r="C9" i="46"/>
  <c r="E21" i="6"/>
  <c r="K8" i="1" s="1"/>
  <c r="M8" i="1" s="1"/>
  <c r="O8" i="1" s="1"/>
  <c r="P8" i="1" s="1"/>
  <c r="E23" i="6"/>
  <c r="E24" i="6"/>
  <c r="E25" i="6"/>
  <c r="E26" i="6"/>
  <c r="C35" i="4"/>
  <c r="E16" i="12"/>
  <c r="F14" i="12"/>
  <c r="F15" i="12"/>
  <c r="F17" i="12"/>
  <c r="E19" i="12"/>
  <c r="E21" i="12"/>
  <c r="E22" i="12"/>
  <c r="F23" i="12"/>
  <c r="F24" i="12"/>
  <c r="F25" i="12"/>
  <c r="C43" i="9"/>
  <c r="K47" i="9"/>
  <c r="B65" i="63"/>
  <c r="I73" i="9"/>
  <c r="F73" i="9" s="1"/>
  <c r="P73" i="9" s="1"/>
  <c r="D107" i="9"/>
  <c r="C107" i="9"/>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D124" i="39"/>
  <c r="F42" i="39"/>
  <c r="AA42" i="39" s="1"/>
  <c r="H10" i="39"/>
  <c r="AB10" i="39" s="1"/>
  <c r="H11" i="39"/>
  <c r="AB11" i="39" s="1"/>
  <c r="H36" i="39"/>
  <c r="AB36" i="39"/>
  <c r="H40" i="39"/>
  <c r="AB40" i="39" s="1"/>
  <c r="H42" i="39"/>
  <c r="AB42" i="39" s="1"/>
  <c r="J10" i="39"/>
  <c r="AC10" i="39" s="1"/>
  <c r="J11" i="39"/>
  <c r="AC11" i="39" s="1"/>
  <c r="J36" i="39"/>
  <c r="AC36" i="39"/>
  <c r="J42" i="39"/>
  <c r="AC42" i="39"/>
  <c r="F35" i="44"/>
  <c r="M21" i="44"/>
  <c r="F20" i="44"/>
  <c r="C6" i="43"/>
  <c r="K9" i="43"/>
  <c r="J9" i="43"/>
  <c r="I9" i="43"/>
  <c r="H9" i="43"/>
  <c r="G9" i="43"/>
  <c r="F9" i="43"/>
  <c r="E9" i="43"/>
  <c r="D9" i="43"/>
  <c r="C9" i="43"/>
  <c r="BB5" i="3"/>
  <c r="B24" i="1"/>
  <c r="E77" i="9"/>
  <c r="O75" i="9" s="1"/>
  <c r="L75" i="9"/>
  <c r="F77" i="9"/>
  <c r="P75" i="9"/>
  <c r="O74" i="9"/>
  <c r="O73" i="9"/>
  <c r="E66" i="9"/>
  <c r="O72" i="9"/>
  <c r="F74" i="9"/>
  <c r="P74" i="9"/>
  <c r="K44" i="9"/>
  <c r="K43" i="9"/>
  <c r="B31" i="1"/>
  <c r="E10" i="11"/>
  <c r="B22" i="1"/>
  <c r="C2" i="65" s="1"/>
  <c r="B23" i="1"/>
  <c r="BC11" i="3"/>
  <c r="BD11" i="3"/>
  <c r="C11" i="11"/>
  <c r="C10" i="1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G15" i="3"/>
  <c r="H16" i="3"/>
  <c r="AC16" i="3"/>
  <c r="G16" i="3" s="1"/>
  <c r="H17" i="3"/>
  <c r="AC17" i="3"/>
  <c r="G17" i="3"/>
  <c r="H18" i="3"/>
  <c r="AC18" i="3"/>
  <c r="H19" i="3"/>
  <c r="AC19" i="3"/>
  <c r="G19" i="3" s="1"/>
  <c r="H20" i="3"/>
  <c r="AC20" i="3"/>
  <c r="G20" i="3"/>
  <c r="H481" i="3"/>
  <c r="AC481" i="3"/>
  <c r="G481" i="3" s="1"/>
  <c r="H482" i="3"/>
  <c r="AC482" i="3"/>
  <c r="G482" i="3"/>
  <c r="H483" i="3"/>
  <c r="AC483" i="3"/>
  <c r="H484" i="3"/>
  <c r="AC484" i="3"/>
  <c r="H485" i="3"/>
  <c r="AC485" i="3"/>
  <c r="H486" i="3"/>
  <c r="AC486" i="3"/>
  <c r="H487" i="3"/>
  <c r="AC487" i="3"/>
  <c r="G487" i="3" s="1"/>
  <c r="H488" i="3"/>
  <c r="AC488" i="3"/>
  <c r="G488" i="3"/>
  <c r="H489" i="3"/>
  <c r="AC489" i="3"/>
  <c r="G489" i="3" s="1"/>
  <c r="H490" i="3"/>
  <c r="AC490" i="3"/>
  <c r="G490" i="3"/>
  <c r="H491" i="3"/>
  <c r="AC491" i="3"/>
  <c r="H492" i="3"/>
  <c r="AC492" i="3"/>
  <c r="H493" i="3"/>
  <c r="AC493" i="3"/>
  <c r="H494" i="3"/>
  <c r="H495" i="3"/>
  <c r="AC495" i="3"/>
  <c r="H496" i="3"/>
  <c r="AC496" i="3"/>
  <c r="G496" i="3"/>
  <c r="H497" i="3"/>
  <c r="AC497" i="3"/>
  <c r="G497" i="3" s="1"/>
  <c r="H498" i="3"/>
  <c r="AC498" i="3"/>
  <c r="G498" i="3"/>
  <c r="H499" i="3"/>
  <c r="AC499" i="3"/>
  <c r="H500" i="3"/>
  <c r="AC500" i="3"/>
  <c r="G500" i="3" s="1"/>
  <c r="H501" i="3"/>
  <c r="AC501" i="3"/>
  <c r="H502" i="3"/>
  <c r="AC502" i="3"/>
  <c r="H503" i="3"/>
  <c r="AC503" i="3"/>
  <c r="G503" i="3"/>
  <c r="H504" i="3"/>
  <c r="AC504" i="3"/>
  <c r="G504" i="3" s="1"/>
  <c r="H505" i="3"/>
  <c r="AC505" i="3"/>
  <c r="G505" i="3"/>
  <c r="H506" i="3"/>
  <c r="H507" i="3"/>
  <c r="AC507" i="3"/>
  <c r="G507" i="3"/>
  <c r="H508" i="3"/>
  <c r="AC508" i="3"/>
  <c r="G508" i="3" s="1"/>
  <c r="H509" i="3"/>
  <c r="AC509" i="3"/>
  <c r="G509" i="3"/>
  <c r="H510" i="3"/>
  <c r="AC510" i="3"/>
  <c r="H511" i="3"/>
  <c r="AC511" i="3"/>
  <c r="G511" i="3" s="1"/>
  <c r="H512" i="3"/>
  <c r="AC512" i="3"/>
  <c r="G512" i="3"/>
  <c r="H513" i="3"/>
  <c r="AC513" i="3"/>
  <c r="G513" i="3" s="1"/>
  <c r="H514" i="3"/>
  <c r="AC514" i="3"/>
  <c r="G514" i="3" s="1"/>
  <c r="H515" i="3"/>
  <c r="AC515" i="3"/>
  <c r="H516" i="3"/>
  <c r="AC516" i="3"/>
  <c r="G516" i="3"/>
  <c r="H517" i="3"/>
  <c r="AC517" i="3"/>
  <c r="G517" i="3" s="1"/>
  <c r="H518" i="3"/>
  <c r="AC518" i="3"/>
  <c r="H519" i="3"/>
  <c r="AC519" i="3"/>
  <c r="G519" i="3"/>
  <c r="H520" i="3"/>
  <c r="AC520" i="3"/>
  <c r="G520" i="3" s="1"/>
  <c r="H521" i="3"/>
  <c r="AC521" i="3"/>
  <c r="H522" i="3"/>
  <c r="AC522" i="3"/>
  <c r="H523" i="3"/>
  <c r="AC523" i="3"/>
  <c r="H524" i="3"/>
  <c r="AC524" i="3"/>
  <c r="G524" i="3"/>
  <c r="H525" i="3"/>
  <c r="AC525" i="3"/>
  <c r="G525" i="3" s="1"/>
  <c r="H526" i="3"/>
  <c r="AC526" i="3"/>
  <c r="G526" i="3"/>
  <c r="H527" i="3"/>
  <c r="AC527" i="3"/>
  <c r="G527" i="3" s="1"/>
  <c r="H528" i="3"/>
  <c r="AC528" i="3"/>
  <c r="G528" i="3"/>
  <c r="H529" i="3"/>
  <c r="AC529" i="3"/>
  <c r="G529" i="3" s="1"/>
  <c r="H530" i="3"/>
  <c r="G530" i="3" s="1"/>
  <c r="AC530" i="3"/>
  <c r="H531" i="3"/>
  <c r="AC531" i="3"/>
  <c r="G531" i="3"/>
  <c r="H532" i="3"/>
  <c r="AC532" i="3"/>
  <c r="G532" i="3" s="1"/>
  <c r="H533" i="3"/>
  <c r="AC533" i="3"/>
  <c r="G533" i="3"/>
  <c r="H534" i="3"/>
  <c r="AC534" i="3"/>
  <c r="G534" i="3" s="1"/>
  <c r="H535" i="3"/>
  <c r="AC535" i="3"/>
  <c r="G535" i="3"/>
  <c r="H536" i="3"/>
  <c r="AC536" i="3"/>
  <c r="G536" i="3" s="1"/>
  <c r="H537" i="3"/>
  <c r="AC537" i="3"/>
  <c r="G537" i="3"/>
  <c r="H538" i="3"/>
  <c r="AC538" i="3"/>
  <c r="H539" i="3"/>
  <c r="AC539" i="3"/>
  <c r="G539" i="3" s="1"/>
  <c r="H540" i="3"/>
  <c r="AC540" i="3"/>
  <c r="G540" i="3"/>
  <c r="H541" i="3"/>
  <c r="AC541" i="3"/>
  <c r="G541" i="3" s="1"/>
  <c r="H542" i="3"/>
  <c r="H543" i="3"/>
  <c r="AC543" i="3"/>
  <c r="G543" i="3" s="1"/>
  <c r="H544" i="3"/>
  <c r="AC544" i="3"/>
  <c r="G544" i="3"/>
  <c r="H545" i="3"/>
  <c r="AC545" i="3"/>
  <c r="G545" i="3" s="1"/>
  <c r="H546" i="3"/>
  <c r="AC546" i="3"/>
  <c r="G546" i="3" s="1"/>
  <c r="H547" i="3"/>
  <c r="AC547" i="3"/>
  <c r="G547" i="3"/>
  <c r="H548" i="3"/>
  <c r="AC548" i="3"/>
  <c r="G548" i="3" s="1"/>
  <c r="H549" i="3"/>
  <c r="AC549" i="3"/>
  <c r="G549" i="3"/>
  <c r="H550" i="3"/>
  <c r="AC550" i="3"/>
  <c r="G550" i="3" s="1"/>
  <c r="H551" i="3"/>
  <c r="AC551" i="3"/>
  <c r="G551" i="3" s="1"/>
  <c r="H552" i="3"/>
  <c r="AC552" i="3"/>
  <c r="G552" i="3"/>
  <c r="H553" i="3"/>
  <c r="AC553" i="3"/>
  <c r="G553" i="3" s="1"/>
  <c r="H554" i="3"/>
  <c r="AC554" i="3"/>
  <c r="G554" i="3"/>
  <c r="H555" i="3"/>
  <c r="AC555" i="3"/>
  <c r="G555" i="3" s="1"/>
  <c r="H556" i="3"/>
  <c r="AC556" i="3"/>
  <c r="H557" i="3"/>
  <c r="AC557" i="3"/>
  <c r="H558" i="3"/>
  <c r="AC558" i="3"/>
  <c r="G558" i="3"/>
  <c r="H559" i="3"/>
  <c r="AC559" i="3"/>
  <c r="G559" i="3" s="1"/>
  <c r="H560" i="3"/>
  <c r="G560" i="3" s="1"/>
  <c r="AC560" i="3"/>
  <c r="H561" i="3"/>
  <c r="AC561" i="3"/>
  <c r="G561" i="3"/>
  <c r="H562" i="3"/>
  <c r="AC562" i="3"/>
  <c r="G562" i="3" s="1"/>
  <c r="H563" i="3"/>
  <c r="AC563" i="3"/>
  <c r="G563" i="3"/>
  <c r="H564" i="3"/>
  <c r="AC564" i="3"/>
  <c r="G564" i="3" s="1"/>
  <c r="H565" i="3"/>
  <c r="G565" i="3" s="1"/>
  <c r="AC565" i="3"/>
  <c r="H566" i="3"/>
  <c r="G566" i="3" s="1"/>
  <c r="AC566" i="3"/>
  <c r="H567" i="3"/>
  <c r="AC567" i="3"/>
  <c r="G567" i="3"/>
  <c r="H568" i="3"/>
  <c r="AC568" i="3"/>
  <c r="G568" i="3" s="1"/>
  <c r="H569" i="3"/>
  <c r="AC569" i="3"/>
  <c r="G569" i="3"/>
  <c r="H9" i="12"/>
  <c r="I9" i="12"/>
  <c r="J9" i="12"/>
  <c r="K9" i="12"/>
  <c r="G111" i="21"/>
  <c r="H111" i="21"/>
  <c r="B112" i="39"/>
  <c r="B114" i="39"/>
  <c r="F38" i="39" s="1"/>
  <c r="AA38" i="39"/>
  <c r="J30" i="36"/>
  <c r="W30" i="36"/>
  <c r="H30" i="36"/>
  <c r="U30" i="36"/>
  <c r="F30" i="36"/>
  <c r="AA30" i="36"/>
  <c r="C26" i="35"/>
  <c r="C79" i="35"/>
  <c r="J31" i="35"/>
  <c r="AC31" i="35"/>
  <c r="H31" i="35"/>
  <c r="F31" i="35"/>
  <c r="D87" i="35"/>
  <c r="E87" i="35" s="1"/>
  <c r="F87" i="35"/>
  <c r="G87" i="35" s="1"/>
  <c r="H87" i="35" s="1"/>
  <c r="I87" i="35" s="1"/>
  <c r="J87" i="35" s="1"/>
  <c r="K87" i="35" s="1"/>
  <c r="L87" i="35" s="1"/>
  <c r="M87" i="35" s="1"/>
  <c r="H34" i="37"/>
  <c r="AB34" i="37" s="1"/>
  <c r="D101" i="37"/>
  <c r="F34" i="37"/>
  <c r="AA34" i="37"/>
  <c r="D99" i="37"/>
  <c r="E99" i="37"/>
  <c r="F99" i="37" s="1"/>
  <c r="G99" i="37"/>
  <c r="F33" i="37"/>
  <c r="H42" i="34"/>
  <c r="AB42" i="34" s="1"/>
  <c r="J42" i="34"/>
  <c r="AC42" i="34"/>
  <c r="F42" i="34"/>
  <c r="J38" i="34"/>
  <c r="AC38" i="34" s="1"/>
  <c r="D114" i="34"/>
  <c r="F38" i="34"/>
  <c r="AA38" i="34"/>
  <c r="D112" i="34"/>
  <c r="E112" i="34"/>
  <c r="F112" i="34" s="1"/>
  <c r="G112" i="34"/>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s="1"/>
  <c r="H41" i="21"/>
  <c r="D83" i="39"/>
  <c r="E83" i="39" s="1"/>
  <c r="F83" i="39"/>
  <c r="G83" i="39" s="1"/>
  <c r="H83" i="39" s="1"/>
  <c r="I83" i="39" s="1"/>
  <c r="J83" i="39" s="1"/>
  <c r="K83" i="39" s="1"/>
  <c r="L83" i="39" s="1"/>
  <c r="M83" i="39" s="1"/>
  <c r="D78" i="40"/>
  <c r="E78" i="40" s="1"/>
  <c r="F78" i="40" s="1"/>
  <c r="G78" i="40" s="1"/>
  <c r="H78" i="40" s="1"/>
  <c r="I78" i="40" s="1"/>
  <c r="J78" i="40" s="1"/>
  <c r="K78" i="40" s="1"/>
  <c r="L78" i="40" s="1"/>
  <c r="M78" i="40" s="1"/>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F35" i="40" s="1"/>
  <c r="AA35" i="40" s="1"/>
  <c r="B105" i="40"/>
  <c r="F34" i="40"/>
  <c r="AA34" i="40" s="1"/>
  <c r="B103" i="40"/>
  <c r="D102" i="40"/>
  <c r="E102" i="40"/>
  <c r="F102" i="40" s="1"/>
  <c r="G102" i="40" s="1"/>
  <c r="H102" i="40" s="1"/>
  <c r="I102" i="40"/>
  <c r="J102" i="40" s="1"/>
  <c r="K102" i="40" s="1"/>
  <c r="L102" i="40" s="1"/>
  <c r="M102" i="40" s="1"/>
  <c r="D100" i="40"/>
  <c r="E100" i="40"/>
  <c r="F100" i="40" s="1"/>
  <c r="D98" i="40"/>
  <c r="E98" i="40"/>
  <c r="B97" i="40"/>
  <c r="D94" i="40"/>
  <c r="D92" i="40"/>
  <c r="D90" i="40"/>
  <c r="H21" i="40"/>
  <c r="AB21" i="40"/>
  <c r="D88" i="40"/>
  <c r="E88" i="40"/>
  <c r="D86" i="40"/>
  <c r="E86" i="40"/>
  <c r="B83" i="40"/>
  <c r="F16" i="40"/>
  <c r="AA16" i="40" s="1"/>
  <c r="B81" i="40"/>
  <c r="F15" i="40" s="1"/>
  <c r="AA15"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s="1"/>
  <c r="G126" i="39"/>
  <c r="H126" i="39" s="1"/>
  <c r="I126" i="39" s="1"/>
  <c r="J126" i="39" s="1"/>
  <c r="K126" i="39"/>
  <c r="L126" i="39" s="1"/>
  <c r="M126" i="39" s="1"/>
  <c r="D122" i="39"/>
  <c r="E122" i="39"/>
  <c r="F122" i="39" s="1"/>
  <c r="G122" i="39"/>
  <c r="H122" i="39" s="1"/>
  <c r="I122" i="39" s="1"/>
  <c r="J122" i="39" s="1"/>
  <c r="K122" i="39"/>
  <c r="L122" i="39" s="1"/>
  <c r="M122" i="39" s="1"/>
  <c r="B116" i="39"/>
  <c r="D111" i="39"/>
  <c r="E111" i="39" s="1"/>
  <c r="F111" i="39"/>
  <c r="G111" i="39" s="1"/>
  <c r="H111" i="39" s="1"/>
  <c r="I111" i="39" s="1"/>
  <c r="J111" i="39"/>
  <c r="K111" i="39" s="1"/>
  <c r="L111" i="39" s="1"/>
  <c r="M111" i="39" s="1"/>
  <c r="D109" i="39"/>
  <c r="E109" i="39" s="1"/>
  <c r="F109" i="39" s="1"/>
  <c r="G109" i="39" s="1"/>
  <c r="H109" i="39"/>
  <c r="I109" i="39" s="1"/>
  <c r="J109" i="39" s="1"/>
  <c r="K109" i="39" s="1"/>
  <c r="L109" i="39" s="1"/>
  <c r="M109" i="39" s="1"/>
  <c r="D107" i="39"/>
  <c r="E107" i="39" s="1"/>
  <c r="F107" i="39"/>
  <c r="G107" i="39" s="1"/>
  <c r="H107" i="39" s="1"/>
  <c r="I107" i="39" s="1"/>
  <c r="J107" i="39"/>
  <c r="K107" i="39" s="1"/>
  <c r="L107" i="39" s="1"/>
  <c r="M107" i="39" s="1"/>
  <c r="D103" i="39"/>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F47" i="39"/>
  <c r="B131" i="39"/>
  <c r="B129" i="39"/>
  <c r="H45" i="39" s="1"/>
  <c r="U45" i="39"/>
  <c r="D128" i="39"/>
  <c r="E128" i="39"/>
  <c r="F128" i="39" s="1"/>
  <c r="G128" i="39" s="1"/>
  <c r="H128" i="39" s="1"/>
  <c r="I128" i="39"/>
  <c r="J128" i="39" s="1"/>
  <c r="K128" i="39" s="1"/>
  <c r="L128" i="39" s="1"/>
  <c r="M128" i="39" s="1"/>
  <c r="E124" i="39"/>
  <c r="F124" i="39"/>
  <c r="G124" i="39" s="1"/>
  <c r="H124" i="39" s="1"/>
  <c r="I124" i="39" s="1"/>
  <c r="J124" i="39"/>
  <c r="K124" i="39" s="1"/>
  <c r="L124" i="39" s="1"/>
  <c r="M124" i="39" s="1"/>
  <c r="B106" i="39"/>
  <c r="D99" i="39"/>
  <c r="E99" i="39"/>
  <c r="F99" i="39" s="1"/>
  <c r="G99" i="39" s="1"/>
  <c r="D97" i="39"/>
  <c r="D95" i="39"/>
  <c r="E95" i="39" s="1"/>
  <c r="F95" i="39"/>
  <c r="G95" i="39" s="1"/>
  <c r="D93" i="39"/>
  <c r="E93" i="39" s="1"/>
  <c r="F93" i="39"/>
  <c r="G93" i="39" s="1"/>
  <c r="D91" i="39"/>
  <c r="E91" i="39" s="1"/>
  <c r="F91" i="39"/>
  <c r="G91" i="39" s="1"/>
  <c r="B88" i="39"/>
  <c r="B86" i="39"/>
  <c r="H15" i="39"/>
  <c r="U15" i="39" s="1"/>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B108" i="37"/>
  <c r="C23" i="37"/>
  <c r="C19" i="37"/>
  <c r="C17" i="37"/>
  <c r="C15" i="37"/>
  <c r="B112" i="37"/>
  <c r="H40" i="37" s="1"/>
  <c r="D107" i="37"/>
  <c r="E107" i="37" s="1"/>
  <c r="F107" i="37" s="1"/>
  <c r="D105" i="37"/>
  <c r="E105" i="37" s="1"/>
  <c r="H36" i="37"/>
  <c r="D103" i="37"/>
  <c r="E103" i="37"/>
  <c r="F103" i="37" s="1"/>
  <c r="G103" i="37" s="1"/>
  <c r="H103" i="37" s="1"/>
  <c r="I103" i="37"/>
  <c r="J103" i="37" s="1"/>
  <c r="K103" i="37" s="1"/>
  <c r="L103" i="37" s="1"/>
  <c r="M103" i="37" s="1"/>
  <c r="J35" i="37"/>
  <c r="AC35" i="37"/>
  <c r="F97" i="37"/>
  <c r="E97" i="37"/>
  <c r="D97" i="37"/>
  <c r="C97" i="37"/>
  <c r="D96" i="37"/>
  <c r="E96" i="37"/>
  <c r="F96" i="37" s="1"/>
  <c r="G96" i="37" s="1"/>
  <c r="H96" i="37" s="1"/>
  <c r="I96" i="37"/>
  <c r="J96" i="37" s="1"/>
  <c r="K96" i="37" s="1"/>
  <c r="L96" i="37" s="1"/>
  <c r="M96" i="37" s="1"/>
  <c r="D94" i="37"/>
  <c r="M90" i="37"/>
  <c r="L90" i="37"/>
  <c r="K90" i="37"/>
  <c r="J90" i="37"/>
  <c r="I90" i="37"/>
  <c r="H90" i="37"/>
  <c r="G90" i="37"/>
  <c r="F90" i="37"/>
  <c r="E90" i="37"/>
  <c r="D90" i="37"/>
  <c r="C90" i="37"/>
  <c r="D89" i="37"/>
  <c r="E89" i="37"/>
  <c r="F89" i="37" s="1"/>
  <c r="G89" i="37" s="1"/>
  <c r="H89" i="37" s="1"/>
  <c r="I89" i="37"/>
  <c r="J89" i="37" s="1"/>
  <c r="K89" i="37" s="1"/>
  <c r="L89" i="37" s="1"/>
  <c r="M89" i="37" s="1"/>
  <c r="B86" i="37"/>
  <c r="B84" i="37"/>
  <c r="H27" i="37" s="1"/>
  <c r="B82" i="37"/>
  <c r="J26" i="37" s="1"/>
  <c r="D79" i="37"/>
  <c r="E79" i="37" s="1"/>
  <c r="F79" i="37" s="1"/>
  <c r="G79" i="37" s="1"/>
  <c r="D75" i="37"/>
  <c r="E75" i="37" s="1"/>
  <c r="F75" i="37" s="1"/>
  <c r="G75" i="37" s="1"/>
  <c r="D73" i="37"/>
  <c r="E73" i="37"/>
  <c r="F73" i="37" s="1"/>
  <c r="G73" i="37"/>
  <c r="D71" i="37"/>
  <c r="E71" i="37"/>
  <c r="F71" i="37" s="1"/>
  <c r="G71" i="37" s="1"/>
  <c r="F15" i="37"/>
  <c r="AA15" i="37"/>
  <c r="B68" i="37"/>
  <c r="H14" i="37"/>
  <c r="U14" i="37" s="1"/>
  <c r="B66" i="37"/>
  <c r="B64" i="37"/>
  <c r="H12" i="37"/>
  <c r="AB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AA30" i="37" s="1"/>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c r="I81" i="36" s="1"/>
  <c r="J81" i="36" s="1"/>
  <c r="K81" i="36" s="1"/>
  <c r="L81" i="36" s="1"/>
  <c r="M81" i="36" s="1"/>
  <c r="F79" i="36"/>
  <c r="E79" i="36"/>
  <c r="D79" i="36"/>
  <c r="C79" i="36"/>
  <c r="B93" i="36"/>
  <c r="H33" i="36" s="1"/>
  <c r="B91" i="36"/>
  <c r="F32" i="36" s="1"/>
  <c r="S32" i="36" s="1"/>
  <c r="B95" i="36"/>
  <c r="H34" i="36"/>
  <c r="U34" i="36" s="1"/>
  <c r="D83" i="36"/>
  <c r="E83" i="36" s="1"/>
  <c r="F83" i="36" s="1"/>
  <c r="G83" i="36" s="1"/>
  <c r="H83" i="36" s="1"/>
  <c r="I83" i="36" s="1"/>
  <c r="J83" i="36" s="1"/>
  <c r="K83" i="36" s="1"/>
  <c r="L83" i="36" s="1"/>
  <c r="M83" i="36" s="1"/>
  <c r="D78" i="36"/>
  <c r="J26" i="36"/>
  <c r="W26" i="36"/>
  <c r="B75" i="36"/>
  <c r="F25" i="36"/>
  <c r="AA25" i="36" s="1"/>
  <c r="B73" i="36"/>
  <c r="H24" i="36" s="1"/>
  <c r="B71" i="36"/>
  <c r="D70" i="36"/>
  <c r="H22" i="36"/>
  <c r="AB22" i="36"/>
  <c r="D68" i="36"/>
  <c r="E68" i="36"/>
  <c r="D64" i="36"/>
  <c r="E64" i="36"/>
  <c r="F64" i="36" s="1"/>
  <c r="G64" i="36"/>
  <c r="J16" i="36"/>
  <c r="AC16" i="36"/>
  <c r="D62" i="36"/>
  <c r="E62" i="36"/>
  <c r="B59" i="36"/>
  <c r="J13" i="36"/>
  <c r="B57" i="36"/>
  <c r="J12" i="36"/>
  <c r="W12" i="36" s="1"/>
  <c r="B55" i="36"/>
  <c r="F54" i="36"/>
  <c r="G54" i="36"/>
  <c r="H54" i="36" s="1"/>
  <c r="I54" i="36"/>
  <c r="J10" i="36"/>
  <c r="W10"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c r="B75" i="35"/>
  <c r="J24" i="35"/>
  <c r="AC24" i="35" s="1"/>
  <c r="B73" i="35"/>
  <c r="B57" i="35"/>
  <c r="F11" i="35"/>
  <c r="S11" i="35" s="1"/>
  <c r="B61" i="35"/>
  <c r="B59" i="35"/>
  <c r="H12" i="35"/>
  <c r="B131" i="34"/>
  <c r="B129" i="34"/>
  <c r="F46" i="34" s="1"/>
  <c r="B127" i="34"/>
  <c r="B99" i="34"/>
  <c r="H32" i="34"/>
  <c r="B97" i="34"/>
  <c r="B95" i="34"/>
  <c r="F30" i="34" s="1"/>
  <c r="S30" i="34"/>
  <c r="B93" i="34"/>
  <c r="B75" i="34"/>
  <c r="J14" i="34" s="1"/>
  <c r="B73" i="34"/>
  <c r="B71" i="34"/>
  <c r="H12" i="34"/>
  <c r="B130" i="33"/>
  <c r="B128" i="33"/>
  <c r="H45" i="33" s="1"/>
  <c r="B126" i="33"/>
  <c r="B98" i="33"/>
  <c r="F31" i="33" s="1"/>
  <c r="AA31" i="33"/>
  <c r="B96" i="33"/>
  <c r="B94" i="33"/>
  <c r="J29" i="33" s="1"/>
  <c r="B74" i="33"/>
  <c r="B72" i="33"/>
  <c r="H13" i="33"/>
  <c r="B70" i="33"/>
  <c r="D96" i="35"/>
  <c r="E96" i="35" s="1"/>
  <c r="F96" i="35"/>
  <c r="G96" i="35" s="1"/>
  <c r="D94" i="35"/>
  <c r="D84" i="35"/>
  <c r="E84" i="35"/>
  <c r="F84" i="35" s="1"/>
  <c r="G84" i="35"/>
  <c r="H84" i="35" s="1"/>
  <c r="I84" i="35" s="1"/>
  <c r="J84" i="35" s="1"/>
  <c r="K84" i="35"/>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B31" i="35"/>
  <c r="Q30" i="35"/>
  <c r="Z30" i="35"/>
  <c r="Q29" i="35"/>
  <c r="Z29" i="35"/>
  <c r="Q28" i="35"/>
  <c r="Z28" i="35"/>
  <c r="J28" i="35"/>
  <c r="H28" i="35"/>
  <c r="U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c r="D120" i="34"/>
  <c r="E120" i="34"/>
  <c r="F120" i="34" s="1"/>
  <c r="G120" i="34" s="1"/>
  <c r="H120" i="34" s="1"/>
  <c r="I120" i="34"/>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c r="K116" i="34" s="1"/>
  <c r="L116" i="34" s="1"/>
  <c r="M116" i="34" s="1"/>
  <c r="F110" i="34"/>
  <c r="E110" i="34"/>
  <c r="D110" i="34"/>
  <c r="C110" i="34"/>
  <c r="D109" i="34"/>
  <c r="E109" i="34" s="1"/>
  <c r="F109" i="34" s="1"/>
  <c r="G109" i="34" s="1"/>
  <c r="H109" i="34"/>
  <c r="I109" i="34" s="1"/>
  <c r="J109" i="34" s="1"/>
  <c r="K109" i="34" s="1"/>
  <c r="L109" i="34" s="1"/>
  <c r="M109" i="34" s="1"/>
  <c r="J36" i="34"/>
  <c r="D107" i="34"/>
  <c r="E107" i="34"/>
  <c r="F107" i="34" s="1"/>
  <c r="G107" i="34"/>
  <c r="H107" i="34" s="1"/>
  <c r="I107" i="34" s="1"/>
  <c r="J107" i="34" s="1"/>
  <c r="K107" i="34"/>
  <c r="L107" i="34" s="1"/>
  <c r="M107" i="34" s="1"/>
  <c r="F35" i="34"/>
  <c r="S35" i="34"/>
  <c r="M103" i="34"/>
  <c r="L103" i="34"/>
  <c r="K103" i="34"/>
  <c r="J103" i="34"/>
  <c r="I103" i="34"/>
  <c r="H103" i="34"/>
  <c r="G103" i="34"/>
  <c r="F103" i="34"/>
  <c r="E103" i="34"/>
  <c r="D103" i="34"/>
  <c r="C103" i="34"/>
  <c r="D102" i="34"/>
  <c r="E102" i="34" s="1"/>
  <c r="F102" i="34"/>
  <c r="G102" i="34" s="1"/>
  <c r="H102" i="34" s="1"/>
  <c r="I102" i="34" s="1"/>
  <c r="J102" i="34"/>
  <c r="K102" i="34" s="1"/>
  <c r="L102" i="34" s="1"/>
  <c r="M102" i="34" s="1"/>
  <c r="H33" i="34"/>
  <c r="U33" i="34" s="1"/>
  <c r="D92" i="34"/>
  <c r="E92" i="34" s="1"/>
  <c r="F92" i="34"/>
  <c r="G92" i="34" s="1"/>
  <c r="H92" i="34" s="1"/>
  <c r="I92" i="34" s="1"/>
  <c r="J92" i="34"/>
  <c r="K92" i="34" s="1"/>
  <c r="L92" i="34" s="1"/>
  <c r="M92" i="34" s="1"/>
  <c r="B91" i="34"/>
  <c r="F28" i="34" s="1"/>
  <c r="B89" i="34"/>
  <c r="J27" i="34" s="1"/>
  <c r="D88" i="34"/>
  <c r="E88" i="34" s="1"/>
  <c r="F88" i="34" s="1"/>
  <c r="G88" i="34" s="1"/>
  <c r="H88" i="34"/>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c r="K115" i="33" s="1"/>
  <c r="L115" i="33" s="1"/>
  <c r="M115" i="33" s="1"/>
  <c r="D108" i="33"/>
  <c r="E108" i="33" s="1"/>
  <c r="F108" i="33" s="1"/>
  <c r="G108" i="33" s="1"/>
  <c r="H108" i="33"/>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c r="K101" i="33" s="1"/>
  <c r="L101" i="33" s="1"/>
  <c r="M101" i="33" s="1"/>
  <c r="B92" i="33"/>
  <c r="B90" i="33"/>
  <c r="H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J9" i="33"/>
  <c r="W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U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AA8" i="33"/>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F125" i="21" s="1"/>
  <c r="G125" i="21"/>
  <c r="D123" i="21"/>
  <c r="E123" i="21" s="1"/>
  <c r="F123" i="21" s="1"/>
  <c r="H42" i="21" s="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J35"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D66" i="21"/>
  <c r="E66" i="21"/>
  <c r="F66" i="21" s="1"/>
  <c r="G66" i="21" s="1"/>
  <c r="H66" i="21" s="1"/>
  <c r="I66" i="21" s="1"/>
  <c r="D111" i="21"/>
  <c r="E111" i="21"/>
  <c r="F111" i="21"/>
  <c r="C111" i="21"/>
  <c r="D79" i="21"/>
  <c r="E79" i="21"/>
  <c r="F79" i="21" s="1"/>
  <c r="G79" i="21" s="1"/>
  <c r="D85" i="21"/>
  <c r="E85" i="21" s="1"/>
  <c r="D81" i="21"/>
  <c r="E81" i="21"/>
  <c r="F81" i="21" s="1"/>
  <c r="G81" i="21"/>
  <c r="D77" i="21"/>
  <c r="E77" i="21" s="1"/>
  <c r="B130" i="21"/>
  <c r="B128" i="21"/>
  <c r="H45" i="21" s="1"/>
  <c r="B126" i="21"/>
  <c r="B98" i="21"/>
  <c r="H31"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E9" i="12"/>
  <c r="G9" i="12"/>
  <c r="J5" i="3"/>
  <c r="BE10" i="3"/>
  <c r="BF5" i="3"/>
  <c r="BG5" i="3"/>
  <c r="BH5" i="3"/>
  <c r="BJ5"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L5" i="3"/>
  <c r="M5" i="3"/>
  <c r="F20" i="6" s="1"/>
  <c r="E20" i="6" s="1"/>
  <c r="D3" i="71" s="1"/>
  <c r="N5" i="3"/>
  <c r="O5" i="3"/>
  <c r="G22" i="6" s="1"/>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8" i="21"/>
  <c r="S38" i="21"/>
  <c r="F36" i="21"/>
  <c r="S36" i="21"/>
  <c r="F39" i="21"/>
  <c r="AA39" i="21"/>
  <c r="J40" i="21"/>
  <c r="W40" i="21"/>
  <c r="J8" i="21"/>
  <c r="AC8" i="21"/>
  <c r="H8" i="21"/>
  <c r="AB8" i="21"/>
  <c r="H10" i="21"/>
  <c r="U10" i="21"/>
  <c r="H39" i="21"/>
  <c r="AB39" i="21"/>
  <c r="J34" i="21"/>
  <c r="W34" i="21"/>
  <c r="H36" i="21"/>
  <c r="U36" i="21"/>
  <c r="J10" i="21"/>
  <c r="AC10" i="21"/>
  <c r="H26" i="21"/>
  <c r="F19" i="21"/>
  <c r="AA19" i="21" s="1"/>
  <c r="H19" i="21"/>
  <c r="AB19" i="21" s="1"/>
  <c r="J19" i="21"/>
  <c r="W19" i="21" s="1"/>
  <c r="J12" i="21"/>
  <c r="W12" i="21" s="1"/>
  <c r="J26" i="21"/>
  <c r="W26" i="21"/>
  <c r="F26" i="21"/>
  <c r="AA26" i="21"/>
  <c r="S41" i="21"/>
  <c r="W41" i="21"/>
  <c r="S10" i="39"/>
  <c r="U30" i="37"/>
  <c r="F39" i="37"/>
  <c r="F29" i="36"/>
  <c r="AA29" i="36"/>
  <c r="F16" i="36"/>
  <c r="AA16" i="36"/>
  <c r="U22" i="36"/>
  <c r="W23" i="36"/>
  <c r="U26" i="36"/>
  <c r="J33" i="36"/>
  <c r="W33" i="36" s="1"/>
  <c r="U31" i="35"/>
  <c r="F36" i="34"/>
  <c r="S36" i="34"/>
  <c r="W9" i="34"/>
  <c r="W39" i="34"/>
  <c r="H39" i="33"/>
  <c r="AB39" i="33" s="1"/>
  <c r="F26" i="33"/>
  <c r="AA26" i="33" s="1"/>
  <c r="U33" i="33"/>
  <c r="W38" i="33"/>
  <c r="S40" i="33"/>
  <c r="S8" i="21"/>
  <c r="AB27" i="35"/>
  <c r="S10" i="40"/>
  <c r="W10" i="40"/>
  <c r="S11" i="40"/>
  <c r="U11" i="40"/>
  <c r="S36" i="40"/>
  <c r="U36" i="40"/>
  <c r="C23" i="39"/>
  <c r="U36" i="39"/>
  <c r="S42" i="39"/>
  <c r="H32" i="33"/>
  <c r="AB32" i="33"/>
  <c r="AA12" i="33"/>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34" i="36"/>
  <c r="S34" i="36"/>
  <c r="H16" i="35"/>
  <c r="U16" i="35" s="1"/>
  <c r="H33" i="35"/>
  <c r="AB33" i="35" s="1"/>
  <c r="AC8" i="35"/>
  <c r="F35" i="37"/>
  <c r="E101" i="37"/>
  <c r="F101" i="37" s="1"/>
  <c r="G101" i="37" s="1"/>
  <c r="H101" i="37" s="1"/>
  <c r="I101" i="37" s="1"/>
  <c r="J101" i="37" s="1"/>
  <c r="K101" i="37" s="1"/>
  <c r="L101" i="37" s="1"/>
  <c r="M101" i="37" s="1"/>
  <c r="J34" i="37"/>
  <c r="W34" i="37"/>
  <c r="H43" i="34"/>
  <c r="U43" i="34" s="1"/>
  <c r="U42" i="34"/>
  <c r="E114" i="34"/>
  <c r="H36" i="34"/>
  <c r="U36" i="34" s="1"/>
  <c r="F37" i="34"/>
  <c r="AA37" i="34" s="1"/>
  <c r="F33" i="34"/>
  <c r="S33" i="34" s="1"/>
  <c r="F19" i="34"/>
  <c r="AA19" i="34" s="1"/>
  <c r="J10" i="34"/>
  <c r="AC10" i="34" s="1"/>
  <c r="U9" i="34"/>
  <c r="W8" i="34"/>
  <c r="S38" i="33"/>
  <c r="F36" i="33"/>
  <c r="S36" i="33" s="1"/>
  <c r="F19" i="33"/>
  <c r="S19" i="33" s="1"/>
  <c r="J19" i="33"/>
  <c r="AC19" i="33" s="1"/>
  <c r="S10" i="21"/>
  <c r="W40" i="33"/>
  <c r="AB30" i="36"/>
  <c r="AC34" i="36"/>
  <c r="S22" i="35"/>
  <c r="H29" i="35"/>
  <c r="AB29" i="35"/>
  <c r="S34" i="37"/>
  <c r="AC43" i="34"/>
  <c r="AB40" i="34"/>
  <c r="W36" i="34"/>
  <c r="J19" i="34"/>
  <c r="AC19" i="34" s="1"/>
  <c r="H37" i="33"/>
  <c r="AB37" i="33" s="1"/>
  <c r="W43" i="34"/>
  <c r="W42" i="34"/>
  <c r="AA42" i="34"/>
  <c r="S42" i="34"/>
  <c r="W38" i="34"/>
  <c r="S38" i="34"/>
  <c r="J37" i="33"/>
  <c r="W37" i="33" s="1"/>
  <c r="J44" i="34"/>
  <c r="AC44" i="34"/>
  <c r="F44" i="34"/>
  <c r="S44" i="34"/>
  <c r="J10" i="35"/>
  <c r="W10" i="35"/>
  <c r="AL5" i="3"/>
  <c r="J14" i="21"/>
  <c r="W14" i="21" s="1"/>
  <c r="F14" i="21"/>
  <c r="AA14" i="21" s="1"/>
  <c r="H14" i="21"/>
  <c r="H28" i="21"/>
  <c r="F28" i="21"/>
  <c r="AA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c r="H89" i="35" s="1"/>
  <c r="I89" i="35" s="1"/>
  <c r="J89" i="35" s="1"/>
  <c r="K89" i="35" s="1"/>
  <c r="L89" i="35" s="1"/>
  <c r="M89" i="35" s="1"/>
  <c r="H10" i="36"/>
  <c r="AB10" i="36"/>
  <c r="F28" i="36"/>
  <c r="S28" i="36"/>
  <c r="F27" i="36"/>
  <c r="S27" i="36"/>
  <c r="J31" i="21"/>
  <c r="AC31" i="21"/>
  <c r="F31" i="21"/>
  <c r="S31" i="21"/>
  <c r="J27" i="33"/>
  <c r="AC27" i="33"/>
  <c r="F13" i="33"/>
  <c r="S13" i="33"/>
  <c r="J31" i="33"/>
  <c r="AC31" i="33"/>
  <c r="H31" i="33"/>
  <c r="U31" i="33"/>
  <c r="S31" i="33"/>
  <c r="F45" i="33"/>
  <c r="S45" i="33" s="1"/>
  <c r="H28" i="36"/>
  <c r="H32" i="36"/>
  <c r="AB32" i="36" s="1"/>
  <c r="J32" i="36"/>
  <c r="AC32" i="36" s="1"/>
  <c r="J11" i="36"/>
  <c r="W11" i="36" s="1"/>
  <c r="H13" i="36"/>
  <c r="AB13" i="36" s="1"/>
  <c r="F13" i="36"/>
  <c r="S13" i="36" s="1"/>
  <c r="J29" i="37"/>
  <c r="W29" i="37" s="1"/>
  <c r="F29" i="37"/>
  <c r="AA29" i="37" s="1"/>
  <c r="F105" i="37"/>
  <c r="G105" i="37" s="1"/>
  <c r="AB36" i="37"/>
  <c r="J37" i="37"/>
  <c r="AC37" i="37" s="1"/>
  <c r="H37" i="37"/>
  <c r="U37" i="37" s="1"/>
  <c r="J40" i="37"/>
  <c r="W40" i="37" s="1"/>
  <c r="H14" i="33"/>
  <c r="U14" i="33" s="1"/>
  <c r="F14" i="33"/>
  <c r="AA14" i="33" s="1"/>
  <c r="J14" i="33"/>
  <c r="AC14" i="33" s="1"/>
  <c r="H30" i="33"/>
  <c r="AB30" i="33" s="1"/>
  <c r="F30" i="33"/>
  <c r="S30" i="33" s="1"/>
  <c r="J30"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5"/>
  <c r="AC25" i="35"/>
  <c r="H25" i="35"/>
  <c r="AB25" i="35"/>
  <c r="F35" i="35"/>
  <c r="S35" i="35"/>
  <c r="J25" i="36"/>
  <c r="W25" i="36"/>
  <c r="H25" i="36"/>
  <c r="AB25" i="36"/>
  <c r="F28" i="37"/>
  <c r="AA28" i="37"/>
  <c r="J28" i="37"/>
  <c r="AC28" i="37"/>
  <c r="H28" i="37"/>
  <c r="U28" i="37"/>
  <c r="H38" i="37"/>
  <c r="AB38" i="37"/>
  <c r="J38" i="37"/>
  <c r="AC38" i="37"/>
  <c r="F38" i="37"/>
  <c r="S38" i="37"/>
  <c r="F14" i="37"/>
  <c r="AA14" i="37"/>
  <c r="J14" i="37"/>
  <c r="W14" i="37"/>
  <c r="AA38" i="37"/>
  <c r="W46" i="33"/>
  <c r="U30" i="33"/>
  <c r="J36" i="37"/>
  <c r="AC36" i="37"/>
  <c r="U46" i="21"/>
  <c r="S28" i="21"/>
  <c r="AC14" i="21"/>
  <c r="W31" i="34"/>
  <c r="U36" i="37"/>
  <c r="AB31" i="33"/>
  <c r="G521" i="3"/>
  <c r="G499" i="3"/>
  <c r="G493" i="3"/>
  <c r="G485" i="3"/>
  <c r="G557" i="3"/>
  <c r="G518" i="3"/>
  <c r="G510" i="3"/>
  <c r="G18" i="3"/>
  <c r="G556" i="3"/>
  <c r="AC542" i="3"/>
  <c r="G542" i="3"/>
  <c r="G538" i="3"/>
  <c r="G522" i="3"/>
  <c r="AC506" i="3"/>
  <c r="G506" i="3" s="1"/>
  <c r="G502" i="3"/>
  <c r="AC494" i="3"/>
  <c r="G492" i="3"/>
  <c r="G4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F39" i="33"/>
  <c r="AA39" i="33"/>
  <c r="E123" i="33"/>
  <c r="F123" i="33"/>
  <c r="G123" i="33" s="1"/>
  <c r="H123" i="33"/>
  <c r="I123" i="33" s="1"/>
  <c r="J123" i="33" s="1"/>
  <c r="K123" i="33" s="1"/>
  <c r="L123" i="33" s="1"/>
  <c r="M123" i="33" s="1"/>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C23" i="37"/>
  <c r="S25" i="37"/>
  <c r="AC36" i="34"/>
  <c r="AB8" i="34"/>
  <c r="AA13" i="33"/>
  <c r="S39" i="33"/>
  <c r="F43" i="33"/>
  <c r="AA43" i="33" s="1"/>
  <c r="S10" i="35"/>
  <c r="G107" i="37"/>
  <c r="H107" i="37"/>
  <c r="I107" i="37" s="1"/>
  <c r="J107" i="37" s="1"/>
  <c r="K107" i="37" s="1"/>
  <c r="L107" i="37" s="1"/>
  <c r="M107" i="37" s="1"/>
  <c r="H19" i="34"/>
  <c r="AB19" i="34" s="1"/>
  <c r="J10" i="37"/>
  <c r="W10" i="37" s="1"/>
  <c r="F36" i="35"/>
  <c r="S36" i="35" s="1"/>
  <c r="J9" i="37"/>
  <c r="W9" i="37" s="1"/>
  <c r="H9" i="37"/>
  <c r="U9" i="37" s="1"/>
  <c r="F9" i="37"/>
  <c r="S9" i="37" s="1"/>
  <c r="F11" i="37"/>
  <c r="S11" i="37" s="1"/>
  <c r="J12" i="37"/>
  <c r="AC12" i="37" s="1"/>
  <c r="F12" i="37"/>
  <c r="AA12" i="37" s="1"/>
  <c r="H15" i="37"/>
  <c r="U15" i="37" s="1"/>
  <c r="E94" i="37"/>
  <c r="F94" i="37" s="1"/>
  <c r="G94" i="37" s="1"/>
  <c r="H94" i="37" s="1"/>
  <c r="I94" i="37" s="1"/>
  <c r="J94" i="37" s="1"/>
  <c r="K94" i="37" s="1"/>
  <c r="L94" i="37" s="1"/>
  <c r="M94" i="37" s="1"/>
  <c r="F31" i="37"/>
  <c r="S31" i="37"/>
  <c r="H31" i="37"/>
  <c r="AB31" i="37"/>
  <c r="J15" i="37"/>
  <c r="W15" i="37"/>
  <c r="J11" i="37"/>
  <c r="W11" i="37"/>
  <c r="E90" i="40"/>
  <c r="F21" i="40"/>
  <c r="S21" i="40" s="1"/>
  <c r="W36" i="40"/>
  <c r="F90" i="40"/>
  <c r="G90" i="40" s="1"/>
  <c r="J21" i="40"/>
  <c r="AC21" i="40"/>
  <c r="S27" i="31"/>
  <c r="G483" i="3"/>
  <c r="G515" i="3"/>
  <c r="G501" i="3"/>
  <c r="J57" i="39"/>
  <c r="H13" i="40"/>
  <c r="U13" i="40"/>
  <c r="H12" i="48"/>
  <c r="I4" i="4"/>
  <c r="K141" i="21"/>
  <c r="K143" i="21"/>
  <c r="K144" i="21"/>
  <c r="I59" i="40"/>
  <c r="C59" i="40" s="1"/>
  <c r="I60" i="40"/>
  <c r="C60" i="40" s="1"/>
  <c r="G297" i="3"/>
  <c r="G299" i="3"/>
  <c r="G304" i="3"/>
  <c r="G321" i="3"/>
  <c r="G323" i="3"/>
  <c r="G328" i="3"/>
  <c r="G337" i="3"/>
  <c r="G339" i="3"/>
  <c r="G344" i="3"/>
  <c r="G353" i="3"/>
  <c r="G355" i="3"/>
  <c r="G357" i="3"/>
  <c r="G359" i="3"/>
  <c r="G362" i="3"/>
  <c r="G371" i="3"/>
  <c r="G373" i="3"/>
  <c r="G378" i="3"/>
  <c r="G116" i="3"/>
  <c r="G120" i="3"/>
  <c r="G124" i="3"/>
  <c r="G128" i="3"/>
  <c r="G132" i="3"/>
  <c r="G136" i="3"/>
  <c r="G140" i="3"/>
  <c r="G144" i="3"/>
  <c r="G148" i="3"/>
  <c r="G155" i="3"/>
  <c r="G159" i="3"/>
  <c r="G163" i="3"/>
  <c r="G167" i="3"/>
  <c r="G171" i="3"/>
  <c r="G175" i="3"/>
  <c r="G180" i="3"/>
  <c r="G182" i="3"/>
  <c r="G186" i="3"/>
  <c r="G190" i="3"/>
  <c r="G194" i="3"/>
  <c r="G198" i="3"/>
  <c r="G491" i="3"/>
  <c r="G300" i="3"/>
  <c r="G303" i="3"/>
  <c r="G308" i="3"/>
  <c r="G319" i="3"/>
  <c r="G324" i="3"/>
  <c r="G327" i="3"/>
  <c r="G332" i="3"/>
  <c r="G335" i="3"/>
  <c r="G340" i="3"/>
  <c r="G343" i="3"/>
  <c r="G348" i="3"/>
  <c r="G351" i="3"/>
  <c r="G356" i="3"/>
  <c r="G360" i="3"/>
  <c r="G361" i="3"/>
  <c r="G366" i="3"/>
  <c r="G369" i="3"/>
  <c r="G374" i="3"/>
  <c r="G377" i="3"/>
  <c r="G382" i="3"/>
  <c r="G385" i="3"/>
  <c r="G523" i="3"/>
  <c r="G298" i="3"/>
  <c r="G302" i="3"/>
  <c r="G306" i="3"/>
  <c r="G310" i="3"/>
  <c r="G312" i="3"/>
  <c r="G314" i="3"/>
  <c r="G316" i="3"/>
  <c r="G318" i="3"/>
  <c r="G322" i="3"/>
  <c r="G326" i="3"/>
  <c r="G330" i="3"/>
  <c r="G334" i="3"/>
  <c r="G338" i="3"/>
  <c r="G342" i="3"/>
  <c r="G346" i="3"/>
  <c r="G350" i="3"/>
  <c r="G354" i="3"/>
  <c r="G358" i="3"/>
  <c r="G364" i="3"/>
  <c r="G368" i="3"/>
  <c r="G372" i="3"/>
  <c r="G376" i="3"/>
  <c r="G380" i="3"/>
  <c r="G384" i="3"/>
  <c r="H7" i="48"/>
  <c r="H113" i="46"/>
  <c r="H17" i="46"/>
  <c r="F33" i="46"/>
  <c r="F35" i="46"/>
  <c r="F37" i="46"/>
  <c r="H16" i="48"/>
  <c r="H9" i="48"/>
  <c r="H8" i="48"/>
  <c r="C12" i="46"/>
  <c r="AB15" i="37"/>
  <c r="AA13" i="40"/>
  <c r="P16" i="4"/>
  <c r="D3" i="35"/>
  <c r="G4" i="4"/>
  <c r="J16" i="35"/>
  <c r="W16" i="35"/>
  <c r="AC26" i="36"/>
  <c r="H11" i="37"/>
  <c r="AB11" i="37" s="1"/>
  <c r="W37" i="37"/>
  <c r="AA36" i="37"/>
  <c r="S42" i="33"/>
  <c r="U32" i="33"/>
  <c r="AB17" i="37"/>
  <c r="AC10" i="36"/>
  <c r="AB45" i="34"/>
  <c r="AC30" i="33"/>
  <c r="W30" i="33"/>
  <c r="W32" i="36"/>
  <c r="U28" i="33"/>
  <c r="J33" i="34"/>
  <c r="AC33" i="34" s="1"/>
  <c r="AB36" i="34"/>
  <c r="J40" i="34"/>
  <c r="W40" i="34"/>
  <c r="F16" i="35"/>
  <c r="AA16" i="35"/>
  <c r="W42" i="33"/>
  <c r="J35" i="34"/>
  <c r="W35" i="34"/>
  <c r="H16" i="36"/>
  <c r="AB16" i="36"/>
  <c r="H35" i="37"/>
  <c r="AB35" i="37"/>
  <c r="S26" i="21"/>
  <c r="H32" i="21"/>
  <c r="U32" i="21" s="1"/>
  <c r="AB26" i="21"/>
  <c r="U26" i="21"/>
  <c r="G13" i="3"/>
  <c r="H17" i="21"/>
  <c r="AB17" i="21" s="1"/>
  <c r="F40" i="21"/>
  <c r="S40" i="21" s="1"/>
  <c r="H40" i="21"/>
  <c r="AB40" i="21" s="1"/>
  <c r="E119" i="21"/>
  <c r="F119" i="21" s="1"/>
  <c r="G119" i="21" s="1"/>
  <c r="H119" i="21" s="1"/>
  <c r="I119" i="21" s="1"/>
  <c r="J119" i="21" s="1"/>
  <c r="K119" i="21" s="1"/>
  <c r="L119" i="21" s="1"/>
  <c r="M119" i="21" s="1"/>
  <c r="S8" i="33"/>
  <c r="H66" i="33"/>
  <c r="I66" i="33" s="1"/>
  <c r="F10" i="33"/>
  <c r="AA10" i="33" s="1"/>
  <c r="F11" i="33"/>
  <c r="S11" i="33" s="1"/>
  <c r="J15" i="33"/>
  <c r="W15" i="33" s="1"/>
  <c r="H19" i="33"/>
  <c r="AB19" i="33" s="1"/>
  <c r="F32" i="33"/>
  <c r="AA32" i="33" s="1"/>
  <c r="J32" i="33"/>
  <c r="AC32" i="33" s="1"/>
  <c r="F35" i="33"/>
  <c r="AA35" i="33" s="1"/>
  <c r="AB39" i="34"/>
  <c r="F11" i="34"/>
  <c r="S11" i="34"/>
  <c r="H17" i="34"/>
  <c r="AB17" i="34" s="1"/>
  <c r="AB28" i="35"/>
  <c r="J13" i="33"/>
  <c r="W13" i="33"/>
  <c r="H29" i="33"/>
  <c r="AB29" i="33"/>
  <c r="J12" i="34"/>
  <c r="AC12" i="34"/>
  <c r="F12" i="34"/>
  <c r="S12" i="34"/>
  <c r="F14" i="34"/>
  <c r="S14" i="34"/>
  <c r="H30" i="34"/>
  <c r="AB30" i="34"/>
  <c r="J30" i="34"/>
  <c r="W30" i="34"/>
  <c r="F32" i="34"/>
  <c r="AA32" i="34"/>
  <c r="H46" i="34"/>
  <c r="AB46" i="34"/>
  <c r="J46" i="34"/>
  <c r="AC46" i="34"/>
  <c r="J11" i="35"/>
  <c r="AC11" i="35"/>
  <c r="H32" i="37"/>
  <c r="AB32" i="37"/>
  <c r="F19" i="39"/>
  <c r="S19" i="39" s="1"/>
  <c r="H19" i="39"/>
  <c r="U19" i="39" s="1"/>
  <c r="J19" i="39"/>
  <c r="W19" i="39" s="1"/>
  <c r="F43" i="39"/>
  <c r="S43" i="39" s="1"/>
  <c r="H43" i="39"/>
  <c r="U43" i="39" s="1"/>
  <c r="J43" i="39"/>
  <c r="W43" i="39" s="1"/>
  <c r="S45" i="34"/>
  <c r="U31" i="34"/>
  <c r="AC40" i="37"/>
  <c r="W27" i="33"/>
  <c r="S28" i="33"/>
  <c r="AA44" i="34"/>
  <c r="U29" i="35"/>
  <c r="W19" i="33"/>
  <c r="AB43" i="34"/>
  <c r="S35" i="37"/>
  <c r="AA35" i="37"/>
  <c r="AB10" i="35"/>
  <c r="AB34" i="21"/>
  <c r="BE5" i="3"/>
  <c r="AB40" i="33"/>
  <c r="AA35" i="34"/>
  <c r="E90" i="34"/>
  <c r="F90" i="34" s="1"/>
  <c r="G90" i="34" s="1"/>
  <c r="H90" i="34" s="1"/>
  <c r="I90" i="34" s="1"/>
  <c r="J90" i="34" s="1"/>
  <c r="K90" i="34" s="1"/>
  <c r="L90" i="34" s="1"/>
  <c r="M90"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E78" i="36"/>
  <c r="F78" i="36"/>
  <c r="G78" i="36" s="1"/>
  <c r="H78" i="36" s="1"/>
  <c r="I78" i="36" s="1"/>
  <c r="J78" i="36" s="1"/>
  <c r="K78" i="36" s="1"/>
  <c r="L78" i="36" s="1"/>
  <c r="M78" i="36" s="1"/>
  <c r="F26" i="36"/>
  <c r="S26" i="36" s="1"/>
  <c r="AB34" i="36"/>
  <c r="F33" i="36"/>
  <c r="AA33" i="36"/>
  <c r="H27" i="36"/>
  <c r="AB27" i="36"/>
  <c r="AA31" i="36"/>
  <c r="AB29" i="37"/>
  <c r="S30" i="37"/>
  <c r="AC31" i="37"/>
  <c r="W31" i="37"/>
  <c r="AB14" i="37"/>
  <c r="F17" i="39"/>
  <c r="AA17" i="39" s="1"/>
  <c r="H17" i="39"/>
  <c r="U17" i="39" s="1"/>
  <c r="J17" i="39"/>
  <c r="W17" i="39" s="1"/>
  <c r="F21" i="39"/>
  <c r="S21" i="39" s="1"/>
  <c r="H21" i="39"/>
  <c r="AB21" i="39" s="1"/>
  <c r="J21" i="39"/>
  <c r="W21" i="39"/>
  <c r="F33" i="39"/>
  <c r="AA33" i="39"/>
  <c r="H33" i="39"/>
  <c r="U33" i="39"/>
  <c r="J33" i="39"/>
  <c r="AC33" i="39"/>
  <c r="F44" i="39"/>
  <c r="S44" i="39"/>
  <c r="H44" i="39"/>
  <c r="U44" i="39"/>
  <c r="J44" i="39"/>
  <c r="W44" i="39"/>
  <c r="F46" i="39"/>
  <c r="S46" i="39"/>
  <c r="H46" i="39"/>
  <c r="U46" i="39"/>
  <c r="J46" i="39"/>
  <c r="W46" i="39"/>
  <c r="E103" i="39"/>
  <c r="F29" i="39"/>
  <c r="AA29" i="39" s="1"/>
  <c r="F103" i="39"/>
  <c r="G103" i="39"/>
  <c r="H29" i="39"/>
  <c r="U29" i="39" s="1"/>
  <c r="F34" i="39"/>
  <c r="AA34" i="39" s="1"/>
  <c r="H34" i="39"/>
  <c r="AB34" i="39" s="1"/>
  <c r="J34" i="39"/>
  <c r="AC34" i="39"/>
  <c r="F39" i="39"/>
  <c r="S39" i="39"/>
  <c r="H39" i="39"/>
  <c r="AB39" i="39"/>
  <c r="J39" i="39"/>
  <c r="W39" i="39"/>
  <c r="J29" i="35"/>
  <c r="AC29" i="35"/>
  <c r="F29" i="35"/>
  <c r="S29" i="35"/>
  <c r="AC30" i="36"/>
  <c r="F37" i="39"/>
  <c r="S37" i="39" s="1"/>
  <c r="H37" i="39"/>
  <c r="U37" i="39" s="1"/>
  <c r="J37" i="39"/>
  <c r="W37" i="39" s="1"/>
  <c r="G494" i="3"/>
  <c r="F36" i="44"/>
  <c r="F114" i="34"/>
  <c r="G114" i="34" s="1"/>
  <c r="H114" i="34" s="1"/>
  <c r="I114" i="34" s="1"/>
  <c r="J114" i="34" s="1"/>
  <c r="K114" i="34" s="1"/>
  <c r="L114" i="34" s="1"/>
  <c r="M114" i="34" s="1"/>
  <c r="H38" i="34"/>
  <c r="U38" i="34" s="1"/>
  <c r="H30" i="40"/>
  <c r="AB30" i="40" s="1"/>
  <c r="G100" i="40"/>
  <c r="J30" i="40"/>
  <c r="AC30" i="40"/>
  <c r="F38" i="40"/>
  <c r="AA38" i="40"/>
  <c r="AA36" i="34"/>
  <c r="AC12" i="21"/>
  <c r="U8" i="21"/>
  <c r="AB8" i="33"/>
  <c r="U8" i="33"/>
  <c r="E106" i="33"/>
  <c r="H34" i="33"/>
  <c r="U34" i="33"/>
  <c r="F34" i="33"/>
  <c r="S34" i="33"/>
  <c r="E121" i="33"/>
  <c r="F41" i="33"/>
  <c r="S41" i="33" s="1"/>
  <c r="AC34" i="34"/>
  <c r="W34" i="34"/>
  <c r="AA39" i="34"/>
  <c r="S39" i="34"/>
  <c r="E78" i="34"/>
  <c r="F78" i="34" s="1"/>
  <c r="G78" i="34" s="1"/>
  <c r="F15" i="34"/>
  <c r="AC28" i="35"/>
  <c r="W28" i="35"/>
  <c r="J20" i="35"/>
  <c r="AC20" i="35" s="1"/>
  <c r="E72" i="35"/>
  <c r="F72" i="35" s="1"/>
  <c r="G72" i="35" s="1"/>
  <c r="H22" i="35"/>
  <c r="AB22" i="35"/>
  <c r="H23" i="35"/>
  <c r="F23" i="35"/>
  <c r="AA23" i="35" s="1"/>
  <c r="AC12" i="36"/>
  <c r="U31" i="36"/>
  <c r="S8" i="37"/>
  <c r="H14" i="39"/>
  <c r="AB14" i="39" s="1"/>
  <c r="F16" i="39"/>
  <c r="AA16" i="39" s="1"/>
  <c r="H16" i="39"/>
  <c r="U16" i="39" s="1"/>
  <c r="J16" i="39"/>
  <c r="AC16" i="39" s="1"/>
  <c r="E97" i="39"/>
  <c r="F23" i="39" s="1"/>
  <c r="AA23" i="39" s="1"/>
  <c r="J15" i="40"/>
  <c r="AC15" i="40" s="1"/>
  <c r="E92" i="40"/>
  <c r="F92" i="40" s="1"/>
  <c r="G92" i="40" s="1"/>
  <c r="H23" i="40"/>
  <c r="U23" i="40"/>
  <c r="H41" i="40"/>
  <c r="AB41" i="40"/>
  <c r="F41" i="40"/>
  <c r="AA41" i="40"/>
  <c r="J41" i="40"/>
  <c r="H36" i="33"/>
  <c r="AB36" i="33" s="1"/>
  <c r="H37" i="34"/>
  <c r="AB37" i="34" s="1"/>
  <c r="F15" i="39"/>
  <c r="AA15" i="39"/>
  <c r="J15" i="39"/>
  <c r="AC15" i="39"/>
  <c r="H25" i="39"/>
  <c r="U25" i="39"/>
  <c r="J25" i="39"/>
  <c r="AC25" i="39"/>
  <c r="F25" i="39"/>
  <c r="AA25" i="39"/>
  <c r="F45" i="39"/>
  <c r="AA45" i="39"/>
  <c r="J45" i="39"/>
  <c r="AC45" i="39"/>
  <c r="H47" i="39"/>
  <c r="AB47" i="39"/>
  <c r="F41" i="39"/>
  <c r="AA41" i="39"/>
  <c r="H41" i="39"/>
  <c r="AB41" i="39"/>
  <c r="J41" i="39"/>
  <c r="AC41" i="39"/>
  <c r="E94" i="40"/>
  <c r="J25" i="40"/>
  <c r="AC25" i="40" s="1"/>
  <c r="J32" i="40"/>
  <c r="AC32" i="40" s="1"/>
  <c r="H32" i="40"/>
  <c r="U32" i="40" s="1"/>
  <c r="H33" i="40"/>
  <c r="AB33" i="40" s="1"/>
  <c r="F33" i="40"/>
  <c r="AA33" i="40" s="1"/>
  <c r="J33" i="40"/>
  <c r="AC33" i="40" s="1"/>
  <c r="H35" i="40"/>
  <c r="AB35" i="40" s="1"/>
  <c r="J35" i="40"/>
  <c r="AC35" i="40" s="1"/>
  <c r="H38" i="39"/>
  <c r="U38" i="39" s="1"/>
  <c r="J14" i="40"/>
  <c r="W14" i="40" s="1"/>
  <c r="H42" i="40"/>
  <c r="AB42" i="40" s="1"/>
  <c r="H40" i="40"/>
  <c r="U40" i="40"/>
  <c r="H34" i="40"/>
  <c r="U34" i="40"/>
  <c r="J42" i="40"/>
  <c r="AC42" i="40"/>
  <c r="J34" i="40"/>
  <c r="AC34" i="40"/>
  <c r="H14" i="40"/>
  <c r="U14" i="40"/>
  <c r="F32" i="40"/>
  <c r="AA32" i="40"/>
  <c r="M1" i="46"/>
  <c r="M6" i="46"/>
  <c r="M10" i="46"/>
  <c r="N2" i="46"/>
  <c r="N5" i="46"/>
  <c r="F58" i="46"/>
  <c r="H58" i="46" s="1"/>
  <c r="F47" i="46"/>
  <c r="H49" i="46"/>
  <c r="N7" i="46"/>
  <c r="M7" i="46"/>
  <c r="M11" i="46"/>
  <c r="N3" i="46"/>
  <c r="N6" i="46"/>
  <c r="N10" i="46"/>
  <c r="H47" i="46"/>
  <c r="J13" i="40"/>
  <c r="W13" i="40" s="1"/>
  <c r="AC14" i="40"/>
  <c r="U37" i="34"/>
  <c r="AC41" i="40"/>
  <c r="W41" i="40"/>
  <c r="U41" i="40"/>
  <c r="J23" i="40"/>
  <c r="AC23" i="40"/>
  <c r="F23" i="40"/>
  <c r="S23" i="40"/>
  <c r="U23" i="35"/>
  <c r="AB23" i="35"/>
  <c r="H20" i="35"/>
  <c r="U20" i="35" s="1"/>
  <c r="F20" i="35"/>
  <c r="S20" i="35"/>
  <c r="H15" i="34"/>
  <c r="AB15" i="34"/>
  <c r="J15" i="34"/>
  <c r="AC15" i="34"/>
  <c r="H41" i="33"/>
  <c r="U41" i="33"/>
  <c r="F121" i="33"/>
  <c r="G121" i="33"/>
  <c r="H121" i="33" s="1"/>
  <c r="I121" i="33" s="1"/>
  <c r="J121" i="33" s="1"/>
  <c r="K121" i="33" s="1"/>
  <c r="L121" i="33" s="1"/>
  <c r="M121" i="33" s="1"/>
  <c r="F30" i="40"/>
  <c r="AA30" i="40"/>
  <c r="U39" i="39"/>
  <c r="J29" i="39"/>
  <c r="AC29" i="39"/>
  <c r="U21" i="39"/>
  <c r="S14" i="35"/>
  <c r="U46" i="34"/>
  <c r="AA14" i="34"/>
  <c r="U29" i="33"/>
  <c r="U17" i="34"/>
  <c r="AA11" i="34"/>
  <c r="W32" i="33"/>
  <c r="H15" i="33"/>
  <c r="U15" i="33"/>
  <c r="W34" i="40"/>
  <c r="AB34" i="40"/>
  <c r="U42" i="40"/>
  <c r="H25" i="40"/>
  <c r="AB25" i="40" s="1"/>
  <c r="F94" i="40"/>
  <c r="G94" i="40" s="1"/>
  <c r="U47" i="39"/>
  <c r="J37" i="34"/>
  <c r="AC37" i="34"/>
  <c r="J36" i="33"/>
  <c r="W36" i="33"/>
  <c r="S41" i="40"/>
  <c r="H23" i="39"/>
  <c r="AB23" i="39" s="1"/>
  <c r="F97" i="39"/>
  <c r="G97" i="39" s="1"/>
  <c r="S16" i="39"/>
  <c r="S15" i="34"/>
  <c r="AA15" i="34"/>
  <c r="F106" i="33"/>
  <c r="G106" i="33" s="1"/>
  <c r="H106" i="33" s="1"/>
  <c r="I106" i="33" s="1"/>
  <c r="J106" i="33" s="1"/>
  <c r="K106" i="33" s="1"/>
  <c r="L106" i="33" s="1"/>
  <c r="M106" i="33" s="1"/>
  <c r="J34" i="33"/>
  <c r="AC34" i="33" s="1"/>
  <c r="U30" i="40"/>
  <c r="W29" i="35"/>
  <c r="AC39" i="39"/>
  <c r="AA39" i="39"/>
  <c r="AB46" i="39"/>
  <c r="F80" i="35"/>
  <c r="G80" i="35" s="1"/>
  <c r="H80" i="35" s="1"/>
  <c r="I80" i="35" s="1"/>
  <c r="J80" i="35" s="1"/>
  <c r="K80" i="35" s="1"/>
  <c r="L80" i="35" s="1"/>
  <c r="M80" i="35" s="1"/>
  <c r="W14" i="35"/>
  <c r="F32" i="37"/>
  <c r="S32" i="37" s="1"/>
  <c r="F17" i="34"/>
  <c r="AA17" i="34" s="1"/>
  <c r="J17" i="34"/>
  <c r="AC17" i="34" s="1"/>
  <c r="H11" i="34"/>
  <c r="AB11" i="34" s="1"/>
  <c r="J35" i="33"/>
  <c r="W35" i="33" s="1"/>
  <c r="S32" i="33"/>
  <c r="H11" i="33"/>
  <c r="U11" i="33" s="1"/>
  <c r="H10" i="33"/>
  <c r="U10" i="33" s="1"/>
  <c r="J10" i="33"/>
  <c r="AC10" i="33" s="1"/>
  <c r="U11" i="37"/>
  <c r="AC16" i="35"/>
  <c r="J11" i="34"/>
  <c r="W11" i="34" s="1"/>
  <c r="S17" i="34"/>
  <c r="AC36" i="33"/>
  <c r="F25" i="40"/>
  <c r="AA25" i="40" s="1"/>
  <c r="J11" i="33"/>
  <c r="W11" i="33" s="1"/>
  <c r="H33" i="37"/>
  <c r="AB33" i="37" s="1"/>
  <c r="W15" i="34"/>
  <c r="AB20" i="35"/>
  <c r="W23" i="40"/>
  <c r="B11" i="1"/>
  <c r="E11" i="1" s="1"/>
  <c r="K11" i="1"/>
  <c r="M11" i="1" s="1"/>
  <c r="B9" i="1"/>
  <c r="E9" i="1"/>
  <c r="B7" i="1"/>
  <c r="E7" i="1" s="1"/>
  <c r="AA36" i="21"/>
  <c r="S33" i="39"/>
  <c r="S19" i="21"/>
  <c r="AB36" i="21"/>
  <c r="AC40" i="21"/>
  <c r="U40" i="21"/>
  <c r="W8" i="21"/>
  <c r="AA38" i="21"/>
  <c r="U38" i="21"/>
  <c r="U39" i="21"/>
  <c r="W33" i="39"/>
  <c r="S36" i="39"/>
  <c r="AB25" i="39"/>
  <c r="AB44" i="39"/>
  <c r="AC43" i="39"/>
  <c r="C110" i="9"/>
  <c r="B41" i="1"/>
  <c r="BT5" i="3"/>
  <c r="U27" i="33"/>
  <c r="AB27" i="33"/>
  <c r="AC27" i="34"/>
  <c r="W27" i="34"/>
  <c r="U13" i="33"/>
  <c r="AB13" i="33"/>
  <c r="W29" i="33"/>
  <c r="AC29" i="33"/>
  <c r="AB36" i="35"/>
  <c r="U36" i="35"/>
  <c r="W13" i="36"/>
  <c r="AC13" i="36"/>
  <c r="U33" i="36"/>
  <c r="AB33" i="36"/>
  <c r="U12" i="37"/>
  <c r="W26" i="37"/>
  <c r="AC26" i="37"/>
  <c r="U40" i="37"/>
  <c r="AB40" i="37"/>
  <c r="AA47" i="39"/>
  <c r="S47" i="39"/>
  <c r="J17" i="40"/>
  <c r="F86" i="40"/>
  <c r="G86" i="40" s="1"/>
  <c r="U31" i="21"/>
  <c r="AB31" i="21"/>
  <c r="AC9" i="33"/>
  <c r="S28" i="34"/>
  <c r="AA28" i="34"/>
  <c r="U45" i="33"/>
  <c r="AB45" i="33"/>
  <c r="AB12" i="34"/>
  <c r="U12" i="34"/>
  <c r="W14" i="34"/>
  <c r="AC14" i="34"/>
  <c r="AB32" i="34"/>
  <c r="U32" i="34"/>
  <c r="AA46" i="34"/>
  <c r="S46" i="34"/>
  <c r="AA25" i="35"/>
  <c r="S25" i="35"/>
  <c r="AC35" i="35"/>
  <c r="W35" i="35"/>
  <c r="U27" i="37"/>
  <c r="AB27" i="37"/>
  <c r="AC13" i="40"/>
  <c r="F27" i="34"/>
  <c r="S27" i="34"/>
  <c r="AB29" i="39"/>
  <c r="AA34" i="33"/>
  <c r="AB23" i="40"/>
  <c r="W15" i="39"/>
  <c r="AA40" i="21"/>
  <c r="AC13" i="33"/>
  <c r="W12" i="34"/>
  <c r="AC30" i="34"/>
  <c r="AA29" i="35"/>
  <c r="H100" i="40"/>
  <c r="I100" i="40" s="1"/>
  <c r="J100" i="40" s="1"/>
  <c r="K100" i="40" s="1"/>
  <c r="L100" i="40" s="1"/>
  <c r="M100" i="40" s="1"/>
  <c r="AB16" i="39"/>
  <c r="W35" i="40"/>
  <c r="AB14" i="40"/>
  <c r="H16" i="40"/>
  <c r="U16" i="40" s="1"/>
  <c r="J40" i="40"/>
  <c r="J16" i="40"/>
  <c r="AC16" i="40" s="1"/>
  <c r="J38" i="39"/>
  <c r="W38" i="39"/>
  <c r="J47" i="39"/>
  <c r="H15" i="40"/>
  <c r="AB15" i="40" s="1"/>
  <c r="S43" i="34"/>
  <c r="AC36" i="21"/>
  <c r="AB10" i="21"/>
  <c r="AC30" i="37"/>
  <c r="AC25" i="37"/>
  <c r="H27" i="34"/>
  <c r="AB27" i="34"/>
  <c r="AC34" i="37"/>
  <c r="U25" i="35"/>
  <c r="H11" i="35"/>
  <c r="J32" i="34"/>
  <c r="W32" i="34" s="1"/>
  <c r="H14" i="34"/>
  <c r="U14" i="34" s="1"/>
  <c r="F29" i="33"/>
  <c r="AA29" i="33"/>
  <c r="S12" i="35"/>
  <c r="AC8" i="33"/>
  <c r="S30" i="36"/>
  <c r="AC29" i="37"/>
  <c r="AC14" i="37"/>
  <c r="AA45" i="33"/>
  <c r="W25" i="35"/>
  <c r="S37" i="34"/>
  <c r="U31" i="37"/>
  <c r="AB10" i="37"/>
  <c r="AA23" i="37"/>
  <c r="AC8" i="37"/>
  <c r="W23" i="35"/>
  <c r="AC33" i="36"/>
  <c r="AB43" i="33"/>
  <c r="AB44" i="21"/>
  <c r="AC28" i="33"/>
  <c r="S46" i="33"/>
  <c r="AB30" i="21"/>
  <c r="S46" i="21"/>
  <c r="J27" i="37"/>
  <c r="AC27" i="37" s="1"/>
  <c r="F27" i="37"/>
  <c r="H35" i="35"/>
  <c r="AB35" i="35" s="1"/>
  <c r="F40" i="37"/>
  <c r="AA40" i="37"/>
  <c r="J45" i="33"/>
  <c r="F27" i="33"/>
  <c r="AA27" i="33" s="1"/>
  <c r="F29" i="21"/>
  <c r="S29" i="21"/>
  <c r="F13" i="21"/>
  <c r="AA13" i="21"/>
  <c r="S37" i="33"/>
  <c r="U34" i="37"/>
  <c r="J28" i="34"/>
  <c r="S10" i="36"/>
  <c r="C29" i="39"/>
  <c r="U38" i="33"/>
  <c r="U9" i="33"/>
  <c r="W31" i="35"/>
  <c r="W24" i="35"/>
  <c r="AC27" i="35"/>
  <c r="AC31" i="36"/>
  <c r="W22" i="36"/>
  <c r="BI5" i="3"/>
  <c r="F9" i="33"/>
  <c r="AA9" i="33" s="1"/>
  <c r="J12" i="35"/>
  <c r="AC12" i="35" s="1"/>
  <c r="J36" i="35"/>
  <c r="F26" i="37"/>
  <c r="AA26" i="37" s="1"/>
  <c r="G495" i="3"/>
  <c r="G486" i="3"/>
  <c r="C92" i="9"/>
  <c r="A30" i="64"/>
  <c r="A30" i="51"/>
  <c r="B22" i="63" s="1"/>
  <c r="I21" i="57"/>
  <c r="D1" i="57"/>
  <c r="E10" i="57" s="1"/>
  <c r="F32" i="15"/>
  <c r="F59" i="15" s="1"/>
  <c r="F29" i="12"/>
  <c r="F70" i="9"/>
  <c r="D86" i="9"/>
  <c r="M20" i="44"/>
  <c r="F31" i="43"/>
  <c r="F30" i="44"/>
  <c r="AC25" i="36"/>
  <c r="S23" i="36"/>
  <c r="S8" i="36"/>
  <c r="AA28" i="36"/>
  <c r="U25" i="36"/>
  <c r="H20" i="36"/>
  <c r="U20" i="36" s="1"/>
  <c r="F68" i="36"/>
  <c r="G68" i="36" s="1"/>
  <c r="J20" i="36"/>
  <c r="AC20" i="36" s="1"/>
  <c r="F20" i="36"/>
  <c r="S20" i="36" s="1"/>
  <c r="F62" i="36"/>
  <c r="G62" i="36" s="1"/>
  <c r="J14" i="36"/>
  <c r="W14" i="36" s="1"/>
  <c r="H14" i="36"/>
  <c r="F14" i="36"/>
  <c r="AA14" i="36" s="1"/>
  <c r="W20" i="36"/>
  <c r="U27" i="36"/>
  <c r="U32" i="36"/>
  <c r="AB12" i="36"/>
  <c r="U9" i="36"/>
  <c r="S33" i="36"/>
  <c r="AA27" i="36"/>
  <c r="S16" i="36"/>
  <c r="S29" i="36"/>
  <c r="AC33" i="35"/>
  <c r="U22" i="35"/>
  <c r="AC9" i="35"/>
  <c r="S8" i="35"/>
  <c r="U33" i="35"/>
  <c r="AA20" i="35"/>
  <c r="W20" i="35"/>
  <c r="S16" i="35"/>
  <c r="AC10" i="35"/>
  <c r="U9" i="35"/>
  <c r="AC18" i="35"/>
  <c r="W18" i="35"/>
  <c r="U18" i="35"/>
  <c r="AB18" i="35"/>
  <c r="AA35" i="35"/>
  <c r="AB30" i="35"/>
  <c r="S27" i="35"/>
  <c r="S28" i="35"/>
  <c r="J26" i="35"/>
  <c r="AC26" i="35" s="1"/>
  <c r="F26" i="35"/>
  <c r="H26" i="35"/>
  <c r="AB26" i="35" s="1"/>
  <c r="W12" i="37"/>
  <c r="S17" i="37"/>
  <c r="W28" i="37"/>
  <c r="AB37" i="37"/>
  <c r="AA31" i="37"/>
  <c r="S33" i="37"/>
  <c r="AA33" i="37"/>
  <c r="U32" i="37"/>
  <c r="J33" i="37"/>
  <c r="W33" i="37" s="1"/>
  <c r="H99" i="37"/>
  <c r="I99" i="37" s="1"/>
  <c r="J99" i="37" s="1"/>
  <c r="K99" i="37" s="1"/>
  <c r="L99" i="37" s="1"/>
  <c r="M99" i="37" s="1"/>
  <c r="S29" i="37"/>
  <c r="J19" i="37"/>
  <c r="AC19" i="37"/>
  <c r="F19" i="37"/>
  <c r="AA19" i="37" s="1"/>
  <c r="H19" i="37"/>
  <c r="U19" i="37" s="1"/>
  <c r="J17" i="37"/>
  <c r="S15" i="37"/>
  <c r="AC21" i="37"/>
  <c r="W21" i="37"/>
  <c r="AC11" i="37"/>
  <c r="W32" i="37"/>
  <c r="U35" i="37"/>
  <c r="U8" i="37"/>
  <c r="AB25" i="37"/>
  <c r="AB21" i="37"/>
  <c r="U21" i="37"/>
  <c r="S37" i="37"/>
  <c r="S40" i="37"/>
  <c r="AA11" i="37"/>
  <c r="S10" i="37"/>
  <c r="W46" i="34"/>
  <c r="AC45" i="34"/>
  <c r="AA40" i="34"/>
  <c r="U30" i="34"/>
  <c r="S32" i="34"/>
  <c r="AB33" i="34"/>
  <c r="AA12" i="34"/>
  <c r="AC35" i="34"/>
  <c r="AA30" i="34"/>
  <c r="AC32" i="34"/>
  <c r="U44" i="34"/>
  <c r="U34" i="34"/>
  <c r="U28" i="34"/>
  <c r="AA27" i="34"/>
  <c r="J25" i="34"/>
  <c r="AC25" i="34" s="1"/>
  <c r="H25" i="34"/>
  <c r="F25" i="34"/>
  <c r="S25" i="34" s="1"/>
  <c r="J23" i="34"/>
  <c r="F86" i="34"/>
  <c r="G86" i="34" s="1"/>
  <c r="F23" i="34"/>
  <c r="S23" i="34" s="1"/>
  <c r="H23" i="34"/>
  <c r="W17" i="34"/>
  <c r="U11" i="34"/>
  <c r="U10" i="34"/>
  <c r="W37" i="34"/>
  <c r="AC40" i="34"/>
  <c r="W44" i="34"/>
  <c r="W19" i="34"/>
  <c r="W29" i="34"/>
  <c r="AC21" i="34"/>
  <c r="W21" i="34"/>
  <c r="U15" i="34"/>
  <c r="AB21" i="34"/>
  <c r="U21" i="34"/>
  <c r="U27" i="34"/>
  <c r="U19" i="34"/>
  <c r="S13" i="34"/>
  <c r="AA41" i="34"/>
  <c r="S9" i="34"/>
  <c r="S10" i="34"/>
  <c r="U39" i="33"/>
  <c r="U37" i="33"/>
  <c r="S35" i="33"/>
  <c r="AC12" i="33"/>
  <c r="AB41" i="33"/>
  <c r="AC35" i="33"/>
  <c r="S29" i="33"/>
  <c r="W31" i="33"/>
  <c r="W43" i="33"/>
  <c r="U46" i="33"/>
  <c r="W39" i="33"/>
  <c r="U35" i="33"/>
  <c r="AB34" i="33"/>
  <c r="W26" i="33"/>
  <c r="H25" i="33"/>
  <c r="AB25" i="33" s="1"/>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S10" i="33"/>
  <c r="S14" i="33"/>
  <c r="W10" i="33"/>
  <c r="AC21" i="33"/>
  <c r="W21" i="33"/>
  <c r="AB10" i="33"/>
  <c r="AB21" i="33"/>
  <c r="U21" i="33"/>
  <c r="AA21" i="33"/>
  <c r="S21" i="33"/>
  <c r="S44" i="21"/>
  <c r="W39" i="21"/>
  <c r="AC34" i="21"/>
  <c r="W43" i="21"/>
  <c r="W28" i="21"/>
  <c r="AC26" i="21"/>
  <c r="H23" i="21"/>
  <c r="AB23" i="21" s="1"/>
  <c r="AC21" i="21"/>
  <c r="W21" i="21"/>
  <c r="AC19" i="21"/>
  <c r="W10" i="21"/>
  <c r="AC38" i="21"/>
  <c r="AB21" i="21"/>
  <c r="U21" i="21"/>
  <c r="AA30" i="21"/>
  <c r="AA31" i="21"/>
  <c r="W33" i="40"/>
  <c r="S35" i="40"/>
  <c r="S14" i="40"/>
  <c r="S15" i="40"/>
  <c r="AB13" i="40"/>
  <c r="S16" i="40"/>
  <c r="W11" i="40"/>
  <c r="U21" i="40"/>
  <c r="U25" i="40"/>
  <c r="W42" i="40"/>
  <c r="U35" i="40"/>
  <c r="F37" i="40"/>
  <c r="J37" i="40"/>
  <c r="AC37" i="40" s="1"/>
  <c r="H37" i="40"/>
  <c r="U37" i="40" s="1"/>
  <c r="G113" i="40"/>
  <c r="H113" i="40"/>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AB45" i="39"/>
  <c r="AA21" i="39"/>
  <c r="AC38" i="39"/>
  <c r="W29" i="39"/>
  <c r="AC21" i="39"/>
  <c r="AB15" i="39"/>
  <c r="U11" i="39"/>
  <c r="U41" i="39"/>
  <c r="U23" i="39"/>
  <c r="U31" i="39"/>
  <c r="AB31" i="39"/>
  <c r="S25" i="39"/>
  <c r="S38" i="39"/>
  <c r="S22" i="31"/>
  <c r="B20" i="31" s="1"/>
  <c r="D96" i="9"/>
  <c r="F28" i="15"/>
  <c r="M18" i="15"/>
  <c r="A18" i="64"/>
  <c r="B74" i="63" s="1"/>
  <c r="F3" i="35"/>
  <c r="K1" i="43"/>
  <c r="K1" i="12"/>
  <c r="G1" i="44"/>
  <c r="BK5" i="3"/>
  <c r="BO5" i="3"/>
  <c r="BP5" i="3"/>
  <c r="G29" i="6" s="1"/>
  <c r="BN5" i="3"/>
  <c r="BD5" i="3"/>
  <c r="BR5" i="3"/>
  <c r="BS5" i="3"/>
  <c r="F28" i="6" s="1"/>
  <c r="F30" i="6" s="1"/>
  <c r="BQ5" i="3"/>
  <c r="BM5" i="3"/>
  <c r="H48" i="46"/>
  <c r="H52" i="46"/>
  <c r="H53" i="46"/>
  <c r="G22" i="43"/>
  <c r="D26" i="44"/>
  <c r="G27" i="12"/>
  <c r="H54" i="46"/>
  <c r="H50" i="46"/>
  <c r="H55" i="46"/>
  <c r="H51" i="46"/>
  <c r="E11" i="46"/>
  <c r="E10" i="46"/>
  <c r="C7" i="46" s="1"/>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I17" i="46"/>
  <c r="E17" i="46"/>
  <c r="D71" i="46"/>
  <c r="D84" i="46"/>
  <c r="E80" i="46"/>
  <c r="B78" i="46" s="1"/>
  <c r="D69" i="46"/>
  <c r="E69" i="46" s="1"/>
  <c r="B67" i="46" s="1"/>
  <c r="E47" i="46"/>
  <c r="E58" i="46"/>
  <c r="B56" i="46" s="1"/>
  <c r="C24" i="46"/>
  <c r="A4" i="64"/>
  <c r="C51" i="10"/>
  <c r="H61" i="46"/>
  <c r="H75" i="46"/>
  <c r="I100" i="46"/>
  <c r="N100" i="46"/>
  <c r="H100" i="46"/>
  <c r="F108" i="46"/>
  <c r="H80" i="46"/>
  <c r="B45" i="46"/>
  <c r="E100" i="46"/>
  <c r="G100" i="46"/>
  <c r="H84" i="46"/>
  <c r="H65" i="46"/>
  <c r="C100" i="46"/>
  <c r="J100" i="46"/>
  <c r="M100" i="46"/>
  <c r="AA12" i="36"/>
  <c r="U12" i="35"/>
  <c r="AB12" i="35"/>
  <c r="W11" i="35"/>
  <c r="AA11" i="35"/>
  <c r="S14" i="37"/>
  <c r="S13" i="21"/>
  <c r="C24" i="9"/>
  <c r="C25" i="9"/>
  <c r="I20" i="46"/>
  <c r="C20" i="46" s="1"/>
  <c r="K5" i="54"/>
  <c r="B38" i="63" s="1"/>
  <c r="B46" i="50"/>
  <c r="B4" i="63" s="1"/>
  <c r="H77" i="46"/>
  <c r="H86" i="46"/>
  <c r="H82" i="46"/>
  <c r="H63" i="46"/>
  <c r="H64" i="46"/>
  <c r="H10" i="48"/>
  <c r="H87" i="46"/>
  <c r="H85" i="46"/>
  <c r="H83" i="46"/>
  <c r="O13" i="1"/>
  <c r="K10" i="1"/>
  <c r="M10" i="1" s="1"/>
  <c r="S11" i="1"/>
  <c r="R11" i="1"/>
  <c r="S13" i="1"/>
  <c r="R13" i="1"/>
  <c r="B6" i="1"/>
  <c r="E6" i="1" s="1"/>
  <c r="B10" i="1"/>
  <c r="E10" i="1" s="1"/>
  <c r="S10" i="1"/>
  <c r="B8" i="1"/>
  <c r="E8" i="1" s="1"/>
  <c r="B12" i="1"/>
  <c r="E12" i="1" s="1"/>
  <c r="S12" i="1"/>
  <c r="G1" i="15"/>
  <c r="F66" i="36"/>
  <c r="G66" i="36" s="1"/>
  <c r="H18" i="36"/>
  <c r="U16" i="36"/>
  <c r="S25" i="36"/>
  <c r="AA34" i="36"/>
  <c r="U23" i="36"/>
  <c r="AC27" i="36"/>
  <c r="W28" i="36"/>
  <c r="AA32" i="36"/>
  <c r="U13" i="36"/>
  <c r="AA22" i="36"/>
  <c r="U10" i="36"/>
  <c r="AA13" i="36"/>
  <c r="W29" i="36"/>
  <c r="W9" i="36"/>
  <c r="S9" i="36"/>
  <c r="W8" i="36"/>
  <c r="AC30" i="35"/>
  <c r="U24" i="35"/>
  <c r="S24" i="35"/>
  <c r="AA33" i="35"/>
  <c r="U32" i="35"/>
  <c r="W22" i="35"/>
  <c r="S32" i="35"/>
  <c r="W35" i="37"/>
  <c r="U33" i="37"/>
  <c r="AC15" i="37"/>
  <c r="W38" i="37"/>
  <c r="W36" i="37"/>
  <c r="U26" i="37"/>
  <c r="AB28" i="37"/>
  <c r="S28" i="37"/>
  <c r="U38" i="37"/>
  <c r="AA31" i="34"/>
  <c r="AB35" i="34"/>
  <c r="W47" i="34"/>
  <c r="AB29" i="34"/>
  <c r="AB47" i="34"/>
  <c r="AB13" i="34"/>
  <c r="AC13" i="34"/>
  <c r="S47" i="34"/>
  <c r="AA29" i="34"/>
  <c r="S19" i="34"/>
  <c r="S8" i="34"/>
  <c r="AA19" i="33"/>
  <c r="AC25" i="33"/>
  <c r="S43" i="33"/>
  <c r="AB42" i="33"/>
  <c r="AB14" i="33"/>
  <c r="S26" i="33"/>
  <c r="AB12" i="33"/>
  <c r="S15" i="33"/>
  <c r="S39" i="21"/>
  <c r="AB25" i="21"/>
  <c r="W25" i="21"/>
  <c r="AA25" i="21"/>
  <c r="AA29" i="21"/>
  <c r="W31" i="21"/>
  <c r="G96" i="40"/>
  <c r="J27" i="40"/>
  <c r="W37" i="40"/>
  <c r="W30" i="40"/>
  <c r="S34" i="40"/>
  <c r="U38" i="40"/>
  <c r="S40" i="40"/>
  <c r="S42" i="40"/>
  <c r="G105" i="39"/>
  <c r="J31" i="39"/>
  <c r="W31" i="39" s="1"/>
  <c r="S45" i="39"/>
  <c r="W41" i="39"/>
  <c r="AB33" i="39"/>
  <c r="AC46" i="39"/>
  <c r="S34" i="39"/>
  <c r="W42" i="39"/>
  <c r="W36" i="39"/>
  <c r="W16" i="39"/>
  <c r="S15" i="39"/>
  <c r="W25" i="39"/>
  <c r="W45" i="39"/>
  <c r="S41" i="39"/>
  <c r="AA44" i="39"/>
  <c r="AA46" i="39"/>
  <c r="W34" i="39"/>
  <c r="W10" i="39"/>
  <c r="W11" i="39"/>
  <c r="U42" i="39"/>
  <c r="S32" i="40"/>
  <c r="C17" i="40"/>
  <c r="C19" i="40"/>
  <c r="C17" i="39"/>
  <c r="C19" i="39"/>
  <c r="C21" i="39"/>
  <c r="C23" i="40"/>
  <c r="B48" i="46"/>
  <c r="B51" i="46"/>
  <c r="B55" i="46"/>
  <c r="B59" i="46"/>
  <c r="B62" i="46"/>
  <c r="B53" i="46"/>
  <c r="B64" i="46"/>
  <c r="D24" i="15"/>
  <c r="F34" i="44"/>
  <c r="F66" i="9"/>
  <c r="P72" i="9" s="1"/>
  <c r="F72" i="9"/>
  <c r="F27" i="43"/>
  <c r="F71" i="9"/>
  <c r="H74" i="46"/>
  <c r="H76" i="46"/>
  <c r="W12" i="35"/>
  <c r="W28" i="34"/>
  <c r="AC28" i="34"/>
  <c r="W45" i="33"/>
  <c r="AC45" i="33"/>
  <c r="U35" i="35"/>
  <c r="W27" i="37"/>
  <c r="AB14" i="34"/>
  <c r="AB11" i="35"/>
  <c r="U11" i="35"/>
  <c r="AC40" i="40"/>
  <c r="W40" i="40"/>
  <c r="AC36" i="35"/>
  <c r="W36" i="35"/>
  <c r="S27" i="33"/>
  <c r="AA27" i="37"/>
  <c r="S27" i="37"/>
  <c r="W47" i="39"/>
  <c r="AC47" i="39"/>
  <c r="W16" i="40"/>
  <c r="AB16" i="40"/>
  <c r="F29" i="6"/>
  <c r="AB20" i="36"/>
  <c r="AC14" i="36"/>
  <c r="U14" i="36"/>
  <c r="AB14" i="36"/>
  <c r="U18" i="36"/>
  <c r="AB18"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U39" i="40"/>
  <c r="AC39" i="40"/>
  <c r="W39" i="40"/>
  <c r="S39" i="40"/>
  <c r="AB37" i="40"/>
  <c r="AA37" i="40"/>
  <c r="S37" i="40"/>
  <c r="AB29" i="40"/>
  <c r="AC29" i="40"/>
  <c r="W29" i="40"/>
  <c r="AA29" i="40"/>
  <c r="S29" i="40"/>
  <c r="W19" i="40"/>
  <c r="AC19" i="40"/>
  <c r="AA19" i="40"/>
  <c r="S19" i="40"/>
  <c r="U19" i="40"/>
  <c r="AC27" i="40"/>
  <c r="W27" i="40"/>
  <c r="AC31" i="39"/>
  <c r="R22" i="31"/>
  <c r="B21" i="31" s="1"/>
  <c r="E5" i="6"/>
  <c r="D12" i="11" s="1"/>
  <c r="C12" i="11" s="1"/>
  <c r="H70" i="46"/>
  <c r="A9" i="64"/>
  <c r="A9" i="51"/>
  <c r="B9" i="63" s="1"/>
  <c r="G39" i="46"/>
  <c r="I39" i="46" s="1"/>
  <c r="J18" i="36"/>
  <c r="AC18" i="36" s="1"/>
  <c r="AE6" i="1"/>
  <c r="F33" i="44"/>
  <c r="M17" i="15"/>
  <c r="F31" i="15"/>
  <c r="M19" i="44"/>
  <c r="AG6" i="1"/>
  <c r="L20" i="6"/>
  <c r="F58" i="15"/>
  <c r="C45" i="9"/>
  <c r="H14" i="66"/>
  <c r="B7" i="66" s="1"/>
  <c r="O40" i="9"/>
  <c r="R7" i="54" s="1"/>
  <c r="B52" i="63" s="1"/>
  <c r="K31" i="9"/>
  <c r="K32" i="9"/>
  <c r="N76" i="9"/>
  <c r="C46" i="9"/>
  <c r="O41" i="9" s="1"/>
  <c r="R8" i="54" s="1"/>
  <c r="B54" i="63" s="1"/>
  <c r="I14" i="66"/>
  <c r="B8" i="66" s="1"/>
  <c r="K33" i="9"/>
  <c r="K34" i="9" s="1"/>
  <c r="M25" i="44"/>
  <c r="M29" i="44"/>
  <c r="F15" i="44"/>
  <c r="F9" i="67"/>
  <c r="F40" i="44"/>
  <c r="F8" i="67"/>
  <c r="E9" i="67"/>
  <c r="M26" i="44"/>
  <c r="E14" i="67"/>
  <c r="B10" i="67"/>
  <c r="M9" i="15"/>
  <c r="F12" i="67"/>
  <c r="E10" i="67"/>
  <c r="F26" i="15"/>
  <c r="J36" i="15"/>
  <c r="F9" i="15"/>
  <c r="M23" i="44"/>
  <c r="F10" i="67"/>
  <c r="M28" i="15"/>
  <c r="E11" i="67"/>
  <c r="M22" i="15"/>
  <c r="C19" i="44"/>
  <c r="B8" i="67"/>
  <c r="L48" i="15"/>
  <c r="F18" i="44"/>
  <c r="B9" i="67"/>
  <c r="F11" i="44"/>
  <c r="F43" i="44"/>
  <c r="F36" i="15"/>
  <c r="M28" i="44"/>
  <c r="E8" i="67"/>
  <c r="L49" i="44"/>
  <c r="M8" i="15"/>
  <c r="F45" i="44"/>
  <c r="M26" i="15"/>
  <c r="F42" i="15"/>
  <c r="M27" i="15"/>
  <c r="M6" i="15"/>
  <c r="F40" i="15"/>
  <c r="M23" i="15"/>
  <c r="F10" i="44"/>
  <c r="F38" i="15"/>
  <c r="F46" i="44"/>
  <c r="J17" i="44"/>
  <c r="F37" i="15"/>
  <c r="F9" i="44"/>
  <c r="F39" i="44"/>
  <c r="L47" i="15"/>
  <c r="M11" i="44"/>
  <c r="F13" i="15"/>
  <c r="F16" i="15"/>
  <c r="F8" i="44"/>
  <c r="B12" i="67"/>
  <c r="B14" i="67"/>
  <c r="F28" i="44"/>
  <c r="L48" i="44"/>
  <c r="F38" i="44"/>
  <c r="B11" i="67"/>
  <c r="M10" i="44"/>
  <c r="M31" i="44"/>
  <c r="F11" i="67"/>
  <c r="F37" i="44"/>
  <c r="J15" i="15"/>
  <c r="M30" i="44"/>
  <c r="E12" i="67"/>
  <c r="E13" i="67"/>
  <c r="B13" i="67"/>
  <c r="M24" i="44"/>
  <c r="M8" i="44"/>
  <c r="F8" i="15"/>
  <c r="F13" i="67"/>
  <c r="F6" i="15"/>
  <c r="F14" i="67"/>
  <c r="M24" i="15"/>
  <c r="F23" i="21" l="1"/>
  <c r="AA23" i="21" s="1"/>
  <c r="F85" i="21"/>
  <c r="G85" i="21" s="1"/>
  <c r="J23" i="21"/>
  <c r="W23" i="21" s="1"/>
  <c r="F77" i="21"/>
  <c r="G77" i="21" s="1"/>
  <c r="H15" i="21"/>
  <c r="J15" i="21"/>
  <c r="F15" i="21"/>
  <c r="AC32" i="71"/>
  <c r="W32" i="71"/>
  <c r="AA32" i="71"/>
  <c r="S32" i="71"/>
  <c r="U40" i="39"/>
  <c r="U45" i="21"/>
  <c r="AB45" i="21"/>
  <c r="W35" i="21"/>
  <c r="AC35" i="21"/>
  <c r="AB24" i="36"/>
  <c r="U24" i="36"/>
  <c r="H113" i="21"/>
  <c r="F37" i="21"/>
  <c r="J37" i="21"/>
  <c r="H37" i="21"/>
  <c r="W18" i="36"/>
  <c r="H72" i="46"/>
  <c r="AA20" i="36"/>
  <c r="S14" i="36"/>
  <c r="H73" i="46"/>
  <c r="S17" i="40"/>
  <c r="AC37" i="39"/>
  <c r="AB43" i="39"/>
  <c r="U17" i="40"/>
  <c r="S9" i="33"/>
  <c r="S26" i="37"/>
  <c r="S12" i="37"/>
  <c r="AC33" i="37"/>
  <c r="W32" i="35"/>
  <c r="H60" i="46"/>
  <c r="H59" i="46"/>
  <c r="H69" i="46"/>
  <c r="H66" i="46"/>
  <c r="H62" i="46"/>
  <c r="G28" i="6"/>
  <c r="AB38" i="39"/>
  <c r="S29" i="39"/>
  <c r="S25" i="40"/>
  <c r="W25" i="40"/>
  <c r="AA21" i="40"/>
  <c r="U15" i="40"/>
  <c r="U33" i="40"/>
  <c r="W44" i="21"/>
  <c r="AC46" i="21"/>
  <c r="AB32" i="21"/>
  <c r="AA36" i="33"/>
  <c r="U25" i="33"/>
  <c r="W14" i="33"/>
  <c r="AC11" i="33"/>
  <c r="AB26" i="33"/>
  <c r="U36" i="33"/>
  <c r="AB11" i="33"/>
  <c r="W34" i="33"/>
  <c r="AB41" i="34"/>
  <c r="W10" i="34"/>
  <c r="AC11" i="34"/>
  <c r="AA33" i="34"/>
  <c r="W33" i="34"/>
  <c r="AC9" i="37"/>
  <c r="AC10" i="37"/>
  <c r="AA32" i="37"/>
  <c r="AA9" i="37"/>
  <c r="AB9" i="37"/>
  <c r="S30" i="35"/>
  <c r="AB14" i="35"/>
  <c r="S23" i="35"/>
  <c r="AA26" i="36"/>
  <c r="S33" i="33"/>
  <c r="U43" i="21"/>
  <c r="U42" i="21"/>
  <c r="AA30" i="33"/>
  <c r="AB32" i="40"/>
  <c r="AB38" i="34"/>
  <c r="U11" i="36"/>
  <c r="F32" i="70"/>
  <c r="F59" i="70" s="1"/>
  <c r="F28" i="70"/>
  <c r="M18" i="70"/>
  <c r="AB17" i="39"/>
  <c r="S34" i="21"/>
  <c r="AC15" i="33"/>
  <c r="AA43" i="39"/>
  <c r="AA37" i="39"/>
  <c r="AA41" i="33"/>
  <c r="J23" i="39"/>
  <c r="AC23" i="39" s="1"/>
  <c r="W32" i="40"/>
  <c r="AA11" i="33"/>
  <c r="AA11" i="36"/>
  <c r="AB37" i="39"/>
  <c r="W15" i="40"/>
  <c r="S33" i="40"/>
  <c r="J14" i="39"/>
  <c r="AC14" i="39" s="1"/>
  <c r="F42" i="21"/>
  <c r="AA42" i="21" s="1"/>
  <c r="S14" i="21"/>
  <c r="J17" i="21"/>
  <c r="AC17" i="21" s="1"/>
  <c r="F17" i="21"/>
  <c r="J32" i="21"/>
  <c r="W32" i="21" s="1"/>
  <c r="AC11" i="36"/>
  <c r="AA36" i="35"/>
  <c r="AA43" i="21"/>
  <c r="AB16" i="35"/>
  <c r="AC37" i="33"/>
  <c r="W41" i="34"/>
  <c r="AC41" i="34"/>
  <c r="U28" i="36"/>
  <c r="AB28" i="36"/>
  <c r="AC30" i="21"/>
  <c r="W30" i="21"/>
  <c r="U14" i="21"/>
  <c r="AB14" i="21"/>
  <c r="J42" i="21"/>
  <c r="AC42" i="21" s="1"/>
  <c r="S34" i="34"/>
  <c r="U34" i="35"/>
  <c r="F32" i="21"/>
  <c r="H13" i="21"/>
  <c r="J13" i="21"/>
  <c r="J29" i="21"/>
  <c r="H29" i="21"/>
  <c r="G123" i="21"/>
  <c r="H123" i="21" s="1"/>
  <c r="I123" i="21" s="1"/>
  <c r="J123" i="21" s="1"/>
  <c r="K123" i="21" s="1"/>
  <c r="L123" i="21" s="1"/>
  <c r="M123" i="21" s="1"/>
  <c r="F9" i="21"/>
  <c r="J9" i="21"/>
  <c r="H9" i="21"/>
  <c r="J44" i="33"/>
  <c r="H44" i="33"/>
  <c r="F44" i="33"/>
  <c r="F13" i="35"/>
  <c r="J13" i="35"/>
  <c r="H13" i="35"/>
  <c r="J34" i="35"/>
  <c r="F34" i="35"/>
  <c r="U8" i="36"/>
  <c r="AB8" i="36"/>
  <c r="E29" i="6"/>
  <c r="AB28" i="21"/>
  <c r="U28" i="21"/>
  <c r="S39" i="37"/>
  <c r="AA39" i="37"/>
  <c r="E22" i="6"/>
  <c r="G27" i="6"/>
  <c r="F12" i="21"/>
  <c r="H12" i="21"/>
  <c r="J27" i="21"/>
  <c r="H27" i="21"/>
  <c r="F27" i="21"/>
  <c r="J45" i="21"/>
  <c r="F45" i="21"/>
  <c r="E108" i="21"/>
  <c r="F108" i="21" s="1"/>
  <c r="G108" i="21" s="1"/>
  <c r="H108" i="21" s="1"/>
  <c r="I108" i="21" s="1"/>
  <c r="J108" i="21" s="1"/>
  <c r="K108" i="21" s="1"/>
  <c r="L108" i="21" s="1"/>
  <c r="M108" i="21" s="1"/>
  <c r="H35" i="21"/>
  <c r="F35" i="21"/>
  <c r="AC33" i="33"/>
  <c r="W33" i="33"/>
  <c r="J24" i="36"/>
  <c r="F24" i="36"/>
  <c r="H13" i="37"/>
  <c r="F13" i="37"/>
  <c r="J13" i="37"/>
  <c r="J39" i="37"/>
  <c r="H39" i="37"/>
  <c r="U41" i="21"/>
  <c r="AB41" i="21"/>
  <c r="AA31" i="35"/>
  <c r="S31" i="35"/>
  <c r="H5" i="3"/>
  <c r="C29" i="59"/>
  <c r="D29" i="59" s="1"/>
  <c r="D28" i="59"/>
  <c r="D40" i="59"/>
  <c r="C41" i="59"/>
  <c r="P49" i="59"/>
  <c r="E48" i="59"/>
  <c r="G14" i="3"/>
  <c r="F34" i="15"/>
  <c r="F61" i="15" s="1"/>
  <c r="M20" i="70"/>
  <c r="F34" i="70"/>
  <c r="D32" i="59"/>
  <c r="C33" i="59"/>
  <c r="Q48" i="59"/>
  <c r="Q47" i="59"/>
  <c r="K12" i="1"/>
  <c r="M12" i="1" s="1"/>
  <c r="O12" i="1" s="1"/>
  <c r="G1" i="70"/>
  <c r="B54" i="46"/>
  <c r="C27" i="40"/>
  <c r="S27" i="40"/>
  <c r="S21" i="34"/>
  <c r="S18" i="35"/>
  <c r="R16" i="4"/>
  <c r="Y5" i="59"/>
  <c r="Z5" i="59" s="1"/>
  <c r="X11" i="59"/>
  <c r="AA6" i="59"/>
  <c r="X5" i="59"/>
  <c r="AB15" i="59"/>
  <c r="B49" i="59"/>
  <c r="AZ488" i="3"/>
  <c r="K76" i="9"/>
  <c r="K77" i="9" s="1"/>
  <c r="K79" i="9" s="1"/>
  <c r="K81" i="9" s="1"/>
  <c r="E19" i="6"/>
  <c r="F19" i="6"/>
  <c r="AZ325" i="3"/>
  <c r="AZ329" i="3"/>
  <c r="AZ138" i="3"/>
  <c r="AZ117" i="3"/>
  <c r="AZ157" i="3"/>
  <c r="AZ150" i="3"/>
  <c r="AZ143" i="3"/>
  <c r="AZ74" i="3"/>
  <c r="AZ67" i="3"/>
  <c r="AZ58" i="3"/>
  <c r="AZ14" i="3"/>
  <c r="BL13" i="3"/>
  <c r="BL5" i="3" s="1"/>
  <c r="I69" i="21"/>
  <c r="C18" i="9"/>
  <c r="M43" i="9" s="1"/>
  <c r="C16" i="46"/>
  <c r="C5" i="46" s="1"/>
  <c r="W17" i="21"/>
  <c r="AC23" i="21"/>
  <c r="U19" i="21"/>
  <c r="U23" i="21"/>
  <c r="B66" i="46"/>
  <c r="C27" i="39"/>
  <c r="U17" i="21"/>
  <c r="AC32" i="21"/>
  <c r="W23" i="39"/>
  <c r="S23" i="39"/>
  <c r="AC19" i="39"/>
  <c r="F27" i="39"/>
  <c r="J27" i="39"/>
  <c r="AC27" i="39" s="1"/>
  <c r="F101" i="39"/>
  <c r="G101" i="39" s="1"/>
  <c r="H27" i="39"/>
  <c r="AB27" i="39" s="1"/>
  <c r="U27" i="39"/>
  <c r="U34" i="39"/>
  <c r="AB19" i="39"/>
  <c r="AA19" i="39"/>
  <c r="AC17" i="39"/>
  <c r="S17" i="39"/>
  <c r="S11" i="39"/>
  <c r="W40" i="39"/>
  <c r="AC40" i="39"/>
  <c r="S40" i="39"/>
  <c r="S14" i="39"/>
  <c r="W14" i="39"/>
  <c r="U14" i="39"/>
  <c r="G21" i="43"/>
  <c r="G5" i="3"/>
  <c r="B3" i="3" s="1"/>
  <c r="F9" i="12"/>
  <c r="K9" i="1"/>
  <c r="M9" i="1" s="1"/>
  <c r="P12" i="1"/>
  <c r="I4" i="6"/>
  <c r="G3" i="46" s="1"/>
  <c r="T41" i="4"/>
  <c r="A17" i="51" s="1"/>
  <c r="B13" i="63" s="1"/>
  <c r="L5" i="54"/>
  <c r="C53" i="10"/>
  <c r="A25" i="64" s="1"/>
  <c r="A17" i="64"/>
  <c r="G10" i="1"/>
  <c r="K17" i="4"/>
  <c r="A22" i="51" s="1"/>
  <c r="B16" i="63" s="1"/>
  <c r="A4" i="51"/>
  <c r="B6" i="63" s="1"/>
  <c r="F7" i="1"/>
  <c r="AP7" i="1" s="1"/>
  <c r="G19" i="4"/>
  <c r="F9" i="1" s="1"/>
  <c r="G9" i="1" s="1"/>
  <c r="K2" i="54"/>
  <c r="B23" i="63" s="1"/>
  <c r="B2" i="1"/>
  <c r="A11" i="51"/>
  <c r="B10" i="63" s="1"/>
  <c r="C1" i="65"/>
  <c r="D24" i="44"/>
  <c r="D23" i="15"/>
  <c r="M20" i="15"/>
  <c r="M22" i="44"/>
  <c r="B23" i="52"/>
  <c r="G23" i="43"/>
  <c r="G26" i="12"/>
  <c r="G28" i="12"/>
  <c r="E11" i="52"/>
  <c r="E4" i="4" s="1"/>
  <c r="B21" i="55" s="1"/>
  <c r="B72" i="63" s="1"/>
  <c r="G30" i="6"/>
  <c r="G31" i="6" s="1"/>
  <c r="E28" i="6"/>
  <c r="K14" i="1" s="1"/>
  <c r="M14" i="1" s="1"/>
  <c r="O14" i="1" s="1"/>
  <c r="P14" i="1" s="1"/>
  <c r="K15" i="1"/>
  <c r="E30" i="6"/>
  <c r="E380" i="3"/>
  <c r="E254" i="3"/>
  <c r="AL6" i="3"/>
  <c r="E16" i="3"/>
  <c r="E214" i="3"/>
  <c r="BA13" i="3"/>
  <c r="BA5" i="3" s="1"/>
  <c r="E250" i="3"/>
  <c r="E44" i="3"/>
  <c r="E304" i="3"/>
  <c r="E404" i="3"/>
  <c r="E218" i="3"/>
  <c r="E545" i="3"/>
  <c r="E482" i="3"/>
  <c r="N6" i="3"/>
  <c r="E189" i="3"/>
  <c r="E275" i="3"/>
  <c r="E429" i="3"/>
  <c r="E372" i="3"/>
  <c r="E154" i="3"/>
  <c r="E309" i="3"/>
  <c r="E74" i="3"/>
  <c r="E224" i="3"/>
  <c r="E66" i="3"/>
  <c r="E300" i="3"/>
  <c r="E379" i="3"/>
  <c r="E530" i="3"/>
  <c r="E538" i="3"/>
  <c r="E403" i="3"/>
  <c r="E217" i="3"/>
  <c r="E177" i="3"/>
  <c r="E307" i="3"/>
  <c r="E90" i="3"/>
  <c r="E171" i="3"/>
  <c r="E251" i="3"/>
  <c r="E354" i="3"/>
  <c r="E56" i="3"/>
  <c r="E531" i="3"/>
  <c r="E122" i="3"/>
  <c r="E495" i="3"/>
  <c r="E208" i="3"/>
  <c r="E344" i="3"/>
  <c r="E485" i="3"/>
  <c r="E335" i="3"/>
  <c r="E483" i="3"/>
  <c r="E366" i="3"/>
  <c r="E532" i="3"/>
  <c r="E330" i="3"/>
  <c r="E340" i="3"/>
  <c r="E350" i="3"/>
  <c r="E428" i="3"/>
  <c r="E442" i="3"/>
  <c r="E98" i="3"/>
  <c r="E37" i="3"/>
  <c r="AT6" i="3"/>
  <c r="E67" i="3"/>
  <c r="E264" i="3"/>
  <c r="AG6" i="3"/>
  <c r="E386" i="3"/>
  <c r="E271" i="3"/>
  <c r="E493" i="3"/>
  <c r="E81" i="3"/>
  <c r="E524" i="3"/>
  <c r="E498" i="3"/>
  <c r="E298" i="3"/>
  <c r="E361" i="3"/>
  <c r="E315" i="3"/>
  <c r="E323" i="3"/>
  <c r="E159" i="3"/>
  <c r="E501" i="3"/>
  <c r="E384" i="3"/>
  <c r="E310" i="3"/>
  <c r="E567" i="3"/>
  <c r="E487" i="3"/>
  <c r="E329" i="3"/>
  <c r="AB6" i="3"/>
  <c r="E26" i="3"/>
  <c r="S6" i="3"/>
  <c r="E322" i="3"/>
  <c r="E511" i="3"/>
  <c r="E17" i="3"/>
  <c r="E377" i="3"/>
  <c r="E18" i="3"/>
  <c r="E358" i="3"/>
  <c r="E509" i="3"/>
  <c r="E20" i="3"/>
  <c r="E564" i="3"/>
  <c r="AZ13" i="3"/>
  <c r="AZ5" i="3" s="1"/>
  <c r="E13" i="3"/>
  <c r="E557" i="3"/>
  <c r="E523" i="3"/>
  <c r="E541" i="3"/>
  <c r="E544" i="3"/>
  <c r="E346" i="3"/>
  <c r="E252" i="3"/>
  <c r="E155" i="3"/>
  <c r="E519" i="3"/>
  <c r="E328" i="3"/>
  <c r="E138" i="3"/>
  <c r="E461" i="3"/>
  <c r="E352" i="3"/>
  <c r="E130" i="3"/>
  <c r="E496" i="3"/>
  <c r="E521" i="3"/>
  <c r="E572" i="3"/>
  <c r="E522" i="3"/>
  <c r="E342" i="3"/>
  <c r="E364" i="3"/>
  <c r="E378" i="3"/>
  <c r="E118" i="3"/>
  <c r="E14" i="3"/>
  <c r="E339" i="3"/>
  <c r="E153" i="3"/>
  <c r="E385" i="3"/>
  <c r="E246" i="3"/>
  <c r="E180" i="3"/>
  <c r="E188" i="3"/>
  <c r="E302" i="3"/>
  <c r="E105" i="3"/>
  <c r="E543" i="3"/>
  <c r="E467" i="3"/>
  <c r="E533" i="3"/>
  <c r="E129" i="3"/>
  <c r="E490" i="3"/>
  <c r="E237" i="3"/>
  <c r="E238" i="3"/>
  <c r="S4" i="46"/>
  <c r="O9" i="1"/>
  <c r="P9" i="1" s="1"/>
  <c r="E561" i="3"/>
  <c r="E411" i="3"/>
  <c r="E41" i="3"/>
  <c r="E418" i="3"/>
  <c r="E92" i="3"/>
  <c r="E414" i="3"/>
  <c r="E202" i="3"/>
  <c r="E295" i="3"/>
  <c r="E249" i="3"/>
  <c r="E89" i="3"/>
  <c r="E549" i="3"/>
  <c r="E201" i="3"/>
  <c r="E460" i="3"/>
  <c r="E170" i="3"/>
  <c r="I3" i="6"/>
  <c r="E213" i="3"/>
  <c r="E536" i="3"/>
  <c r="E397" i="3"/>
  <c r="E462" i="3"/>
  <c r="E47"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B7" i="52"/>
  <c r="B10" i="52"/>
  <c r="E9" i="52"/>
  <c r="B6" i="52"/>
  <c r="D9" i="12"/>
  <c r="K7" i="1"/>
  <c r="BC5"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413" i="3"/>
  <c r="E297" i="3"/>
  <c r="E283" i="3"/>
  <c r="E23" i="3"/>
  <c r="E535" i="3"/>
  <c r="E443" i="3"/>
  <c r="E156" i="3"/>
  <c r="E265" i="3"/>
  <c r="E381" i="3"/>
  <c r="E194" i="3"/>
  <c r="E49" i="3"/>
  <c r="AM6" i="3"/>
  <c r="E427" i="3"/>
  <c r="E78" i="3"/>
  <c r="E193" i="3"/>
  <c r="E337" i="3"/>
  <c r="E278" i="3"/>
  <c r="E390" i="3"/>
  <c r="E104" i="3"/>
  <c r="E158" i="3"/>
  <c r="E94" i="3"/>
  <c r="E296" i="3"/>
  <c r="E534" i="3"/>
  <c r="E472" i="3"/>
  <c r="E36" i="3"/>
  <c r="E149" i="3"/>
  <c r="E131"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395" i="3"/>
  <c r="AN6" i="3"/>
  <c r="E280" i="3"/>
  <c r="E59" i="3"/>
  <c r="E270" i="3"/>
  <c r="E464" i="3"/>
  <c r="E157" i="3"/>
  <c r="E209" i="3"/>
  <c r="E161" i="3"/>
  <c r="E450" i="3"/>
  <c r="E492" i="3"/>
  <c r="E376"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O10" i="1"/>
  <c r="P10" i="1" s="1"/>
  <c r="O11" i="1"/>
  <c r="P11" i="1" s="1"/>
  <c r="P13" i="1"/>
  <c r="D3" i="21"/>
  <c r="E32" i="6"/>
  <c r="L19" i="6" s="1"/>
  <c r="L27" i="6" s="1"/>
  <c r="D21" i="12"/>
  <c r="C21" i="12" s="1"/>
  <c r="E5" i="52"/>
  <c r="B16" i="52"/>
  <c r="E10" i="52"/>
  <c r="B8" i="52"/>
  <c r="B9" i="52"/>
  <c r="H101" i="46"/>
  <c r="N1" i="65"/>
  <c r="H1" i="65"/>
  <c r="AP8" i="1"/>
  <c r="G8" i="1"/>
  <c r="G6" i="1"/>
  <c r="AP6" i="1"/>
  <c r="AP13" i="1"/>
  <c r="G13" i="1"/>
  <c r="AP11" i="1"/>
  <c r="G11" i="1"/>
  <c r="AP12" i="1"/>
  <c r="G12" i="1"/>
  <c r="C36" i="44"/>
  <c r="F67" i="15"/>
  <c r="M9" i="44"/>
  <c r="J8" i="44" s="1"/>
  <c r="C27" i="15"/>
  <c r="J22" i="44"/>
  <c r="L58" i="15"/>
  <c r="C29" i="44"/>
  <c r="C8" i="44"/>
  <c r="L60" i="44"/>
  <c r="L59" i="44"/>
  <c r="Q73" i="44"/>
  <c r="Q72" i="15"/>
  <c r="I55" i="44"/>
  <c r="J60" i="44"/>
  <c r="J61" i="44"/>
  <c r="Q50" i="44" s="1"/>
  <c r="J54" i="44"/>
  <c r="J58" i="44"/>
  <c r="J56" i="44" s="1"/>
  <c r="J59" i="44" s="1"/>
  <c r="Q52" i="44" s="1"/>
  <c r="L57" i="44"/>
  <c r="F65" i="15"/>
  <c r="F64" i="15"/>
  <c r="F63" i="15"/>
  <c r="F50" i="15"/>
  <c r="E22" i="52"/>
  <c r="E7" i="52"/>
  <c r="E6" i="52"/>
  <c r="B14" i="52"/>
  <c r="E21" i="52"/>
  <c r="B22" i="52"/>
  <c r="B13" i="52"/>
  <c r="B5" i="52"/>
  <c r="E8" i="52"/>
  <c r="C4" i="4" s="1"/>
  <c r="B20" i="55" s="1"/>
  <c r="B70" i="63" s="1"/>
  <c r="B11" i="52"/>
  <c r="E16" i="52"/>
  <c r="E4" i="52"/>
  <c r="F7" i="15"/>
  <c r="I7" i="65"/>
  <c r="N6" i="65"/>
  <c r="J6" i="65"/>
  <c r="I4" i="65"/>
  <c r="N5" i="65"/>
  <c r="J4" i="65"/>
  <c r="C18" i="44"/>
  <c r="M29" i="15"/>
  <c r="I5" i="65"/>
  <c r="N4" i="65"/>
  <c r="N3" i="65"/>
  <c r="I3" i="65"/>
  <c r="F43" i="15"/>
  <c r="J7" i="65"/>
  <c r="J5" i="65"/>
  <c r="J3" i="65"/>
  <c r="I6" i="65"/>
  <c r="N7" i="65"/>
  <c r="S23" i="21" l="1"/>
  <c r="S15" i="21"/>
  <c r="AA15" i="21"/>
  <c r="U15" i="21"/>
  <c r="AB15" i="21"/>
  <c r="AC15" i="21"/>
  <c r="W15" i="21"/>
  <c r="G7" i="1"/>
  <c r="W42" i="21"/>
  <c r="S42" i="21"/>
  <c r="L47" i="44"/>
  <c r="A25" i="51"/>
  <c r="B18" i="63" s="1"/>
  <c r="D18" i="9"/>
  <c r="M44" i="9" s="1"/>
  <c r="C7" i="71"/>
  <c r="C58" i="71" s="1"/>
  <c r="J51" i="70"/>
  <c r="K6" i="1"/>
  <c r="M6" i="1" s="1"/>
  <c r="O6" i="1" s="1"/>
  <c r="C9" i="12"/>
  <c r="AB39" i="37"/>
  <c r="U39" i="37"/>
  <c r="AC13" i="37"/>
  <c r="W13" i="37"/>
  <c r="AB13" i="37"/>
  <c r="U13" i="37"/>
  <c r="W24" i="36"/>
  <c r="AC24" i="36"/>
  <c r="AB35" i="21"/>
  <c r="U35" i="21"/>
  <c r="AA45" i="21"/>
  <c r="S45" i="21"/>
  <c r="AA27" i="21"/>
  <c r="S27" i="21"/>
  <c r="W27" i="21"/>
  <c r="AC27" i="21"/>
  <c r="S12" i="21"/>
  <c r="AA12" i="21"/>
  <c r="AA34" i="35"/>
  <c r="S34" i="35"/>
  <c r="U13" i="35"/>
  <c r="AB13" i="35"/>
  <c r="S13" i="35"/>
  <c r="AA13" i="35"/>
  <c r="U44" i="33"/>
  <c r="AB44" i="33"/>
  <c r="AB9" i="21"/>
  <c r="U9" i="21"/>
  <c r="S9" i="21"/>
  <c r="AA9" i="21"/>
  <c r="U29" i="21"/>
  <c r="AB29" i="21"/>
  <c r="AC13" i="21"/>
  <c r="W13" i="21"/>
  <c r="S32" i="21"/>
  <c r="AA32" i="21"/>
  <c r="S17" i="21"/>
  <c r="AA17" i="21"/>
  <c r="AB37" i="21"/>
  <c r="U37" i="21"/>
  <c r="S37" i="21"/>
  <c r="AA37" i="21"/>
  <c r="W27" i="39"/>
  <c r="N49" i="59"/>
  <c r="B48" i="59"/>
  <c r="D33" i="59"/>
  <c r="C34" i="59"/>
  <c r="F61" i="70"/>
  <c r="P48" i="59"/>
  <c r="P47" i="59"/>
  <c r="C42" i="59"/>
  <c r="D41" i="59"/>
  <c r="AC39" i="37"/>
  <c r="W39" i="37"/>
  <c r="S13" i="37"/>
  <c r="AA13" i="37"/>
  <c r="AA24" i="36"/>
  <c r="S24" i="36"/>
  <c r="S35" i="21"/>
  <c r="AA35" i="21"/>
  <c r="W45" i="21"/>
  <c r="AC45" i="21"/>
  <c r="AB27" i="21"/>
  <c r="U27" i="21"/>
  <c r="AB12" i="21"/>
  <c r="U12" i="21"/>
  <c r="AC34" i="35"/>
  <c r="W34" i="35"/>
  <c r="AC13" i="35"/>
  <c r="W13" i="35"/>
  <c r="AA44" i="33"/>
  <c r="S44" i="33"/>
  <c r="W44" i="33"/>
  <c r="AC44" i="33"/>
  <c r="W9" i="21"/>
  <c r="AC9" i="21"/>
  <c r="AC29" i="21"/>
  <c r="W29" i="21"/>
  <c r="U13" i="21"/>
  <c r="AB13" i="21"/>
  <c r="W37" i="21"/>
  <c r="AC37" i="21"/>
  <c r="J69" i="21"/>
  <c r="K69" i="21" s="1"/>
  <c r="L69" i="21" s="1"/>
  <c r="M69" i="21" s="1"/>
  <c r="AA27" i="39"/>
  <c r="S27" i="39"/>
  <c r="I1" i="65"/>
  <c r="J22" i="46"/>
  <c r="S5" i="46"/>
  <c r="E565" i="3"/>
  <c r="E287" i="3"/>
  <c r="E316" i="3"/>
  <c r="E494" i="3"/>
  <c r="E169" i="3"/>
  <c r="E505" i="3"/>
  <c r="E422" i="3"/>
  <c r="E408" i="3"/>
  <c r="E187" i="3"/>
  <c r="E165" i="3"/>
  <c r="E30" i="3"/>
  <c r="E110" i="3"/>
  <c r="E184" i="3"/>
  <c r="E473" i="3"/>
  <c r="E232" i="3"/>
  <c r="E507" i="3"/>
  <c r="L6" i="3"/>
  <c r="E116" i="3"/>
  <c r="E465" i="3"/>
  <c r="E243" i="3"/>
  <c r="E448" i="3"/>
  <c r="E121" i="3"/>
  <c r="E123" i="3"/>
  <c r="E76" i="3"/>
  <c r="E555" i="3"/>
  <c r="E355" i="3"/>
  <c r="E499" i="3"/>
  <c r="E558" i="3"/>
  <c r="E173" i="3"/>
  <c r="E436" i="3"/>
  <c r="E260" i="3"/>
  <c r="E432" i="3"/>
  <c r="E373" i="3"/>
  <c r="E284" i="3"/>
  <c r="E360" i="3"/>
  <c r="E42" i="3"/>
  <c r="T6" i="3"/>
  <c r="E181" i="3"/>
  <c r="E144" i="3"/>
  <c r="E269" i="3"/>
  <c r="E219" i="3"/>
  <c r="E338" i="3"/>
  <c r="E506" i="3"/>
  <c r="E562" i="3"/>
  <c r="E571" i="3"/>
  <c r="E518" i="3"/>
  <c r="E497" i="3"/>
  <c r="E167" i="3"/>
  <c r="E566" i="3"/>
  <c r="E471" i="3"/>
  <c r="E374" i="3"/>
  <c r="E174" i="3"/>
  <c r="E398" i="3"/>
  <c r="E486" i="3"/>
  <c r="V6" i="3"/>
  <c r="E419" i="3"/>
  <c r="E24" i="3"/>
  <c r="E508" i="3"/>
  <c r="E108" i="3"/>
  <c r="E277" i="3"/>
  <c r="E19" i="3"/>
  <c r="E212" i="3"/>
  <c r="E35" i="3"/>
  <c r="E182" i="3"/>
  <c r="E267" i="3"/>
  <c r="E312" i="3"/>
  <c r="E514" i="3"/>
  <c r="E512" i="3"/>
  <c r="E371" i="3"/>
  <c r="E510" i="3"/>
  <c r="E516" i="3"/>
  <c r="E504" i="3"/>
  <c r="E227" i="3"/>
  <c r="E406" i="3"/>
  <c r="E488" i="3"/>
  <c r="E244" i="3"/>
  <c r="E71" i="3"/>
  <c r="E137" i="3"/>
  <c r="E240" i="3"/>
  <c r="E301" i="3"/>
  <c r="E382" i="3"/>
  <c r="E484" i="3"/>
  <c r="E326" i="3"/>
  <c r="E356" i="3"/>
  <c r="E481" i="3"/>
  <c r="E369" i="3"/>
  <c r="E273" i="3"/>
  <c r="E551" i="3"/>
  <c r="E226" i="3"/>
  <c r="E175" i="3"/>
  <c r="E553" i="3"/>
  <c r="E63" i="3"/>
  <c r="E306" i="3"/>
  <c r="E210" i="3"/>
  <c r="E163" i="3"/>
  <c r="E515" i="3"/>
  <c r="E542" i="3"/>
  <c r="E341" i="3"/>
  <c r="E318" i="3"/>
  <c r="E303" i="3"/>
  <c r="E95" i="3"/>
  <c r="E368" i="3"/>
  <c r="E112" i="3"/>
  <c r="E503" i="3"/>
  <c r="E106" i="3"/>
  <c r="E268" i="3"/>
  <c r="E563" i="3"/>
  <c r="E100" i="3"/>
  <c r="E351" i="3"/>
  <c r="C23" i="46"/>
  <c r="C21" i="46" s="1"/>
  <c r="G22" i="46"/>
  <c r="Y11" i="46"/>
  <c r="Y13" i="46" s="1"/>
  <c r="AJ11" i="46"/>
  <c r="AJ13" i="46" s="1"/>
  <c r="N104" i="45"/>
  <c r="L101" i="46"/>
  <c r="L103" i="46" s="1"/>
  <c r="D101" i="46"/>
  <c r="D106" i="46" s="1"/>
  <c r="AC11" i="46"/>
  <c r="AC13" i="46" s="1"/>
  <c r="AD11" i="46"/>
  <c r="AD13" i="46" s="1"/>
  <c r="AI11" i="46"/>
  <c r="AI13" i="46" s="1"/>
  <c r="H22" i="46"/>
  <c r="L109" i="46"/>
  <c r="C101" i="46"/>
  <c r="C107" i="46" s="1"/>
  <c r="Z7" i="46"/>
  <c r="B113" i="46"/>
  <c r="I117" i="46" s="1"/>
  <c r="J117" i="46" s="1"/>
  <c r="K117" i="46" s="1"/>
  <c r="L117" i="46" s="1"/>
  <c r="M117" i="46" s="1"/>
  <c r="AE11" i="46"/>
  <c r="AE13" i="46" s="1"/>
  <c r="I101" i="46"/>
  <c r="I104" i="46" s="1"/>
  <c r="M101" i="46"/>
  <c r="M102" i="46" s="1"/>
  <c r="E22" i="46"/>
  <c r="AG11" i="46"/>
  <c r="AG13" i="46" s="1"/>
  <c r="Z11" i="46"/>
  <c r="Z13" i="46" s="1"/>
  <c r="AH11" i="46"/>
  <c r="AH13" i="46" s="1"/>
  <c r="AA11" i="46"/>
  <c r="AA13" i="46" s="1"/>
  <c r="AF11" i="46"/>
  <c r="AF13" i="46" s="1"/>
  <c r="AB11" i="46"/>
  <c r="AB13" i="46" s="1"/>
  <c r="L104" i="46"/>
  <c r="J101" i="46"/>
  <c r="F22" i="46"/>
  <c r="N101" i="46"/>
  <c r="N105" i="46" s="1"/>
  <c r="F101" i="46"/>
  <c r="F109" i="46" s="1"/>
  <c r="G101" i="46"/>
  <c r="G103" i="46" s="1"/>
  <c r="K101" i="46"/>
  <c r="K104" i="46" s="1"/>
  <c r="S6" i="46"/>
  <c r="S3" i="46"/>
  <c r="S7" i="46"/>
  <c r="S2" i="46"/>
  <c r="E101" i="46"/>
  <c r="E105" i="46" s="1"/>
  <c r="B39" i="63"/>
  <c r="A3" i="55"/>
  <c r="B56" i="63" s="1"/>
  <c r="AP9" i="1"/>
  <c r="AP16" i="1" s="1"/>
  <c r="F22" i="11" s="1"/>
  <c r="C42" i="1"/>
  <c r="C28" i="70" s="1"/>
  <c r="G19" i="46"/>
  <c r="C9" i="40"/>
  <c r="C65" i="40" s="1"/>
  <c r="C7" i="36"/>
  <c r="C46" i="36" s="1"/>
  <c r="C7" i="35"/>
  <c r="C48" i="35" s="1"/>
  <c r="D48" i="35" s="1"/>
  <c r="C7" i="33"/>
  <c r="C58" i="33" s="1"/>
  <c r="C7" i="21"/>
  <c r="C58" i="21" s="1"/>
  <c r="D58" i="21" s="1"/>
  <c r="J51" i="15"/>
  <c r="D38" i="4"/>
  <c r="C39" i="4" s="1"/>
  <c r="N67" i="9"/>
  <c r="C9" i="39"/>
  <c r="C70" i="39" s="1"/>
  <c r="C7" i="37"/>
  <c r="C52" i="37" s="1"/>
  <c r="D52" i="37" s="1"/>
  <c r="C7" i="34"/>
  <c r="C59" i="34" s="1"/>
  <c r="K105" i="46"/>
  <c r="E3" i="6"/>
  <c r="C33" i="71" s="1"/>
  <c r="AY6" i="3"/>
  <c r="BC6" i="3" s="1"/>
  <c r="F70" i="15"/>
  <c r="M7" i="15"/>
  <c r="J6" i="15" s="1"/>
  <c r="C6" i="15"/>
  <c r="F49" i="15"/>
  <c r="C48" i="15" s="1"/>
  <c r="E8" i="6"/>
  <c r="E14" i="6"/>
  <c r="E15" i="6"/>
  <c r="E11" i="6"/>
  <c r="E12" i="6"/>
  <c r="E10" i="6"/>
  <c r="E13" i="6"/>
  <c r="M7" i="1"/>
  <c r="H16" i="1"/>
  <c r="Q16" i="1"/>
  <c r="K16" i="1"/>
  <c r="P6" i="1"/>
  <c r="H6" i="3"/>
  <c r="AC6" i="3"/>
  <c r="M104" i="46"/>
  <c r="M105" i="46"/>
  <c r="H102" i="46"/>
  <c r="H107" i="46"/>
  <c r="H103" i="46"/>
  <c r="H104" i="46"/>
  <c r="H105" i="46"/>
  <c r="H106" i="46"/>
  <c r="H109" i="46"/>
  <c r="C4" i="65"/>
  <c r="B39" i="1" s="1"/>
  <c r="J1" i="65"/>
  <c r="E20" i="46"/>
  <c r="P17" i="46" s="1"/>
  <c r="E52" i="37"/>
  <c r="E48" i="35"/>
  <c r="F48" i="35" s="1"/>
  <c r="G48" i="35" s="1"/>
  <c r="H48" i="35" s="1"/>
  <c r="I48" i="35" s="1"/>
  <c r="J48" i="35" s="1"/>
  <c r="K48" i="35" s="1"/>
  <c r="L48" i="35" s="1"/>
  <c r="M48" i="35" s="1"/>
  <c r="N48" i="35" s="1"/>
  <c r="O48" i="35" s="1"/>
  <c r="G16" i="1"/>
  <c r="E58" i="21"/>
  <c r="Q54" i="44"/>
  <c r="F1" i="44"/>
  <c r="Q62" i="44"/>
  <c r="Q75" i="44"/>
  <c r="Q61" i="15"/>
  <c r="Q74" i="15"/>
  <c r="Q63" i="44"/>
  <c r="Q76" i="44"/>
  <c r="F7" i="70"/>
  <c r="J36" i="70"/>
  <c r="F9" i="70"/>
  <c r="L47" i="70"/>
  <c r="J15" i="70"/>
  <c r="M6" i="70"/>
  <c r="F6" i="70"/>
  <c r="F43" i="70"/>
  <c r="F38" i="70"/>
  <c r="M9" i="70"/>
  <c r="M23" i="70"/>
  <c r="F8" i="70"/>
  <c r="F37" i="70"/>
  <c r="M26" i="70"/>
  <c r="M24" i="70"/>
  <c r="F26" i="70"/>
  <c r="F36" i="70"/>
  <c r="M28" i="70"/>
  <c r="F40" i="70"/>
  <c r="F13" i="70"/>
  <c r="M29" i="70"/>
  <c r="E3" i="65"/>
  <c r="F16" i="70"/>
  <c r="M8" i="70"/>
  <c r="L48" i="70"/>
  <c r="C16" i="15"/>
  <c r="M22" i="70"/>
  <c r="M27" i="70"/>
  <c r="F42" i="70"/>
  <c r="E2" i="65"/>
  <c r="H7" i="35" l="1"/>
  <c r="C6" i="70"/>
  <c r="F63" i="70"/>
  <c r="L57" i="70"/>
  <c r="L60" i="70"/>
  <c r="J53" i="70"/>
  <c r="L56" i="70"/>
  <c r="F64" i="70"/>
  <c r="F65" i="70"/>
  <c r="F70" i="70"/>
  <c r="L59" i="70"/>
  <c r="L58" i="70"/>
  <c r="C27" i="70"/>
  <c r="M7" i="70"/>
  <c r="J6" i="70" s="1"/>
  <c r="F49" i="70"/>
  <c r="F67" i="70"/>
  <c r="Q72" i="70"/>
  <c r="F50" i="70"/>
  <c r="H33" i="71"/>
  <c r="F33" i="71"/>
  <c r="J33" i="71"/>
  <c r="D42" i="59"/>
  <c r="T42" i="59"/>
  <c r="N48" i="59"/>
  <c r="N47" i="59"/>
  <c r="I54" i="70"/>
  <c r="J60" i="70"/>
  <c r="Q49" i="70" s="1"/>
  <c r="J57" i="70"/>
  <c r="J55" i="70" s="1"/>
  <c r="J58" i="70" s="1"/>
  <c r="Q51" i="70" s="1"/>
  <c r="J59" i="70"/>
  <c r="F7" i="35"/>
  <c r="C15" i="43"/>
  <c r="D34" i="59"/>
  <c r="T34" i="59"/>
  <c r="D58" i="71"/>
  <c r="F11" i="15"/>
  <c r="C10" i="15" s="1"/>
  <c r="C5" i="15" s="1"/>
  <c r="C38" i="15" s="1"/>
  <c r="F11" i="70"/>
  <c r="M11" i="70"/>
  <c r="J10" i="70" s="1"/>
  <c r="M106" i="46"/>
  <c r="M107" i="46"/>
  <c r="L107" i="46"/>
  <c r="D105" i="46"/>
  <c r="B116" i="46"/>
  <c r="C116" i="46" s="1"/>
  <c r="F104" i="46"/>
  <c r="D104" i="46"/>
  <c r="I103" i="46"/>
  <c r="N102" i="46"/>
  <c r="G105" i="46"/>
  <c r="E104" i="46"/>
  <c r="B118" i="46"/>
  <c r="C118" i="46" s="1"/>
  <c r="M103" i="46"/>
  <c r="M109" i="46"/>
  <c r="N107" i="46"/>
  <c r="G109" i="46"/>
  <c r="G106" i="46"/>
  <c r="E106" i="46"/>
  <c r="D22" i="46"/>
  <c r="D102" i="46"/>
  <c r="I107" i="46"/>
  <c r="C106" i="46"/>
  <c r="K102" i="46"/>
  <c r="D103" i="46"/>
  <c r="D109" i="46"/>
  <c r="D107" i="46"/>
  <c r="I109" i="46"/>
  <c r="I105" i="46"/>
  <c r="C105" i="46"/>
  <c r="C104" i="46"/>
  <c r="I116" i="46"/>
  <c r="J116" i="46" s="1"/>
  <c r="K116" i="46" s="1"/>
  <c r="L116" i="46" s="1"/>
  <c r="M116" i="46" s="1"/>
  <c r="G107" i="46"/>
  <c r="G102" i="46"/>
  <c r="G104" i="46"/>
  <c r="B117" i="46"/>
  <c r="C117" i="46" s="1"/>
  <c r="L105" i="46"/>
  <c r="L106" i="46"/>
  <c r="L102" i="46"/>
  <c r="I102" i="46"/>
  <c r="I106" i="46"/>
  <c r="C102" i="46"/>
  <c r="C103" i="46"/>
  <c r="D117" i="46"/>
  <c r="E117" i="46" s="1"/>
  <c r="F117" i="46" s="1"/>
  <c r="G117" i="46" s="1"/>
  <c r="H117" i="46" s="1"/>
  <c r="B115" i="46"/>
  <c r="C115" i="46" s="1"/>
  <c r="C109" i="46"/>
  <c r="K106" i="46"/>
  <c r="F106" i="46"/>
  <c r="K109" i="46"/>
  <c r="I118" i="46"/>
  <c r="J118" i="46" s="1"/>
  <c r="K118" i="46" s="1"/>
  <c r="L118" i="46" s="1"/>
  <c r="M118" i="46" s="1"/>
  <c r="G118" i="46"/>
  <c r="H118" i="46" s="1"/>
  <c r="D118" i="46"/>
  <c r="E118" i="46" s="1"/>
  <c r="F118" i="46" s="1"/>
  <c r="I115" i="46"/>
  <c r="J115" i="46" s="1"/>
  <c r="K115" i="46" s="1"/>
  <c r="L115" i="46" s="1"/>
  <c r="M115" i="46" s="1"/>
  <c r="D116" i="46"/>
  <c r="E116" i="46" s="1"/>
  <c r="F116" i="46" s="1"/>
  <c r="G116" i="46" s="1"/>
  <c r="H116" i="46" s="1"/>
  <c r="D115" i="46"/>
  <c r="E115" i="46" s="1"/>
  <c r="F115" i="46" s="1"/>
  <c r="G115" i="46" s="1"/>
  <c r="H115" i="46" s="1"/>
  <c r="K107" i="46"/>
  <c r="F107" i="46"/>
  <c r="K103" i="46"/>
  <c r="E107" i="46"/>
  <c r="E102" i="46"/>
  <c r="E103" i="46"/>
  <c r="E109" i="46"/>
  <c r="N103" i="46"/>
  <c r="N106" i="46"/>
  <c r="N109" i="46"/>
  <c r="N104" i="46"/>
  <c r="J105" i="46"/>
  <c r="J103" i="46"/>
  <c r="J107" i="46"/>
  <c r="J104" i="46"/>
  <c r="J109" i="46"/>
  <c r="J106" i="46"/>
  <c r="J102" i="46"/>
  <c r="F105" i="46"/>
  <c r="F102" i="46"/>
  <c r="F103" i="46"/>
  <c r="J60" i="15"/>
  <c r="Q49" i="15" s="1"/>
  <c r="I54" i="15"/>
  <c r="J57" i="15"/>
  <c r="J55" i="15" s="1"/>
  <c r="J58" i="15" s="1"/>
  <c r="Q51" i="15" s="1"/>
  <c r="J59" i="15"/>
  <c r="L59" i="15"/>
  <c r="J53" i="15"/>
  <c r="L57" i="15"/>
  <c r="L56" i="15"/>
  <c r="L60" i="15"/>
  <c r="D58" i="33"/>
  <c r="D46" i="36"/>
  <c r="E46" i="36" s="1"/>
  <c r="F46" i="36" s="1"/>
  <c r="G46" i="36" s="1"/>
  <c r="H46" i="36" s="1"/>
  <c r="I46" i="36" s="1"/>
  <c r="J46" i="36" s="1"/>
  <c r="K46" i="36" s="1"/>
  <c r="L46" i="36" s="1"/>
  <c r="M46" i="36" s="1"/>
  <c r="N46" i="36" s="1"/>
  <c r="O46" i="36" s="1"/>
  <c r="P24" i="46"/>
  <c r="B68" i="40" s="1"/>
  <c r="P22" i="46"/>
  <c r="P25" i="46"/>
  <c r="O19" i="46"/>
  <c r="M20" i="46"/>
  <c r="C19" i="46" s="1"/>
  <c r="P21" i="46"/>
  <c r="P23" i="46"/>
  <c r="B73" i="39" s="1"/>
  <c r="D59" i="34"/>
  <c r="E59" i="34" s="1"/>
  <c r="F59" i="34" s="1"/>
  <c r="G59" i="34" s="1"/>
  <c r="H59" i="34" s="1"/>
  <c r="I59" i="34" s="1"/>
  <c r="J59" i="34" s="1"/>
  <c r="K59" i="34" s="1"/>
  <c r="L59" i="34" s="1"/>
  <c r="M59" i="34" s="1"/>
  <c r="N59" i="34" s="1"/>
  <c r="O59" i="34" s="1"/>
  <c r="F7" i="34"/>
  <c r="C72" i="39"/>
  <c r="D70" i="39"/>
  <c r="D65" i="40"/>
  <c r="C67" i="40"/>
  <c r="C31" i="43"/>
  <c r="C30" i="44"/>
  <c r="C28" i="15"/>
  <c r="C27" i="43"/>
  <c r="C25" i="12"/>
  <c r="B40" i="1"/>
  <c r="N17" i="46"/>
  <c r="M17" i="46"/>
  <c r="F13" i="44"/>
  <c r="C12" i="44" s="1"/>
  <c r="C7" i="44" s="1"/>
  <c r="C34" i="44" s="1"/>
  <c r="M13" i="44"/>
  <c r="J12" i="44" s="1"/>
  <c r="J7" i="44" s="1"/>
  <c r="J26" i="44" s="1"/>
  <c r="M11" i="15"/>
  <c r="J10" i="15" s="1"/>
  <c r="J5" i="15" s="1"/>
  <c r="J18" i="15"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D3" i="6"/>
  <c r="D12" i="6"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288" i="3"/>
  <c r="AY371"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38" i="3"/>
  <c r="AY206" i="3"/>
  <c r="AY316"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E6" i="3"/>
  <c r="D10" i="6"/>
  <c r="C21" i="4"/>
  <c r="O5" i="54" s="1"/>
  <c r="B45" i="63" s="1"/>
  <c r="D10" i="11"/>
  <c r="D45" i="9"/>
  <c r="D16" i="43"/>
  <c r="C16" i="43" s="1"/>
  <c r="L38" i="9"/>
  <c r="B14" i="66" s="1"/>
  <c r="B1" i="66" s="1"/>
  <c r="D46" i="9"/>
  <c r="C33" i="21"/>
  <c r="E6" i="6"/>
  <c r="D16" i="12"/>
  <c r="O17" i="46"/>
  <c r="F33" i="12"/>
  <c r="F24" i="43"/>
  <c r="C26" i="43" s="1"/>
  <c r="D24" i="43" s="1"/>
  <c r="F18" i="11"/>
  <c r="C18" i="11" s="1"/>
  <c r="M16" i="1"/>
  <c r="N16" i="1" s="1"/>
  <c r="C29" i="43" s="1"/>
  <c r="O7" i="1"/>
  <c r="E65" i="39"/>
  <c r="E60" i="40"/>
  <c r="D13" i="6"/>
  <c r="E64" i="39"/>
  <c r="E59" i="40"/>
  <c r="E62" i="40"/>
  <c r="E67" i="39"/>
  <c r="E53" i="40"/>
  <c r="E16" i="6"/>
  <c r="E58" i="39"/>
  <c r="F27" i="6"/>
  <c r="E63" i="39"/>
  <c r="E58" i="40"/>
  <c r="E66" i="39"/>
  <c r="E61" i="40"/>
  <c r="F17" i="11"/>
  <c r="C17" i="11" s="1"/>
  <c r="F58" i="21"/>
  <c r="AB7" i="35"/>
  <c r="T38" i="35" s="1"/>
  <c r="G38" i="35" s="1"/>
  <c r="U7" i="35"/>
  <c r="F52" i="37"/>
  <c r="J12" i="40"/>
  <c r="H12" i="40"/>
  <c r="F12" i="40"/>
  <c r="J12" i="39"/>
  <c r="H12" i="39"/>
  <c r="F12" i="39"/>
  <c r="S7" i="35"/>
  <c r="AA7" i="35"/>
  <c r="R38" i="35" s="1"/>
  <c r="J7" i="35"/>
  <c r="C16" i="70"/>
  <c r="F7" i="36" l="1"/>
  <c r="C34" i="12"/>
  <c r="D33" i="12" s="1"/>
  <c r="H7" i="34"/>
  <c r="J7" i="34"/>
  <c r="J5" i="70"/>
  <c r="J24" i="70" s="1"/>
  <c r="C52" i="15"/>
  <c r="C47" i="15" s="1"/>
  <c r="C65" i="15" s="1"/>
  <c r="AC33" i="71"/>
  <c r="W33" i="71"/>
  <c r="U33" i="71"/>
  <c r="AB33" i="71"/>
  <c r="C48" i="70"/>
  <c r="Q61" i="70"/>
  <c r="Q74" i="70"/>
  <c r="Q67" i="70"/>
  <c r="Q58" i="70"/>
  <c r="J7" i="36"/>
  <c r="E58" i="71"/>
  <c r="AA33" i="71"/>
  <c r="S33" i="71"/>
  <c r="Q75" i="70"/>
  <c r="Q62" i="70"/>
  <c r="Q53" i="70"/>
  <c r="F1" i="70"/>
  <c r="J28" i="44"/>
  <c r="J31" i="44" s="1"/>
  <c r="Q67" i="44" s="1"/>
  <c r="F21" i="43"/>
  <c r="C23" i="43" s="1"/>
  <c r="D21" i="43" s="1"/>
  <c r="F24" i="70"/>
  <c r="C52" i="70"/>
  <c r="C47" i="70" s="1"/>
  <c r="C10" i="70"/>
  <c r="C5" i="70" s="1"/>
  <c r="J26" i="70"/>
  <c r="D113" i="46"/>
  <c r="D14" i="6"/>
  <c r="D11" i="6"/>
  <c r="D8" i="6"/>
  <c r="D15" i="6"/>
  <c r="C32" i="15"/>
  <c r="F26" i="44"/>
  <c r="C26" i="44" s="1"/>
  <c r="E65" i="40"/>
  <c r="D67" i="40"/>
  <c r="AA7" i="34"/>
  <c r="R49" i="34" s="1"/>
  <c r="S7" i="34"/>
  <c r="S7" i="36"/>
  <c r="AA7" i="36"/>
  <c r="R36" i="36" s="1"/>
  <c r="H7" i="36"/>
  <c r="E58" i="33"/>
  <c r="Q53" i="15"/>
  <c r="F1" i="15"/>
  <c r="E70" i="39"/>
  <c r="D72" i="39"/>
  <c r="AB7" i="34"/>
  <c r="T49" i="34" s="1"/>
  <c r="G49" i="34" s="1"/>
  <c r="U7" i="34"/>
  <c r="AC7" i="34"/>
  <c r="V49" i="34" s="1"/>
  <c r="I49" i="34" s="1"/>
  <c r="I53" i="34" s="1"/>
  <c r="J53" i="34" s="1"/>
  <c r="W7" i="34"/>
  <c r="C34" i="46"/>
  <c r="C29" i="46"/>
  <c r="T10" i="46"/>
  <c r="V10" i="46" s="1"/>
  <c r="T9" i="46"/>
  <c r="V9" i="46" s="1"/>
  <c r="C37" i="46"/>
  <c r="T3" i="46"/>
  <c r="V3" i="46" s="1"/>
  <c r="T12" i="46"/>
  <c r="V12" i="46" s="1"/>
  <c r="C39" i="46"/>
  <c r="E39" i="46" s="1"/>
  <c r="T6" i="46"/>
  <c r="V6" i="46" s="1"/>
  <c r="C35" i="46"/>
  <c r="T16" i="46"/>
  <c r="V16" i="46" s="1"/>
  <c r="C36" i="46"/>
  <c r="C38" i="46"/>
  <c r="C33" i="46"/>
  <c r="T14" i="46"/>
  <c r="V14" i="46" s="1"/>
  <c r="T13" i="46"/>
  <c r="V13" i="46" s="1"/>
  <c r="T5" i="46"/>
  <c r="V5" i="46" s="1"/>
  <c r="T7" i="46"/>
  <c r="V7" i="46" s="1"/>
  <c r="T11" i="46"/>
  <c r="V11" i="46" s="1"/>
  <c r="T2" i="46"/>
  <c r="V2" i="46" s="1"/>
  <c r="T4" i="46"/>
  <c r="V4" i="46" s="1"/>
  <c r="T8" i="46"/>
  <c r="V8" i="46" s="1"/>
  <c r="T15" i="46"/>
  <c r="V15" i="46" s="1"/>
  <c r="AC7" i="36"/>
  <c r="V36" i="36" s="1"/>
  <c r="I36" i="36" s="1"/>
  <c r="I40" i="36" s="1"/>
  <c r="J40" i="36" s="1"/>
  <c r="W7" i="36"/>
  <c r="Q58" i="15"/>
  <c r="Q67" i="15"/>
  <c r="Q75" i="15"/>
  <c r="Q62" i="15"/>
  <c r="F24" i="15"/>
  <c r="C24" i="15" s="1"/>
  <c r="F26" i="12"/>
  <c r="C27" i="12" s="1"/>
  <c r="D26" i="12" s="1"/>
  <c r="C32" i="12" s="1"/>
  <c r="D30" i="12" s="1"/>
  <c r="C40" i="44"/>
  <c r="J20" i="44"/>
  <c r="J24" i="15"/>
  <c r="J26" i="15"/>
  <c r="C59" i="15"/>
  <c r="F31" i="6"/>
  <c r="E27" i="6"/>
  <c r="D13" i="11"/>
  <c r="C13" i="11" s="1"/>
  <c r="D22" i="12"/>
  <c r="C22" i="12" s="1"/>
  <c r="C20" i="12" s="1"/>
  <c r="E63" i="40"/>
  <c r="K38" i="9"/>
  <c r="C14" i="66" s="1"/>
  <c r="B2" i="66" s="1"/>
  <c r="D24" i="6"/>
  <c r="D26" i="6"/>
  <c r="D22" i="6"/>
  <c r="D23" i="6"/>
  <c r="D28" i="6"/>
  <c r="D20" i="6"/>
  <c r="F46" i="9"/>
  <c r="E46" i="9"/>
  <c r="D19" i="6"/>
  <c r="D25" i="6"/>
  <c r="D29" i="6"/>
  <c r="C22" i="4"/>
  <c r="D21" i="6"/>
  <c r="D9" i="6"/>
  <c r="F45" i="9"/>
  <c r="E45" i="9"/>
  <c r="D6" i="6"/>
  <c r="D5" i="6"/>
  <c r="C16" i="12"/>
  <c r="D19" i="12"/>
  <c r="C19" i="12" s="1"/>
  <c r="F33" i="21"/>
  <c r="H33" i="21"/>
  <c r="J33" i="21"/>
  <c r="C8" i="66"/>
  <c r="C7" i="66"/>
  <c r="C19" i="11"/>
  <c r="C20" i="11" s="1"/>
  <c r="C21" i="11" s="1"/>
  <c r="C22" i="11" s="1"/>
  <c r="C23" i="11" s="1"/>
  <c r="B2" i="11" s="1"/>
  <c r="B4" i="11" s="1"/>
  <c r="P7" i="1"/>
  <c r="O16" i="1"/>
  <c r="L16" i="1"/>
  <c r="C13" i="43"/>
  <c r="E68" i="39"/>
  <c r="AC7" i="35"/>
  <c r="V38" i="35" s="1"/>
  <c r="I38" i="35" s="1"/>
  <c r="W7" i="35"/>
  <c r="U12" i="39"/>
  <c r="AB12" i="39"/>
  <c r="S12" i="40"/>
  <c r="AA12" i="40"/>
  <c r="AC12" i="40"/>
  <c r="W12" i="40"/>
  <c r="E38" i="35"/>
  <c r="R39" i="35"/>
  <c r="AA12" i="39"/>
  <c r="S12" i="39"/>
  <c r="AC12" i="39"/>
  <c r="W12" i="39"/>
  <c r="U12" i="40"/>
  <c r="AB12" i="40"/>
  <c r="G52" i="37"/>
  <c r="G42" i="35"/>
  <c r="H42" i="35" s="1"/>
  <c r="G43" i="35"/>
  <c r="H43" i="35" s="1"/>
  <c r="G58" i="21"/>
  <c r="AE7" i="1"/>
  <c r="AE9" i="1"/>
  <c r="L52" i="44"/>
  <c r="AE8" i="1"/>
  <c r="J18" i="70" l="1"/>
  <c r="F58" i="71"/>
  <c r="Q49" i="44"/>
  <c r="Q55" i="44" s="1"/>
  <c r="Q58" i="44"/>
  <c r="C38" i="70"/>
  <c r="C32" i="70"/>
  <c r="C24" i="70"/>
  <c r="C59" i="70"/>
  <c r="C65" i="70"/>
  <c r="D16" i="6"/>
  <c r="E33" i="46"/>
  <c r="G33" i="46"/>
  <c r="I33" i="46" s="1"/>
  <c r="E36" i="46"/>
  <c r="G36" i="46"/>
  <c r="I36" i="46" s="1"/>
  <c r="G35" i="46"/>
  <c r="I35" i="46" s="1"/>
  <c r="E35" i="46"/>
  <c r="E29" i="46"/>
  <c r="C30" i="46"/>
  <c r="E30" i="46" s="1"/>
  <c r="C27" i="46" s="1"/>
  <c r="U7" i="36"/>
  <c r="AB7" i="36"/>
  <c r="T36" i="36" s="1"/>
  <c r="G36" i="36" s="1"/>
  <c r="E49" i="34"/>
  <c r="R50" i="34"/>
  <c r="F65" i="40"/>
  <c r="E67" i="40"/>
  <c r="E38" i="46"/>
  <c r="G38" i="46"/>
  <c r="I38" i="46" s="1"/>
  <c r="E37" i="46"/>
  <c r="G37" i="46"/>
  <c r="I37" i="46" s="1"/>
  <c r="E34" i="46"/>
  <c r="G34" i="46"/>
  <c r="I34" i="46" s="1"/>
  <c r="G54" i="34"/>
  <c r="H54" i="34" s="1"/>
  <c r="G53" i="34"/>
  <c r="H53" i="34" s="1"/>
  <c r="F70" i="39"/>
  <c r="E72" i="39"/>
  <c r="F58" i="33"/>
  <c r="E36" i="36"/>
  <c r="R37" i="36"/>
  <c r="Q69" i="44"/>
  <c r="L58" i="44"/>
  <c r="L61" i="44" s="1"/>
  <c r="Q68" i="44" s="1"/>
  <c r="Q77" i="44" s="1"/>
  <c r="P16" i="1"/>
  <c r="C13" i="12" s="1"/>
  <c r="C17" i="12" s="1"/>
  <c r="C15" i="12"/>
  <c r="B3" i="11"/>
  <c r="B5" i="11"/>
  <c r="U33" i="21"/>
  <c r="AB33" i="21"/>
  <c r="A6" i="64"/>
  <c r="A20" i="64"/>
  <c r="N5" i="54"/>
  <c r="B43" i="63" s="1"/>
  <c r="A6" i="51"/>
  <c r="B7" i="63" s="1"/>
  <c r="A20" i="51"/>
  <c r="B15" i="63" s="1"/>
  <c r="D7" i="66"/>
  <c r="D8" i="66"/>
  <c r="K20" i="6"/>
  <c r="K26" i="6"/>
  <c r="M26" i="6" s="1"/>
  <c r="I26" i="6" s="1"/>
  <c r="K22" i="6"/>
  <c r="K25" i="6"/>
  <c r="M25" i="6" s="1"/>
  <c r="I25" i="6" s="1"/>
  <c r="K19" i="6"/>
  <c r="E31" i="6"/>
  <c r="K24" i="6"/>
  <c r="M24" i="6" s="1"/>
  <c r="I24" i="6" s="1"/>
  <c r="K23" i="6"/>
  <c r="M23" i="6" s="1"/>
  <c r="I23" i="6" s="1"/>
  <c r="K21" i="6"/>
  <c r="W33" i="21"/>
  <c r="AC33" i="21"/>
  <c r="S33" i="21"/>
  <c r="AA33" i="21"/>
  <c r="D27" i="6"/>
  <c r="D30" i="6"/>
  <c r="C14" i="43"/>
  <c r="C17" i="43"/>
  <c r="E43" i="35"/>
  <c r="F43" i="35" s="1"/>
  <c r="E42" i="35"/>
  <c r="F42" i="35" s="1"/>
  <c r="H58" i="21"/>
  <c r="H52" i="37"/>
  <c r="C38" i="35"/>
  <c r="C39" i="35"/>
  <c r="B3" i="35" s="1"/>
  <c r="B2" i="35" s="1"/>
  <c r="I42" i="35"/>
  <c r="J42" i="35" s="1"/>
  <c r="I43" i="35"/>
  <c r="J43" i="35" s="1"/>
  <c r="F41" i="15"/>
  <c r="F41" i="70"/>
  <c r="F7" i="67"/>
  <c r="J29" i="70" l="1"/>
  <c r="F68" i="70"/>
  <c r="G58" i="71"/>
  <c r="F68" i="15"/>
  <c r="J29" i="15"/>
  <c r="C33" i="70"/>
  <c r="Q59" i="44"/>
  <c r="Q64" i="44" s="1"/>
  <c r="C14" i="12"/>
  <c r="C18" i="12" s="1"/>
  <c r="C23" i="12" s="1"/>
  <c r="E4" i="67"/>
  <c r="C36" i="36"/>
  <c r="C37" i="36"/>
  <c r="B3" i="36" s="1"/>
  <c r="B2" i="36" s="1"/>
  <c r="G58" i="33"/>
  <c r="F72" i="39"/>
  <c r="G70" i="39"/>
  <c r="G65" i="40"/>
  <c r="F67" i="40"/>
  <c r="E53" i="34"/>
  <c r="F53" i="34" s="1"/>
  <c r="E54" i="34"/>
  <c r="F54" i="34" s="1"/>
  <c r="I54" i="34"/>
  <c r="J54" i="34" s="1"/>
  <c r="C26" i="46"/>
  <c r="E40" i="36"/>
  <c r="F40" i="36" s="1"/>
  <c r="E41" i="36"/>
  <c r="F41" i="36" s="1"/>
  <c r="I41" i="36"/>
  <c r="J41" i="36" s="1"/>
  <c r="C49" i="34"/>
  <c r="C50" i="34"/>
  <c r="B3" i="34" s="1"/>
  <c r="B2" i="34" s="1"/>
  <c r="G41" i="36"/>
  <c r="H41" i="36" s="1"/>
  <c r="G40" i="36"/>
  <c r="H40" i="36" s="1"/>
  <c r="M21" i="6"/>
  <c r="I21" i="6" s="1"/>
  <c r="S21" i="6" s="1"/>
  <c r="S8" i="1"/>
  <c r="M22" i="6"/>
  <c r="I22" i="6" s="1"/>
  <c r="H22" i="6" s="1"/>
  <c r="R22" i="6" s="1"/>
  <c r="R9" i="1" s="1"/>
  <c r="S9" i="1"/>
  <c r="D31" i="6"/>
  <c r="I6" i="6" s="1"/>
  <c r="C13" i="39" s="1"/>
  <c r="C18" i="43"/>
  <c r="C19" i="43" s="1"/>
  <c r="C25" i="43" s="1"/>
  <c r="C24" i="43" s="1"/>
  <c r="S23" i="6"/>
  <c r="H23" i="6"/>
  <c r="R23" i="6" s="1"/>
  <c r="S25" i="6"/>
  <c r="H25" i="6"/>
  <c r="R25" i="6" s="1"/>
  <c r="S26" i="6"/>
  <c r="H26" i="6"/>
  <c r="R26" i="6" s="1"/>
  <c r="S24" i="6"/>
  <c r="H24" i="6"/>
  <c r="R24" i="6" s="1"/>
  <c r="K27" i="6"/>
  <c r="M19" i="6"/>
  <c r="S6" i="1"/>
  <c r="S7" i="1"/>
  <c r="M20" i="6"/>
  <c r="I20" i="6" s="1"/>
  <c r="I52" i="37"/>
  <c r="I58" i="21"/>
  <c r="C17" i="70"/>
  <c r="E7" i="67"/>
  <c r="F35" i="70"/>
  <c r="M21" i="70"/>
  <c r="C17" i="15"/>
  <c r="J20" i="70" l="1"/>
  <c r="F62" i="70"/>
  <c r="C61" i="70" s="1"/>
  <c r="C34" i="70"/>
  <c r="C11" i="71"/>
  <c r="C11" i="21"/>
  <c r="H13" i="39"/>
  <c r="J13" i="39"/>
  <c r="F13" i="39"/>
  <c r="C31" i="70"/>
  <c r="H58" i="71"/>
  <c r="C60" i="70"/>
  <c r="I5" i="6"/>
  <c r="S22" i="6"/>
  <c r="H21" i="6"/>
  <c r="R21" i="6" s="1"/>
  <c r="R8" i="1" s="1"/>
  <c r="E3" i="67"/>
  <c r="G67" i="40"/>
  <c r="H65" i="40"/>
  <c r="G72" i="39"/>
  <c r="H70" i="39"/>
  <c r="B2" i="46"/>
  <c r="H58" i="33"/>
  <c r="M27" i="6"/>
  <c r="I19" i="6"/>
  <c r="S20" i="6"/>
  <c r="H20" i="6"/>
  <c r="R20" i="6" s="1"/>
  <c r="R7" i="1" s="1"/>
  <c r="S16" i="1"/>
  <c r="C22" i="43"/>
  <c r="C21" i="43" s="1"/>
  <c r="C28" i="43" s="1"/>
  <c r="C30" i="43" s="1"/>
  <c r="C32" i="43" s="1"/>
  <c r="B2" i="43" s="1"/>
  <c r="B3" i="43" s="1"/>
  <c r="J58" i="21"/>
  <c r="J52" i="37"/>
  <c r="B7" i="67"/>
  <c r="M21" i="15"/>
  <c r="F35" i="15"/>
  <c r="C58" i="70" l="1"/>
  <c r="I58" i="71"/>
  <c r="S13" i="39"/>
  <c r="AA13" i="39"/>
  <c r="AB13" i="39"/>
  <c r="U13" i="39"/>
  <c r="H11" i="71"/>
  <c r="J11" i="71"/>
  <c r="F11" i="71"/>
  <c r="AC13" i="39"/>
  <c r="W13" i="39"/>
  <c r="F11" i="21"/>
  <c r="H11" i="21"/>
  <c r="J11" i="21"/>
  <c r="B2" i="67"/>
  <c r="B4" i="46"/>
  <c r="D4" i="46"/>
  <c r="B3" i="46"/>
  <c r="I58" i="33"/>
  <c r="H72" i="39"/>
  <c r="I70" i="39"/>
  <c r="H67" i="40"/>
  <c r="I65" i="40"/>
  <c r="J20" i="15"/>
  <c r="C34" i="15"/>
  <c r="F62" i="15"/>
  <c r="C61" i="15" s="1"/>
  <c r="T10" i="1"/>
  <c r="T11" i="1"/>
  <c r="T9" i="1"/>
  <c r="T13" i="1"/>
  <c r="T8" i="1"/>
  <c r="T12" i="1"/>
  <c r="T6" i="1"/>
  <c r="H19" i="6"/>
  <c r="S19" i="6"/>
  <c r="S27" i="6" s="1"/>
  <c r="I27" i="6"/>
  <c r="T7" i="1"/>
  <c r="B5" i="43"/>
  <c r="B4" i="43"/>
  <c r="K52" i="37"/>
  <c r="K58" i="21"/>
  <c r="C14" i="15"/>
  <c r="C14" i="70"/>
  <c r="C16" i="44"/>
  <c r="C15" i="70" l="1"/>
  <c r="C18" i="70"/>
  <c r="U11" i="21"/>
  <c r="AB11" i="21"/>
  <c r="S11" i="71"/>
  <c r="AA11" i="71"/>
  <c r="AB11" i="71"/>
  <c r="U11" i="71"/>
  <c r="AC11" i="21"/>
  <c r="W11" i="21"/>
  <c r="S11" i="21"/>
  <c r="AA11" i="21"/>
  <c r="AC11" i="71"/>
  <c r="W11" i="71"/>
  <c r="J58" i="71"/>
  <c r="J65" i="40"/>
  <c r="I67" i="40"/>
  <c r="J70" i="39"/>
  <c r="I72" i="39"/>
  <c r="J58" i="33"/>
  <c r="B3" i="67"/>
  <c r="B4" i="67"/>
  <c r="C15" i="15"/>
  <c r="C18" i="15"/>
  <c r="C17" i="44"/>
  <c r="C20" i="44"/>
  <c r="T16" i="1"/>
  <c r="R19" i="6"/>
  <c r="H27" i="6"/>
  <c r="L58" i="21"/>
  <c r="L52" i="37"/>
  <c r="C19" i="70" l="1"/>
  <c r="C20" i="70" s="1"/>
  <c r="C26" i="70" s="1"/>
  <c r="K58" i="71"/>
  <c r="K58" i="33"/>
  <c r="K70" i="39"/>
  <c r="J72" i="39"/>
  <c r="J67" i="40"/>
  <c r="K65" i="40"/>
  <c r="C19" i="15"/>
  <c r="C21" i="44"/>
  <c r="C22" i="44" s="1"/>
  <c r="C25" i="44" s="1"/>
  <c r="C20" i="15"/>
  <c r="C23" i="15" s="1"/>
  <c r="R6" i="1"/>
  <c r="R16" i="1" s="1"/>
  <c r="R27" i="6"/>
  <c r="M52" i="37"/>
  <c r="N52" i="37" s="1"/>
  <c r="O52" i="37" s="1"/>
  <c r="J7" i="37" s="1"/>
  <c r="H7" i="37"/>
  <c r="M58" i="21"/>
  <c r="N58" i="21" s="1"/>
  <c r="O58" i="21" s="1"/>
  <c r="J7" i="21"/>
  <c r="L58" i="71" l="1"/>
  <c r="C23" i="70"/>
  <c r="C29" i="70" s="1"/>
  <c r="K67" i="40"/>
  <c r="L65" i="40"/>
  <c r="F7" i="37"/>
  <c r="S7" i="37" s="1"/>
  <c r="L70" i="39"/>
  <c r="K72" i="39"/>
  <c r="L58" i="33"/>
  <c r="C26" i="15"/>
  <c r="C29" i="15" s="1"/>
  <c r="C13" i="15" s="1"/>
  <c r="C28" i="44"/>
  <c r="C31" i="44" s="1"/>
  <c r="U7" i="37"/>
  <c r="AB7" i="37"/>
  <c r="T42" i="37" s="1"/>
  <c r="G42" i="37" s="1"/>
  <c r="AC7" i="37"/>
  <c r="V42" i="37" s="1"/>
  <c r="I42" i="37" s="1"/>
  <c r="W7" i="37"/>
  <c r="AC7" i="21"/>
  <c r="V48" i="21" s="1"/>
  <c r="I48" i="21" s="1"/>
  <c r="W7" i="21"/>
  <c r="F7" i="21"/>
  <c r="H7" i="21"/>
  <c r="AA7" i="37"/>
  <c r="R42" i="37" s="1"/>
  <c r="J19" i="70" l="1"/>
  <c r="J17" i="70" s="1"/>
  <c r="C56" i="70"/>
  <c r="C63" i="70" s="1"/>
  <c r="C36" i="70"/>
  <c r="Q50" i="70"/>
  <c r="J14" i="70"/>
  <c r="C13" i="70"/>
  <c r="M58" i="71"/>
  <c r="N58" i="71" s="1"/>
  <c r="O58" i="71" s="1"/>
  <c r="H7" i="71" s="1"/>
  <c r="J7" i="71"/>
  <c r="F7" i="71"/>
  <c r="M58" i="33"/>
  <c r="N58" i="33" s="1"/>
  <c r="O58" i="33" s="1"/>
  <c r="F7" i="33"/>
  <c r="M70" i="39"/>
  <c r="L72" i="39"/>
  <c r="M65" i="40"/>
  <c r="L67" i="40"/>
  <c r="C56" i="15"/>
  <c r="C60" i="15" s="1"/>
  <c r="C58" i="15" s="1"/>
  <c r="C36" i="15"/>
  <c r="Q50" i="15"/>
  <c r="J14" i="15"/>
  <c r="J13" i="15" s="1"/>
  <c r="J23" i="15" s="1"/>
  <c r="C33" i="15"/>
  <c r="C31" i="15" s="1"/>
  <c r="J19" i="15"/>
  <c r="J17" i="15" s="1"/>
  <c r="C35" i="44"/>
  <c r="C33" i="44" s="1"/>
  <c r="C15" i="44"/>
  <c r="Q51" i="44"/>
  <c r="J21" i="44"/>
  <c r="J19" i="44" s="1"/>
  <c r="C38" i="44"/>
  <c r="J16" i="44"/>
  <c r="C63" i="15"/>
  <c r="C37" i="15"/>
  <c r="Q71" i="15"/>
  <c r="J35" i="15"/>
  <c r="C55" i="15"/>
  <c r="C64" i="15" s="1"/>
  <c r="E42" i="37"/>
  <c r="I47" i="37" s="1"/>
  <c r="J47" i="37" s="1"/>
  <c r="R43" i="37"/>
  <c r="U7" i="21"/>
  <c r="AB7" i="21"/>
  <c r="T48" i="21" s="1"/>
  <c r="G48" i="21" s="1"/>
  <c r="G47" i="37"/>
  <c r="H47" i="37" s="1"/>
  <c r="G46" i="37"/>
  <c r="H46" i="37" s="1"/>
  <c r="S7" i="21"/>
  <c r="AA7" i="21"/>
  <c r="R48" i="21" s="1"/>
  <c r="I52" i="21"/>
  <c r="J52" i="21" s="1"/>
  <c r="I46" i="37"/>
  <c r="J46" i="37" s="1"/>
  <c r="AC7" i="71" l="1"/>
  <c r="V48" i="71" s="1"/>
  <c r="I48" i="71" s="1"/>
  <c r="I52" i="71" s="1"/>
  <c r="J52" i="71" s="1"/>
  <c r="W7" i="71"/>
  <c r="Q71" i="70"/>
  <c r="J35" i="70"/>
  <c r="C37" i="70"/>
  <c r="C55" i="70"/>
  <c r="C64" i="70" s="1"/>
  <c r="C57" i="70" s="1"/>
  <c r="C66" i="70" s="1"/>
  <c r="C67" i="70" s="1"/>
  <c r="AA7" i="71"/>
  <c r="R48" i="71" s="1"/>
  <c r="S7" i="71"/>
  <c r="AB7" i="71"/>
  <c r="T48" i="71" s="1"/>
  <c r="G48" i="71" s="1"/>
  <c r="U7" i="71"/>
  <c r="J13" i="70"/>
  <c r="J23" i="70" s="1"/>
  <c r="J22" i="70"/>
  <c r="C30" i="70"/>
  <c r="C39" i="70" s="1"/>
  <c r="S7" i="33"/>
  <c r="AA7" i="33"/>
  <c r="R48" i="33" s="1"/>
  <c r="M67" i="40"/>
  <c r="N65" i="40"/>
  <c r="N67" i="40" s="1"/>
  <c r="M72" i="39"/>
  <c r="N70" i="39"/>
  <c r="N72" i="39" s="1"/>
  <c r="J7" i="33"/>
  <c r="H7" i="33"/>
  <c r="C30" i="15"/>
  <c r="C39" i="15" s="1"/>
  <c r="C40" i="15" s="1"/>
  <c r="J22" i="15"/>
  <c r="J16" i="15" s="1"/>
  <c r="J25" i="15" s="1"/>
  <c r="C57" i="15"/>
  <c r="C66" i="15" s="1"/>
  <c r="C67" i="15" s="1"/>
  <c r="J24" i="44"/>
  <c r="J15" i="44"/>
  <c r="J25" i="44" s="1"/>
  <c r="C43" i="44"/>
  <c r="Q72" i="44"/>
  <c r="C39" i="44"/>
  <c r="C32" i="44" s="1"/>
  <c r="C42" i="44" s="1"/>
  <c r="E48" i="21"/>
  <c r="R49" i="21"/>
  <c r="G52" i="21"/>
  <c r="H52" i="21" s="1"/>
  <c r="G53" i="21"/>
  <c r="H53" i="21" s="1"/>
  <c r="C42" i="37"/>
  <c r="C43" i="37"/>
  <c r="B3" i="37" s="1"/>
  <c r="B2" i="37" s="1"/>
  <c r="E46" i="37"/>
  <c r="F46" i="37" s="1"/>
  <c r="E47" i="37"/>
  <c r="F47" i="37" s="1"/>
  <c r="Q70" i="15" l="1"/>
  <c r="Q69" i="15" s="1"/>
  <c r="J16" i="70"/>
  <c r="J25" i="70" s="1"/>
  <c r="Q70" i="70"/>
  <c r="Q69" i="70" s="1"/>
  <c r="C40" i="70"/>
  <c r="G53" i="71"/>
  <c r="H53" i="71" s="1"/>
  <c r="G52" i="71"/>
  <c r="H52" i="71" s="1"/>
  <c r="E48" i="71"/>
  <c r="R49" i="71"/>
  <c r="C70" i="70"/>
  <c r="C46" i="70"/>
  <c r="J39" i="70"/>
  <c r="J40" i="70" s="1"/>
  <c r="AB7" i="33"/>
  <c r="T48" i="33" s="1"/>
  <c r="G48" i="33" s="1"/>
  <c r="U7" i="33"/>
  <c r="J9" i="40"/>
  <c r="H9" i="40"/>
  <c r="F9" i="40"/>
  <c r="R49" i="33"/>
  <c r="E48" i="33"/>
  <c r="AC7" i="33"/>
  <c r="V48" i="33" s="1"/>
  <c r="I48" i="33" s="1"/>
  <c r="W7" i="33"/>
  <c r="F9" i="39"/>
  <c r="J9" i="39"/>
  <c r="H9" i="39"/>
  <c r="J39" i="15"/>
  <c r="J40" i="15" s="1"/>
  <c r="J18" i="44"/>
  <c r="J27" i="44" s="1"/>
  <c r="Q71" i="44"/>
  <c r="Q70" i="44" s="1"/>
  <c r="C44" i="44"/>
  <c r="C45" i="44" s="1"/>
  <c r="B2" i="44" s="1"/>
  <c r="C46" i="15"/>
  <c r="C70" i="15"/>
  <c r="B2" i="15"/>
  <c r="E10" i="12" s="1"/>
  <c r="Q48" i="15"/>
  <c r="Q54" i="15" s="1"/>
  <c r="C43" i="15"/>
  <c r="Q57" i="15"/>
  <c r="Q63" i="15" s="1"/>
  <c r="Q66" i="15"/>
  <c r="Q76" i="15" s="1"/>
  <c r="J42" i="15"/>
  <c r="J43" i="15" s="1"/>
  <c r="C48" i="21"/>
  <c r="C49" i="21"/>
  <c r="B3" i="21" s="1"/>
  <c r="C8" i="12" s="1"/>
  <c r="E53" i="21"/>
  <c r="F53" i="21" s="1"/>
  <c r="E52" i="21"/>
  <c r="F52" i="21" s="1"/>
  <c r="I53" i="21"/>
  <c r="J53" i="21" s="1"/>
  <c r="L51" i="15"/>
  <c r="L51" i="70"/>
  <c r="Q68" i="70" l="1"/>
  <c r="I53" i="71"/>
  <c r="J53" i="71" s="1"/>
  <c r="E53" i="71"/>
  <c r="F53" i="71" s="1"/>
  <c r="E52" i="71"/>
  <c r="F52" i="71" s="1"/>
  <c r="Q66" i="70"/>
  <c r="Q76" i="70" s="1"/>
  <c r="Q48" i="70"/>
  <c r="Q54" i="70" s="1"/>
  <c r="B2" i="70"/>
  <c r="Q57" i="70"/>
  <c r="Q63" i="70" s="1"/>
  <c r="C43" i="70"/>
  <c r="J42" i="70"/>
  <c r="J43" i="70" s="1"/>
  <c r="C49" i="71"/>
  <c r="B3" i="71" s="1"/>
  <c r="C48" i="71"/>
  <c r="Q68" i="15"/>
  <c r="U9" i="39"/>
  <c r="AB9" i="39"/>
  <c r="T49" i="39" s="1"/>
  <c r="G49" i="39" s="1"/>
  <c r="AB9" i="40"/>
  <c r="T44" i="40" s="1"/>
  <c r="G44" i="40" s="1"/>
  <c r="U9" i="40"/>
  <c r="S9" i="39"/>
  <c r="AA9" i="39"/>
  <c r="R49" i="39" s="1"/>
  <c r="I52" i="33"/>
  <c r="J52" i="33" s="1"/>
  <c r="I53" i="33"/>
  <c r="J53" i="33" s="1"/>
  <c r="C48" i="33"/>
  <c r="C49" i="33"/>
  <c r="B3" i="33" s="1"/>
  <c r="B2" i="33" s="1"/>
  <c r="AC9" i="39"/>
  <c r="V49" i="39" s="1"/>
  <c r="I49" i="39" s="1"/>
  <c r="I53" i="39" s="1"/>
  <c r="J53" i="39" s="1"/>
  <c r="W9" i="39"/>
  <c r="E52" i="33"/>
  <c r="F52" i="33" s="1"/>
  <c r="E53" i="33"/>
  <c r="F53" i="33" s="1"/>
  <c r="S9" i="40"/>
  <c r="AA9" i="40"/>
  <c r="R44" i="40" s="1"/>
  <c r="W9" i="40"/>
  <c r="AC9" i="40"/>
  <c r="V44" i="40" s="1"/>
  <c r="I44" i="40" s="1"/>
  <c r="G53" i="33"/>
  <c r="H53" i="33" s="1"/>
  <c r="G52" i="33"/>
  <c r="H52" i="33" s="1"/>
  <c r="B3" i="44"/>
  <c r="B4" i="44"/>
  <c r="B5" i="44"/>
  <c r="B3" i="15"/>
  <c r="B2" i="21"/>
  <c r="C10" i="12" s="1"/>
  <c r="D8" i="12" l="1"/>
  <c r="B2" i="71"/>
  <c r="D10" i="12" s="1"/>
  <c r="B3" i="70"/>
  <c r="F8" i="12" s="1"/>
  <c r="F10" i="12"/>
  <c r="C6" i="12" s="1"/>
  <c r="C24" i="12" s="1"/>
  <c r="E8" i="12"/>
  <c r="I48" i="40"/>
  <c r="J48" i="40" s="1"/>
  <c r="E44" i="40"/>
  <c r="I49" i="40" s="1"/>
  <c r="J49" i="40" s="1"/>
  <c r="R45" i="40"/>
  <c r="R50" i="39"/>
  <c r="E49" i="39"/>
  <c r="G53" i="39"/>
  <c r="H53" i="39" s="1"/>
  <c r="G54" i="39"/>
  <c r="H54" i="39" s="1"/>
  <c r="G48" i="40"/>
  <c r="H48" i="40" s="1"/>
  <c r="G49" i="40"/>
  <c r="H49" i="40" s="1"/>
  <c r="E54" i="39" l="1"/>
  <c r="F54" i="39" s="1"/>
  <c r="E53" i="39"/>
  <c r="F53" i="39" s="1"/>
  <c r="I54" i="39"/>
  <c r="J54" i="39" s="1"/>
  <c r="C45" i="40"/>
  <c r="C44" i="40"/>
  <c r="C50" i="39"/>
  <c r="C49" i="39"/>
  <c r="E48" i="40"/>
  <c r="F48" i="40" s="1"/>
  <c r="E49" i="40"/>
  <c r="F49" i="40" s="1"/>
  <c r="C29" i="12"/>
  <c r="C28" i="12"/>
  <c r="C26" i="12" s="1"/>
  <c r="C35" i="12"/>
  <c r="C33" i="12" s="1"/>
  <c r="C31" i="12" l="1"/>
  <c r="C30" i="12" s="1"/>
  <c r="C36" i="12" s="1"/>
  <c r="B2" i="12" s="1"/>
  <c r="B63" i="39"/>
  <c r="F63" i="39" s="1"/>
  <c r="B67" i="39"/>
  <c r="F67" i="39" s="1"/>
  <c r="B66" i="39"/>
  <c r="F66" i="39" s="1"/>
  <c r="B59" i="39"/>
  <c r="F59" i="39" s="1"/>
  <c r="B60" i="39"/>
  <c r="F60" i="39" s="1"/>
  <c r="B65" i="39"/>
  <c r="F65" i="39" s="1"/>
  <c r="B62" i="39"/>
  <c r="F62" i="39" s="1"/>
  <c r="B61" i="39"/>
  <c r="F61" i="39" s="1"/>
  <c r="B64" i="39"/>
  <c r="F64" i="39" s="1"/>
  <c r="B58" i="39"/>
  <c r="F58" i="39" s="1"/>
  <c r="B61" i="40"/>
  <c r="F61" i="40" s="1"/>
  <c r="B54" i="40"/>
  <c r="F54" i="40" s="1"/>
  <c r="B59" i="40"/>
  <c r="F59" i="40" s="1"/>
  <c r="B60" i="40"/>
  <c r="F60" i="40" s="1"/>
  <c r="B58" i="40"/>
  <c r="F58" i="40" s="1"/>
  <c r="B55" i="40"/>
  <c r="F55" i="40" s="1"/>
  <c r="B57" i="40"/>
  <c r="F57" i="40" s="1"/>
  <c r="B53" i="40"/>
  <c r="F53" i="40" s="1"/>
  <c r="B62" i="40"/>
  <c r="F62" i="40" s="1"/>
  <c r="B56" i="40"/>
  <c r="F56" i="40" s="1"/>
  <c r="F63" i="40"/>
  <c r="B2" i="40" s="1"/>
  <c r="D19" i="9"/>
  <c r="F68" i="39" l="1"/>
  <c r="B2" i="39" s="1"/>
  <c r="B5" i="39" s="1"/>
  <c r="B3" i="40"/>
  <c r="B5" i="40"/>
  <c r="B4" i="40"/>
  <c r="L44" i="9"/>
  <c r="B4" i="12"/>
  <c r="B3" i="12"/>
  <c r="B5" i="12"/>
  <c r="D21" i="9"/>
  <c r="D20" i="9"/>
  <c r="C19" i="9"/>
  <c r="B4" i="39" l="1"/>
  <c r="G19" i="9"/>
  <c r="N43" i="9" s="1"/>
  <c r="L43" i="9"/>
  <c r="D22" i="9"/>
  <c r="B3" i="39"/>
  <c r="C20" i="9"/>
  <c r="C21" i="9"/>
  <c r="C32" i="9" l="1"/>
  <c r="C33" i="9" s="1"/>
  <c r="G22" i="9"/>
  <c r="G21" i="9"/>
  <c r="G20" i="9"/>
  <c r="C42" i="9" l="1"/>
  <c r="D14" i="66" s="1"/>
  <c r="C34" i="9"/>
  <c r="M38" i="9" s="1"/>
  <c r="K27" i="9" s="1"/>
  <c r="C35" i="9"/>
  <c r="F42" i="9" s="1"/>
  <c r="O43" i="9"/>
  <c r="O38" i="9"/>
  <c r="N38" i="9"/>
  <c r="K28" i="9" s="1"/>
  <c r="D42" i="9"/>
  <c r="Q5" i="54" s="1"/>
  <c r="B47" i="63" s="1"/>
  <c r="E42" i="9"/>
  <c r="P5" i="54" s="1"/>
  <c r="B46" i="63" s="1"/>
  <c r="R5" i="54"/>
  <c r="B48" i="63" s="1"/>
  <c r="K26" i="9" l="1"/>
  <c r="R38" i="9"/>
  <c r="C44" i="9"/>
  <c r="F44" i="9" s="1"/>
  <c r="N68" i="9"/>
  <c r="D63" i="9"/>
  <c r="C96" i="9" s="1"/>
  <c r="C91" i="9" s="1"/>
  <c r="K25" i="9"/>
  <c r="D44" i="9"/>
  <c r="F14" i="66"/>
  <c r="B5" i="66"/>
  <c r="E14" i="66"/>
  <c r="O39" i="9" l="1"/>
  <c r="R6" i="54" s="1"/>
  <c r="B50" i="63" s="1"/>
  <c r="C103" i="9"/>
  <c r="N69" i="9"/>
  <c r="M83" i="9" s="1"/>
  <c r="N83" i="9" s="1"/>
  <c r="C82" i="9"/>
  <c r="C81" i="9" s="1"/>
  <c r="C85" i="9" s="1"/>
  <c r="C86" i="9" s="1"/>
  <c r="D72" i="9" s="1"/>
  <c r="G14" i="66"/>
  <c r="B6" i="66" s="1"/>
  <c r="C6" i="66" s="1"/>
  <c r="E44" i="9"/>
  <c r="C111" i="9"/>
  <c r="C104" i="9" s="1"/>
  <c r="D71" i="9"/>
  <c r="D66" i="9" s="1"/>
  <c r="N72" i="9" s="1"/>
  <c r="C90" i="9"/>
  <c r="C97" i="9" s="1"/>
  <c r="D77" i="9"/>
  <c r="N75" i="9" s="1"/>
  <c r="D70" i="9"/>
  <c r="D73" i="9"/>
  <c r="N73" i="9" s="1"/>
  <c r="D6" i="66"/>
  <c r="C5" i="66"/>
  <c r="D5" i="66"/>
  <c r="K29" i="9" l="1"/>
  <c r="K30" i="9" s="1"/>
  <c r="C113" i="9"/>
  <c r="M88" i="9"/>
  <c r="N88" i="9" s="1"/>
  <c r="M87" i="9"/>
  <c r="N87" i="9" s="1"/>
  <c r="M84" i="9"/>
  <c r="N84" i="9" s="1"/>
  <c r="M85" i="9"/>
  <c r="N85" i="9" s="1"/>
  <c r="M86" i="9"/>
  <c r="N86" i="9" s="1"/>
  <c r="C114" i="9"/>
  <c r="E114" i="9" s="1"/>
  <c r="E115" i="9" s="1"/>
  <c r="C98" i="9"/>
  <c r="E98" i="9" s="1"/>
  <c r="E99" i="9" s="1"/>
  <c r="N89" i="9" l="1"/>
  <c r="O89" i="9" s="1"/>
  <c r="C99" i="9"/>
  <c r="C115" i="9"/>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<sst xmlns="http://schemas.openxmlformats.org/spreadsheetml/2006/main" count="9648" uniqueCount="3525">
  <si>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</si>
  <si>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</si>
  <si>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</si>
  <si>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</si>
  <si>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</si>
  <si>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</si>
  <si>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</si>
  <si>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</si>
  <si>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</si>
  <si>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</si>
  <si>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</si>
  <si>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</si>
  <si>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</si>
  <si>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</si>
  <si>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</si>
  <si>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</si>
  <si>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</si>
  <si>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</si>
  <si>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</si>
  <si>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</si>
  <si>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</si>
  <si>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</si>
  <si>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</si>
  <si>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</si>
  <si>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</si>
  <si>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</si>
  <si>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</si>
  <si>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</si>
  <si>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</si>
  <si>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</si>
  <si>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</si>
  <si>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</si>
  <si>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</si>
  <si>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</si>
  <si>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</si>
  <si>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</si>
  <si>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</si>
  <si>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</si>
  <si>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</si>
  <si>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</si>
  <si>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</si>
  <si>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</si>
  <si>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</si>
  <si>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</si>
  <si>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</si>
  <si>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</si>
  <si>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</si>
  <si>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</si>
  <si>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</si>
  <si>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</si>
  <si>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</si>
  <si>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</si>
  <si>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</si>
  <si>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</si>
  <si>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</si>
  <si>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</si>
  <si>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</si>
  <si>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</si>
  <si>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</si>
  <si>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</si>
  <si>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</si>
  <si>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</si>
  <si>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</si>
  <si>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</si>
  <si>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</si>
  <si>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</si>
  <si>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</si>
  <si>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</si>
  <si>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</si>
  <si>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</si>
  <si>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</si>
  <si>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</si>
  <si>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</si>
  <si>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</si>
  <si>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</si>
  <si>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</si>
  <si>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</si>
  <si>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</si>
  <si>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</si>
  <si>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</si>
  <si>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</si>
  <si>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</si>
  <si>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</si>
  <si>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</si>
  <si>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</si>
  <si>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</si>
  <si>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</si>
  <si>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</si>
  <si>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</si>
  <si>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</si>
  <si>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</si>
  <si>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</si>
  <si>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</si>
  <si>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</si>
  <si>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</si>
  <si>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</si>
  <si>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</si>
  <si>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</si>
  <si>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</si>
  <si>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</si>
  <si>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</si>
  <si>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</si>
  <si>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</si>
  <si>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</si>
  <si>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</si>
  <si>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</si>
  <si>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</si>
  <si>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</si>
  <si>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</si>
  <si>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</si>
  <si>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</si>
  <si>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</si>
  <si>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</si>
  <si>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</si>
  <si>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</si>
  <si>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</si>
  <si>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</si>
  <si>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</si>
  <si>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</si>
  <si>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</si>
  <si>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</si>
  <si>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</si>
  <si>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</si>
  <si>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</si>
  <si>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</si>
  <si>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</si>
  <si>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</si>
  <si>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</si>
  <si>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</si>
  <si>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</si>
  <si>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</si>
  <si>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</si>
  <si>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</si>
  <si>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</si>
  <si>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</si>
  <si>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</si>
  <si>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</si>
  <si>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</si>
  <si>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</si>
  <si>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</si>
  <si>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</si>
  <si>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</si>
  <si>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</si>
  <si>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</si>
  <si>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</si>
  <si>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</si>
  <si>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</si>
  <si>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</si>
  <si>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</si>
  <si>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</si>
  <si>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</si>
  <si>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</si>
  <si>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</si>
  <si>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</si>
  <si>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</si>
  <si>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</si>
  <si>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</si>
  <si>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</si>
  <si>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</si>
  <si>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</si>
  <si>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</si>
  <si>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</si>
  <si>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</si>
  <si>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</si>
  <si>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</si>
  <si>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</si>
  <si>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</si>
  <si>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</si>
  <si>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</si>
  <si>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</si>
  <si>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</si>
  <si>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</si>
  <si>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</si>
  <si>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</si>
  <si>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</si>
  <si>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</si>
  <si>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</si>
  <si>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</si>
  <si>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</si>
  <si>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</si>
  <si>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</si>
  <si>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</si>
  <si>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</si>
  <si>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</si>
  <si>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</si>
  <si>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</si>
  <si>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</si>
  <si>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</si>
  <si>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</si>
  <si>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</si>
  <si>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</si>
  <si>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</si>
  <si>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</si>
  <si>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</si>
  <si>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</si>
  <si>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</si>
  <si>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</si>
  <si>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</si>
  <si>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</si>
  <si>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</si>
  <si>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</si>
  <si>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</si>
  <si>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</si>
  <si>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</si>
  <si>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</si>
  <si>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</si>
  <si>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</si>
  <si>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</si>
  <si>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</si>
  <si>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</si>
  <si>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</si>
  <si>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</si>
  <si>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</si>
  <si>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</si>
  <si>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</si>
  <si>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</si>
  <si>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</si>
  <si>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</si>
  <si>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</si>
  <si>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</si>
  <si>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</si>
  <si>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</si>
  <si>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</si>
  <si>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</si>
  <si>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</si>
  <si>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</si>
  <si>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</si>
  <si>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</si>
  <si>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</si>
  <si>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</si>
  <si>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</si>
  <si>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</si>
  <si>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</si>
  <si>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</si>
  <si>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</si>
  <si>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</si>
  <si>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</si>
  <si>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</si>
  <si>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</si>
  <si>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</si>
  <si>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</si>
  <si>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</si>
  <si>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</si>
  <si>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</si>
  <si>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</si>
  <si>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</si>
  <si>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</si>
  <si>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</si>
  <si>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</si>
  <si>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</si>
  <si>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</si>
  <si>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</si>
  <si>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</si>
  <si>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</si>
  <si>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</si>
  <si>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</si>
  <si>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</si>
  <si>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</si>
  <si>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</si>
  <si>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</si>
  <si>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</si>
  <si>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</si>
  <si>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</si>
  <si>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</si>
  <si>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</si>
  <si>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</si>
  <si>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</si>
  <si>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</si>
  <si>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</si>
  <si>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</si>
  <si>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</si>
  <si>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</si>
  <si>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</si>
  <si>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</si>
  <si>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</si>
  <si>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</si>
  <si>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</si>
  <si>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</si>
  <si>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</si>
  <si>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</si>
  <si>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</si>
  <si>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</si>
  <si>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</si>
  <si>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</si>
  <si>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</si>
  <si>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</si>
  <si>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</si>
  <si>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</si>
  <si>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</si>
  <si>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</si>
  <si>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</si>
  <si>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</si>
  <si>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</si>
  <si>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</si>
  <si>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</si>
  <si>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</si>
  <si>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</si>
  <si>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</si>
  <si>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</si>
  <si>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</si>
  <si>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</si>
  <si>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</si>
  <si>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</si>
  <si>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</si>
  <si>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</si>
  <si>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</si>
  <si>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</si>
  <si>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</si>
  <si>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</si>
  <si>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</si>
  <si>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</si>
  <si>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</si>
  <si>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</si>
  <si>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</si>
  <si>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</si>
  <si>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</si>
  <si>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</si>
  <si>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</si>
  <si>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</si>
  <si>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</si>
  <si>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</si>
  <si>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</si>
  <si>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</si>
  <si>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</si>
  <si>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</si>
  <si>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</si>
  <si>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</si>
  <si>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</si>
  <si>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</si>
  <si>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</si>
  <si>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</si>
  <si>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</si>
  <si>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</si>
  <si>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</si>
  <si>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</si>
  <si>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</si>
  <si>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</si>
  <si>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</si>
  <si>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</si>
  <si>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</si>
  <si>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</si>
  <si>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</si>
  <si>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</si>
  <si>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</si>
  <si>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</si>
  <si>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</si>
  <si>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</si>
  <si>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</si>
  <si>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</si>
  <si>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</si>
  <si>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</si>
  <si>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</si>
  <si>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</si>
  <si>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</si>
  <si>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</si>
  <si>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</si>
  <si>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</si>
  <si>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</si>
  <si>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</si>
  <si>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</si>
  <si>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</si>
  <si>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</si>
  <si>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</si>
  <si>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</si>
  <si>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</si>
  <si>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</si>
  <si>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</si>
  <si>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</si>
  <si>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</si>
  <si>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</si>
  <si>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</si>
  <si>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</si>
  <si>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</si>
  <si>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</si>
  <si>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</si>
  <si>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</si>
  <si>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</si>
  <si>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</si>
  <si>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</si>
  <si>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</si>
  <si>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</si>
  <si>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</si>
  <si>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</si>
  <si>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</si>
  <si>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</si>
  <si>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</si>
  <si>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</si>
  <si>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</si>
  <si>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</si>
  <si>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</si>
  <si>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</si>
  <si>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</si>
  <si>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</si>
  <si>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</si>
  <si>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</si>
  <si>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</si>
  <si>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</si>
  <si>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</si>
  <si>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</si>
  <si>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</si>
  <si>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</si>
  <si>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</si>
  <si>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</si>
  <si>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</si>
  <si>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</si>
  <si>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</si>
  <si>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</si>
  <si>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</si>
  <si>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</si>
  <si>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</si>
  <si>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</si>
  <si>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</si>
  <si>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</si>
  <si>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</si>
  <si>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</si>
  <si>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</si>
  <si>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</si>
  <si>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</si>
  <si>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</si>
  <si>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</si>
  <si>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</si>
  <si>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</si>
  <si>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</si>
  <si>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</si>
  <si>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</si>
  <si>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</si>
  <si>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</si>
  <si>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</si>
  <si>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</si>
  <si>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</si>
  <si>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</si>
  <si>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</si>
  <si>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</si>
  <si>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</si>
  <si>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</si>
  <si>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</si>
  <si>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</si>
  <si>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</si>
  <si>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</si>
  <si>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</si>
  <si>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</si>
  <si>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</si>
  <si>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</si>
  <si>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</si>
  <si>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</si>
  <si>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</si>
  <si>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</si>
  <si>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</si>
  <si>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</si>
  <si>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</si>
  <si>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</si>
  <si>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</si>
  <si>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</si>
  <si>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</si>
  <si>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</si>
  <si>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</si>
  <si>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</si>
  <si>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</si>
  <si>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</si>
  <si>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</si>
  <si>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</si>
  <si>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</si>
  <si>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</si>
  <si>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</si>
  <si>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</si>
  <si>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</si>
  <si>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</si>
  <si>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</si>
  <si>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</si>
  <si>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</si>
  <si>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</si>
  <si>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</si>
  <si>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</si>
  <si>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</si>
  <si>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</si>
  <si>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</si>
  <si>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</si>
  <si>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</si>
  <si>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</si>
  <si>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</si>
  <si>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</si>
  <si>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</si>
  <si>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</si>
  <si>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</si>
  <si>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</si>
  <si>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</si>
  <si>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</si>
  <si>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</si>
  <si>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</si>
  <si>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</si>
  <si>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</si>
  <si>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</si>
  <si>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</si>
  <si>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</si>
  <si>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</si>
  <si>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</si>
  <si>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</si>
  <si>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</si>
  <si>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</si>
  <si>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</si>
  <si>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</si>
  <si>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</si>
  <si>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</si>
  <si>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</si>
  <si>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</si>
  <si>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</si>
  <si>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</si>
  <si>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</si>
  <si>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</si>
  <si>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</si>
  <si>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</si>
  <si>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</si>
  <si>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</si>
  <si>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</si>
  <si>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</si>
  <si>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</si>
  <si>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</si>
  <si>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</si>
  <si>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</si>
  <si>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</si>
  <si>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</si>
  <si>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</si>
  <si>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</si>
  <si>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</si>
  <si>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</si>
  <si>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</si>
  <si>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</si>
  <si>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</si>
  <si>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</si>
  <si>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</si>
  <si>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</si>
  <si>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</si>
  <si>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</si>
  <si>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</si>
  <si>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</si>
  <si>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</si>
  <si>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</si>
  <si>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</si>
  <si>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</si>
  <si>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</si>
  <si>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</si>
  <si>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</si>
  <si>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</si>
  <si>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</si>
  <si>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</si>
  <si>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</si>
  <si>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</si>
  <si>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</si>
  <si>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</si>
  <si>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</si>
  <si>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</si>
  <si>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</si>
  <si>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</si>
  <si>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</si>
  <si>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</si>
  <si>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</si>
  <si>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</si>
  <si>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</si>
  <si>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</si>
  <si>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</si>
  <si>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</si>
  <si>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</si>
  <si>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</si>
  <si>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</si>
  <si>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</si>
  <si>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</si>
  <si>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</si>
  <si>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</si>
  <si>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</si>
  <si>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</si>
  <si>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</si>
  <si>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</si>
  <si>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</si>
  <si>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</si>
  <si>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</si>
  <si>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</si>
  <si>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</si>
  <si>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</si>
  <si>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</si>
  <si>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</si>
  <si>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</si>
  <si>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</si>
  <si>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</si>
  <si>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</si>
  <si>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</si>
  <si>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</si>
  <si>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</si>
  <si>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</si>
  <si>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</si>
  <si>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</si>
  <si>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</si>
  <si>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</si>
  <si>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</si>
  <si>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</si>
  <si>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</si>
  <si>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</si>
  <si>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</si>
  <si>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</si>
  <si>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</si>
  <si>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</si>
  <si>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</si>
  <si>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</si>
  <si>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</si>
  <si>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</si>
  <si>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</si>
  <si>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</si>
  <si>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</si>
  <si>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</si>
  <si>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</si>
  <si>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</si>
  <si>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</si>
  <si>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</si>
  <si>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</si>
  <si>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</si>
  <si>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</si>
  <si>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</si>
  <si>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</si>
  <si>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</si>
  <si>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</si>
  <si>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</si>
  <si>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</si>
  <si>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</si>
  <si>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</si>
  <si>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</si>
  <si>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</si>
  <si>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</si>
  <si>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</si>
  <si>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</si>
  <si>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</si>
  <si>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</si>
  <si>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</si>
  <si>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</si>
  <si>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</si>
  <si>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</si>
  <si>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</si>
  <si>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</si>
  <si>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</si>
  <si>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</si>
  <si>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</si>
  <si>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</si>
  <si>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</si>
  <si>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</si>
  <si>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</si>
  <si>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</si>
  <si>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</si>
  <si>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</si>
  <si>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</si>
  <si>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</si>
  <si>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</si>
  <si>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</si>
  <si>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</si>
  <si>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</si>
  <si>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</si>
  <si>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</si>
  <si>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</si>
  <si>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</si>
  <si>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</si>
  <si>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</si>
  <si>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</si>
  <si>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</si>
  <si>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</si>
  <si>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</si>
  <si>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</si>
  <si>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</si>
  <si>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</si>
  <si>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</si>
  <si>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</si>
  <si>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</si>
  <si>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</si>
  <si>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</si>
  <si>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</si>
  <si>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</si>
  <si>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</si>
  <si>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</si>
  <si>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</si>
  <si>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</si>
  <si>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</si>
  <si>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</si>
  <si>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</si>
  <si>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</si>
  <si>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</si>
  <si>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</si>
  <si>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</si>
  <si>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</si>
  <si>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</si>
  <si>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</si>
  <si>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</si>
  <si>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</si>
  <si>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</si>
  <si>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</si>
  <si>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</si>
  <si>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</si>
  <si>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</si>
  <si>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</si>
  <si>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</si>
  <si>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</si>
  <si>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</si>
  <si>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</si>
  <si>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</si>
  <si>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</si>
  <si>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</si>
  <si>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</si>
  <si>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</si>
  <si>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</si>
  <si>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</si>
  <si>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</si>
  <si>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</si>
  <si>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</si>
  <si>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</si>
  <si>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</si>
  <si>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</si>
  <si>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</si>
  <si>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</si>
  <si>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</si>
  <si>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</si>
  <si>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</si>
  <si>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</si>
  <si>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</si>
  <si>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</si>
  <si>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</si>
  <si>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</si>
  <si>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</si>
  <si>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</si>
  <si>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</si>
  <si>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</si>
  <si>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</si>
  <si>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</si>
  <si>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</si>
  <si>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</si>
  <si>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</si>
  <si>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</si>
  <si>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</si>
  <si>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</si>
  <si>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</si>
  <si>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</si>
  <si>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</si>
  <si>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</si>
  <si>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</si>
  <si>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</si>
  <si>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</si>
  <si>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</si>
  <si>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</si>
  <si>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</si>
  <si>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</si>
  <si>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</si>
  <si>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</si>
  <si>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</si>
  <si>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</si>
  <si>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</si>
  <si>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</si>
  <si>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</si>
  <si>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</si>
  <si>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</si>
  <si>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</si>
  <si>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</si>
  <si>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</si>
  <si>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</si>
  <si>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</si>
  <si>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</si>
  <si>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</si>
  <si>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</si>
  <si>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</si>
  <si>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</si>
  <si>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</si>
  <si>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</si>
  <si>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</si>
  <si>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</si>
  <si>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</si>
  <si>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</si>
  <si>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</si>
  <si>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</si>
  <si>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</si>
  <si>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</si>
  <si>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</si>
  <si>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</si>
  <si>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</si>
  <si>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</si>
  <si>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</si>
  <si>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</si>
  <si>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</si>
  <si>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</si>
  <si>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</si>
  <si>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</si>
  <si>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</si>
  <si>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</si>
  <si>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</si>
  <si>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</si>
  <si>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</si>
  <si>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</si>
  <si>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</si>
  <si>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</si>
  <si>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</si>
  <si>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</si>
  <si>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</si>
  <si>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</si>
  <si>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</si>
  <si>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</si>
  <si>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</si>
  <si>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</si>
  <si>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</si>
  <si>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</si>
  <si>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</si>
  <si>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</si>
  <si>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</si>
  <si>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</si>
  <si>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</si>
  <si>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</si>
  <si>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</si>
  <si>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</si>
  <si>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</si>
  <si>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</si>
  <si>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</si>
  <si>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</si>
  <si>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</si>
  <si>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</si>
  <si>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</si>
  <si>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</si>
  <si>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</si>
  <si>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</si>
  <si>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</si>
  <si>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</si>
  <si>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</si>
  <si>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</si>
  <si>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</si>
  <si>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</si>
  <si>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</si>
  <si>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</si>
  <si>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</si>
  <si>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</si>
  <si>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</si>
  <si>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</si>
  <si>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</si>
  <si>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</si>
  <si>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</si>
  <si>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</si>
  <si>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</si>
  <si>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</si>
  <si>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</si>
  <si>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</si>
  <si>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</si>
  <si>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</si>
  <si>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</si>
  <si>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</si>
  <si>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</si>
  <si>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</si>
  <si>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</si>
  <si>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</si>
  <si>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</si>
  <si>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</si>
  <si>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</si>
  <si>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</si>
  <si>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</si>
  <si>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</si>
  <si>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</si>
  <si>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</si>
  <si>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</si>
  <si>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</si>
  <si>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</si>
  <si>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</si>
  <si>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</si>
  <si>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</si>
  <si>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</si>
  <si>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</si>
  <si>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</si>
  <si>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</si>
  <si>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</si>
  <si>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</si>
  <si>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</si>
  <si>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</si>
  <si>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</si>
  <si>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</si>
  <si>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</si>
  <si>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</si>
  <si>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</si>
  <si>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</si>
  <si>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</si>
  <si>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</si>
  <si>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</si>
  <si>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</si>
  <si>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</si>
  <si>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</si>
  <si>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</si>
  <si>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</si>
  <si>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</si>
  <si>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</si>
  <si>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</si>
  <si>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</si>
  <si>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</si>
  <si>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</si>
  <si>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</si>
  <si>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</si>
  <si>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</si>
  <si>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</si>
  <si>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</si>
  <si>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</si>
  <si>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</si>
  <si>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</si>
  <si>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</si>
  <si>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</si>
  <si>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</si>
  <si>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</si>
  <si>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</si>
  <si>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</si>
  <si>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</si>
  <si>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</si>
  <si>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</si>
  <si>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</si>
  <si>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</si>
  <si>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</si>
  <si>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</si>
  <si>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</si>
  <si>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</si>
  <si>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</si>
  <si>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</si>
  <si>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</si>
  <si>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</si>
  <si>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</si>
  <si>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</si>
  <si>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</si>
  <si>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</si>
  <si>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</si>
  <si>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</si>
  <si>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</si>
  <si>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</si>
  <si>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</si>
  <si>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</si>
  <si>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</si>
  <si>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</si>
  <si>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</si>
  <si>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</si>
  <si>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</si>
  <si>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</si>
  <si>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</si>
  <si>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</si>
  <si>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</si>
  <si>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</si>
  <si>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</si>
  <si>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</si>
  <si>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</si>
  <si>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</si>
  <si>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</si>
  <si>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</si>
  <si>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</si>
  <si>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</si>
  <si>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</si>
  <si>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</si>
  <si>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</si>
  <si>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</si>
  <si>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</si>
  <si>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</si>
  <si>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</si>
  <si>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</si>
  <si>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</si>
  <si>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</si>
  <si>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</si>
  <si>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</si>
  <si>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</si>
  <si>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</si>
  <si>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</si>
  <si>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</si>
  <si>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</si>
  <si>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</si>
  <si>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</si>
  <si>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</si>
  <si>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</si>
  <si>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</si>
  <si>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</si>
  <si>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</si>
  <si>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</si>
  <si>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</si>
  <si>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</si>
  <si>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</si>
  <si>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</si>
  <si>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</si>
  <si>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</si>
  <si>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</si>
  <si>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</si>
  <si>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</si>
  <si>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</si>
  <si>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</si>
  <si>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</si>
  <si>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</si>
  <si>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</si>
  <si>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</si>
  <si>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</si>
  <si>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</si>
  <si>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</si>
  <si>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</si>
  <si>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</si>
  <si>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</si>
  <si>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</si>
  <si>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</si>
  <si>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</si>
  <si>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</si>
  <si>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</si>
  <si>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</si>
  <si>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</si>
  <si>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</si>
  <si>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</si>
  <si>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</si>
  <si>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</si>
  <si>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</si>
  <si>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</si>
  <si>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</si>
  <si>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</si>
  <si>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</si>
  <si>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</si>
  <si>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</si>
  <si>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</si>
  <si>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</si>
  <si>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</si>
  <si>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</si>
  <si>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</si>
  <si>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</si>
  <si>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</si>
  <si>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</si>
  <si>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</si>
  <si>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</si>
  <si>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</si>
  <si>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</si>
  <si>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</si>
  <si>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</si>
  <si>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</si>
  <si>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</si>
  <si>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</si>
  <si>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</si>
  <si>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</si>
  <si>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</si>
  <si>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</si>
  <si>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</si>
  <si>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</si>
  <si>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</si>
  <si>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</si>
  <si>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</si>
  <si>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</si>
  <si>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</si>
  <si>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</si>
  <si>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</si>
  <si>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</si>
  <si>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</si>
  <si>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</si>
  <si>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</si>
  <si>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</si>
  <si>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</si>
  <si>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</si>
  <si>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</si>
  <si>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</si>
  <si>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</si>
  <si>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</si>
  <si>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</si>
  <si>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</si>
  <si>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</si>
  <si>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</si>
  <si>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</si>
  <si>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</si>
  <si>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</si>
  <si>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</si>
  <si>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</si>
  <si>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</si>
  <si>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</si>
  <si>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</si>
  <si>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</si>
  <si>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</si>
  <si>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</si>
  <si>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</si>
  <si>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</si>
  <si>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</si>
  <si>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</si>
  <si>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</si>
  <si>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</si>
  <si>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</si>
  <si>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</si>
  <si>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</si>
  <si>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</si>
  <si>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</si>
  <si>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</si>
  <si>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</si>
  <si>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</si>
  <si>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</si>
  <si>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</si>
  <si>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</si>
  <si>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</si>
  <si>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</si>
  <si>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</si>
  <si>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</si>
  <si>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</si>
  <si>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</si>
  <si>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</si>
  <si>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</si>
  <si>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</si>
  <si>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</si>
  <si>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</si>
  <si>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</si>
  <si>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</si>
  <si>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</si>
  <si>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</si>
  <si>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</si>
  <si>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</si>
  <si>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</si>
  <si>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</si>
  <si>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</si>
  <si>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</si>
  <si>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</si>
  <si>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</si>
  <si>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</si>
  <si>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</si>
  <si>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</si>
  <si>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</si>
  <si>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</si>
  <si>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</si>
  <si>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</si>
  <si>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</si>
  <si>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</si>
  <si>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</si>
  <si>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</si>
  <si>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</si>
  <si>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</si>
  <si>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</si>
  <si>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</si>
  <si>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</si>
  <si>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</si>
  <si>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</si>
  <si>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</si>
  <si>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</si>
  <si>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</si>
  <si>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</si>
  <si>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</si>
  <si>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</si>
  <si>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</si>
  <si>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</si>
  <si>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</si>
  <si>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</si>
  <si>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</si>
  <si>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</si>
  <si>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</si>
  <si>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</si>
  <si>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</si>
  <si>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</si>
  <si>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</si>
  <si>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</si>
  <si>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</si>
  <si>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</si>
  <si>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</si>
  <si>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</si>
  <si>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</si>
  <si>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</si>
  <si>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</si>
  <si>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</si>
  <si>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</si>
  <si>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</si>
  <si>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</si>
  <si>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</si>
  <si>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</si>
  <si>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</si>
  <si>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</si>
  <si>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</si>
  <si>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</si>
  <si>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</si>
  <si>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</si>
  <si>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</si>
  <si>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</si>
  <si>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</si>
  <si>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</si>
  <si>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</si>
  <si>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</si>
  <si>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</si>
  <si>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</si>
  <si>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</si>
  <si>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</si>
  <si>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</si>
  <si>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</si>
  <si>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</si>
  <si>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</si>
  <si>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</si>
  <si>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</si>
  <si>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</si>
  <si>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</si>
  <si>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</si>
  <si>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</si>
  <si>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</si>
  <si>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</si>
  <si>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</si>
  <si>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</si>
  <si>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</si>
  <si>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</si>
  <si>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</si>
  <si>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</si>
  <si>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</si>
  <si>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</si>
  <si>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</si>
  <si>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</si>
  <si>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</si>
  <si>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</si>
  <si>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</si>
  <si>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</si>
  <si>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</si>
  <si>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</si>
  <si>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</si>
  <si>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</si>
  <si>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</si>
  <si>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</si>
  <si>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</si>
  <si>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</si>
  <si>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</si>
  <si>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</si>
  <si>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</si>
  <si>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</si>
  <si>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</si>
  <si>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</si>
  <si>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</si>
  <si>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</si>
  <si>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</si>
  <si>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</si>
  <si>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</si>
  <si>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</si>
  <si>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</si>
  <si>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</si>
  <si>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</si>
  <si>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</si>
  <si>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</si>
  <si>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</si>
  <si>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</si>
  <si>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</si>
  <si>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</si>
  <si>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</si>
  <si>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</si>
  <si>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</si>
  <si>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</si>
  <si>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</si>
  <si>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</si>
  <si>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</si>
  <si>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</si>
  <si>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</si>
  <si>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</si>
  <si>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</si>
  <si>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</si>
  <si>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</si>
  <si>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</si>
  <si>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</si>
  <si>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</si>
  <si>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</si>
  <si>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</si>
  <si>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</si>
  <si>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</si>
  <si>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</si>
  <si>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</si>
  <si>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</si>
  <si>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</si>
  <si>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</si>
  <si>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</si>
  <si>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</si>
  <si>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</si>
  <si>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</si>
  <si>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</si>
  <si>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</si>
  <si>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</si>
  <si>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</si>
  <si>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</si>
  <si>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</si>
  <si>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</si>
  <si>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</si>
  <si>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</si>
  <si>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</si>
  <si>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</si>
  <si>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</si>
  <si>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</si>
  <si>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</si>
  <si>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</si>
  <si>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</si>
  <si>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</si>
  <si>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</si>
  <si>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</si>
  <si>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</si>
  <si>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</si>
  <si>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</si>
  <si>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</si>
  <si>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</si>
  <si>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</si>
  <si>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</si>
  <si>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</si>
  <si>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</si>
  <si>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</si>
  <si>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</si>
  <si>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</si>
  <si>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</si>
  <si>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</si>
  <si>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</si>
  <si>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</si>
  <si>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</si>
  <si>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</si>
  <si>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</si>
  <si>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</si>
  <si>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</si>
  <si>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</si>
  <si>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</si>
  <si>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</si>
  <si>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</si>
  <si>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</si>
  <si>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</si>
  <si>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</si>
  <si>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</si>
  <si>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</si>
  <si>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</si>
  <si>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</si>
  <si>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</si>
  <si>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</si>
  <si>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</si>
  <si>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</si>
  <si>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</si>
  <si>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</si>
  <si>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</si>
  <si>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</si>
  <si>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</si>
  <si>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</si>
  <si>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</si>
  <si>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</si>
  <si>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</si>
  <si>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</si>
  <si>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</si>
  <si>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</si>
  <si>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</si>
  <si>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</si>
  <si>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</si>
  <si>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</si>
  <si>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</si>
  <si>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</si>
  <si>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</si>
  <si>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</si>
  <si>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</si>
  <si>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</si>
  <si>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</si>
  <si>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</si>
  <si>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</si>
  <si>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</si>
  <si>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</si>
  <si>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</si>
  <si>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</si>
  <si>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</si>
  <si>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</si>
  <si>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</si>
  <si>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</si>
  <si>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</si>
  <si>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</si>
  <si>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</si>
  <si>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</si>
  <si>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</si>
  <si>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</si>
  <si>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</si>
  <si>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</si>
  <si>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</si>
  <si>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</si>
  <si>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</si>
  <si>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</si>
  <si>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</si>
  <si>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</si>
  <si>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</si>
  <si>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</si>
  <si>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</si>
  <si>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</si>
  <si>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</si>
  <si>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</si>
  <si>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</si>
  <si>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</si>
  <si>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</si>
  <si>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</si>
  <si>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</si>
  <si>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</si>
  <si>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</si>
  <si>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</si>
  <si>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</si>
  <si>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</si>
  <si>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</si>
  <si>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</si>
  <si>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</si>
  <si>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</si>
  <si>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</si>
  <si>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</si>
  <si>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</si>
  <si>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</si>
  <si>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</si>
  <si>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</si>
  <si>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</si>
  <si>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</si>
  <si>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</si>
  <si>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</si>
  <si>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</si>
  <si>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</si>
  <si>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</si>
  <si>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</si>
  <si>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</si>
  <si>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</si>
  <si>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</si>
  <si>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</si>
  <si>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</si>
  <si>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</si>
  <si>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</si>
  <si>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</si>
  <si>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</si>
  <si>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</si>
  <si>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</si>
  <si>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</si>
  <si>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</si>
  <si>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</si>
  <si>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</si>
  <si>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</si>
  <si>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</si>
  <si>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</si>
  <si>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</si>
  <si>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</si>
  <si>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</si>
  <si>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</si>
  <si>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</si>
  <si>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</si>
  <si>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</si>
  <si>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</si>
  <si>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</si>
  <si>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</si>
  <si>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</si>
  <si>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</si>
  <si>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</si>
  <si>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</si>
  <si>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</si>
  <si>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</si>
  <si>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</si>
  <si>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</si>
  <si>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</si>
  <si>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</si>
  <si>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</si>
  <si>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</si>
  <si>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</si>
  <si>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</si>
  <si>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</si>
  <si>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</si>
  <si>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</si>
  <si>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</si>
  <si>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</si>
  <si>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</si>
  <si>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</si>
  <si>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</si>
  <si>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</si>
  <si>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</si>
  <si>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</si>
  <si>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</si>
  <si>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</si>
  <si>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</si>
  <si>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</si>
  <si>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</si>
  <si>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</si>
  <si>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</si>
  <si>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</si>
  <si>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</si>
  <si>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</si>
  <si>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</si>
  <si>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</si>
  <si>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</si>
  <si>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</si>
  <si>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</si>
  <si>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</si>
  <si>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</si>
  <si>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</si>
  <si>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</si>
  <si>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</si>
  <si>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</si>
  <si>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</si>
  <si>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</si>
  <si>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</si>
  <si>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</si>
  <si>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</si>
  <si>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</si>
  <si>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</si>
  <si>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</si>
  <si>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</si>
  <si>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</si>
  <si>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</si>
  <si>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</si>
  <si>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</si>
  <si>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</si>
  <si>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</si>
  <si>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</si>
  <si>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</si>
  <si>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</si>
  <si>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</si>
  <si>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</si>
  <si>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</si>
  <si>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</si>
  <si>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</si>
  <si>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</si>
  <si>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</si>
  <si>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</si>
  <si>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</si>
  <si>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</si>
  <si>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</si>
  <si>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</si>
  <si>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</si>
  <si>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</si>
  <si>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</si>
  <si>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</si>
  <si>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</si>
  <si>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</si>
  <si>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</si>
  <si>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</si>
  <si>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</si>
  <si>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</si>
  <si>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</si>
  <si>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</si>
  <si>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</si>
  <si>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</si>
  <si>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</si>
  <si>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</si>
  <si>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</si>
  <si>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</si>
  <si>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</si>
  <si>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</si>
  <si>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</si>
  <si>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</si>
  <si>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</si>
  <si>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</si>
  <si>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</si>
  <si>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</si>
  <si>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</si>
  <si>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</si>
  <si>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</si>
  <si>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</si>
  <si>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</si>
  <si>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</si>
  <si>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</si>
  <si>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</si>
  <si>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</si>
  <si>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</si>
  <si>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</si>
  <si>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</si>
  <si>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</si>
  <si>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</si>
  <si>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</si>
  <si>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</si>
  <si>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</si>
  <si>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</si>
  <si>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</si>
  <si>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</si>
  <si>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</si>
  <si>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</si>
  <si>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</si>
  <si>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</si>
  <si>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</si>
  <si>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</si>
  <si>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</si>
  <si>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</si>
  <si>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</si>
  <si>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</si>
  <si>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</si>
  <si>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</si>
  <si>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</si>
  <si>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</si>
  <si>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</si>
  <si>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</si>
  <si>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</si>
  <si>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</si>
  <si>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</si>
  <si>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</si>
  <si>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</si>
  <si>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</si>
  <si>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</si>
  <si>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</si>
  <si>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</si>
  <si>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</si>
  <si>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</si>
  <si>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</si>
  <si>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</si>
  <si>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</si>
  <si>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</si>
  <si>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</si>
  <si>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</si>
  <si>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</si>
  <si>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</si>
  <si>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</si>
  <si>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</si>
  <si>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</si>
  <si>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</si>
  <si>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</si>
  <si>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</si>
  <si>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</si>
  <si>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</si>
  <si>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</si>
  <si>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</si>
  <si>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</si>
  <si>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</si>
  <si>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</si>
  <si>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</si>
  <si>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</si>
  <si>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</si>
  <si>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</si>
  <si>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</si>
  <si>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</si>
  <si>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</si>
  <si>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</si>
  <si>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</si>
  <si>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</si>
  <si>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</si>
  <si>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</si>
  <si>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</si>
  <si>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</si>
  <si>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</si>
  <si>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</si>
  <si>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</si>
  <si>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</si>
  <si>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</si>
  <si>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</si>
  <si>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</si>
  <si>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</si>
  <si>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</si>
  <si>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</si>
  <si>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</si>
  <si>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</si>
  <si>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</si>
  <si>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</si>
  <si>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</si>
  <si>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</si>
  <si>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</si>
  <si>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</si>
  <si>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</si>
  <si>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</si>
  <si>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</si>
  <si>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</si>
  <si>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</si>
  <si>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</si>
  <si>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</si>
  <si>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</si>
  <si>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</si>
  <si>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</si>
  <si>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</si>
  <si>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</si>
  <si>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</si>
  <si>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</si>
  <si>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</si>
  <si>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</si>
  <si>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</si>
  <si>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</si>
  <si>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</si>
  <si>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</si>
  <si>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</si>
  <si>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</si>
  <si>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</si>
  <si>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</si>
  <si>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</si>
  <si>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</si>
  <si>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</si>
  <si>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</si>
  <si>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</si>
  <si>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</si>
  <si>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</si>
  <si>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</si>
  <si>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</si>
  <si>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</si>
  <si>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</si>
  <si>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</si>
  <si>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</si>
  <si>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</si>
  <si>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</si>
  <si>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</si>
  <si>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</si>
  <si>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</si>
  <si>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</si>
  <si>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</si>
  <si>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</si>
  <si>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</si>
  <si>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</si>
  <si>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</si>
  <si>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</si>
  <si>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</si>
  <si>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</si>
  <si>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</si>
  <si>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</si>
  <si>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</si>
  <si>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</si>
  <si>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</si>
  <si>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</si>
  <si>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</si>
  <si>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</si>
  <si>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</si>
  <si>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</si>
  <si>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</si>
  <si>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</si>
  <si>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</si>
  <si>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</si>
  <si>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</si>
  <si>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</si>
  <si>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</si>
  <si>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</si>
  <si>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</si>
  <si>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</si>
  <si>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</si>
  <si>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</si>
  <si>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</si>
  <si>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</si>
  <si>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</si>
  <si>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</si>
  <si>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</si>
  <si>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</si>
  <si>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</si>
  <si>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</si>
  <si>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</si>
  <si>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</si>
  <si>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</si>
  <si>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</si>
  <si>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</si>
  <si>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</si>
  <si>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</si>
  <si>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</si>
  <si>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</si>
  <si>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</si>
  <si>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</si>
  <si>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</si>
  <si>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</si>
  <si>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</si>
  <si>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</si>
  <si>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</si>
  <si>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</si>
  <si>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</si>
  <si>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</si>
  <si>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</si>
  <si>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</si>
  <si>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</si>
  <si>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</si>
  <si>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</si>
  <si>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</si>
  <si>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</si>
  <si>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</si>
  <si>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</si>
  <si>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</si>
  <si>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</si>
  <si>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</si>
  <si>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</si>
  <si>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</si>
  <si>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</si>
  <si>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</si>
  <si>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</si>
  <si>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</si>
  <si>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</si>
  <si>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</si>
  <si>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</si>
  <si>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</si>
  <si>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</si>
  <si>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</si>
  <si>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</si>
  <si>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</si>
  <si>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</si>
  <si>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</si>
  <si>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</si>
  <si>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</si>
  <si>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</si>
  <si>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</si>
  <si>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</si>
  <si>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</si>
  <si>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</si>
  <si>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</si>
  <si>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</si>
  <si>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</si>
  <si>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</si>
  <si>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</si>
  <si>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</si>
  <si>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</si>
  <si>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</si>
  <si>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</si>
  <si>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</si>
  <si>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</si>
  <si>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</si>
  <si>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</si>
  <si>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</si>
  <si>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</si>
  <si>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</si>
  <si>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</si>
  <si>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</si>
  <si>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</si>
  <si>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</si>
  <si>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</si>
  <si>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</si>
  <si>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</si>
  <si>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</si>
  <si>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</si>
  <si>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</si>
  <si>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</si>
  <si>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</si>
  <si>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</si>
  <si>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</si>
  <si>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</si>
  <si>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</si>
  <si>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</si>
  <si>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</si>
  <si>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</si>
  <si>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</si>
  <si>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</si>
  <si>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</si>
  <si>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</si>
  <si>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</si>
  <si>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</si>
  <si>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</si>
  <si>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</si>
  <si>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</si>
  <si>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</si>
  <si>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</si>
  <si>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</si>
  <si>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</si>
  <si>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</si>
  <si>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</si>
  <si>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</si>
  <si>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</si>
  <si>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</si>
  <si>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</si>
  <si>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</si>
  <si>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</si>
  <si>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</si>
  <si>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</si>
  <si>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</si>
  <si>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</si>
  <si>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</si>
  <si>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</si>
  <si>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</si>
  <si>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</si>
  <si>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</si>
  <si>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</si>
  <si>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</si>
  <si>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</si>
  <si>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</si>
  <si>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</si>
  <si>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</si>
  <si>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</si>
  <si>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</si>
  <si>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</si>
  <si>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</si>
  <si>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</si>
  <si>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</si>
  <si>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</si>
  <si>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</si>
  <si>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</si>
  <si>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</si>
  <si>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</si>
  <si>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</si>
  <si>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</si>
  <si>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</si>
  <si>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</si>
  <si>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</si>
  <si>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</si>
  <si>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</si>
  <si>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</si>
  <si>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</si>
  <si>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</si>
  <si>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</si>
  <si>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</si>
  <si>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</si>
  <si>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</si>
  <si>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</si>
  <si>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</si>
  <si>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</si>
  <si>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</si>
  <si>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</si>
  <si>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</si>
  <si>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</si>
  <si>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</si>
  <si>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</si>
  <si>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</si>
  <si>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</si>
  <si>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</si>
  <si>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</si>
  <si>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</si>
  <si>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</si>
  <si>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</si>
  <si>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</si>
  <si>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</si>
  <si>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</si>
  <si>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</si>
  <si>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</si>
  <si>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</si>
  <si>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</si>
  <si>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</si>
  <si>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</si>
  <si>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</si>
  <si>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</si>
  <si>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</si>
  <si>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</si>
  <si>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</si>
  <si>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</si>
  <si>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</si>
  <si>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</si>
  <si>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</si>
  <si>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</si>
  <si>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</si>
  <si>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</si>
  <si>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</si>
  <si>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</si>
  <si>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</si>
  <si>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</si>
  <si>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</si>
  <si>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</si>
  <si>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</si>
  <si>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</si>
  <si>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</si>
  <si>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</si>
  <si>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</si>
  <si>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</si>
  <si>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</si>
  <si>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</si>
  <si>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</si>
  <si>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</si>
  <si>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</si>
  <si>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</si>
  <si>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</si>
  <si>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</si>
  <si>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</si>
  <si>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</si>
  <si>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</si>
  <si>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</si>
  <si>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</si>
  <si>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</si>
  <si>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</si>
  <si>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</si>
  <si>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</si>
  <si>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</si>
  <si>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</si>
  <si>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</si>
  <si>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</si>
  <si>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</si>
  <si>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</si>
  <si>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</si>
  <si>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</si>
  <si>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</si>
  <si>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</si>
  <si>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</si>
  <si>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</si>
  <si>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</si>
  <si>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</si>
  <si>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</si>
  <si>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</si>
  <si>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</si>
  <si>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</si>
  <si>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</si>
  <si>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</si>
  <si>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</si>
  <si>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</si>
  <si>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</si>
  <si>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</si>
  <si>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</si>
  <si>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</si>
  <si>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</si>
  <si>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</si>
  <si>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</si>
  <si>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</si>
  <si>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</si>
  <si>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</si>
  <si>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</si>
  <si>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</si>
  <si>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</si>
  <si>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</si>
  <si>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</si>
  <si>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</si>
  <si>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</si>
  <si>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</si>
  <si>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</si>
  <si>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</si>
  <si>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</si>
  <si>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</si>
  <si>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</si>
  <si>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</si>
  <si>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</si>
  <si>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</si>
  <si>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</si>
  <si>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</si>
  <si>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</si>
  <si>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</si>
  <si>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</si>
  <si>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</si>
  <si>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</si>
  <si>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</si>
  <si>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</si>
  <si>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</si>
  <si>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</si>
  <si>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</si>
  <si>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</si>
  <si>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</si>
  <si>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</si>
  <si>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</si>
  <si>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</si>
  <si>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</si>
  <si>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</si>
  <si>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</si>
  <si>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</si>
  <si>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</si>
  <si>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</si>
  <si>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</si>
  <si>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</si>
  <si>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</si>
  <si>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</si>
  <si>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</si>
  <si>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</si>
  <si>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</si>
  <si>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</si>
  <si>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</si>
  <si>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</si>
  <si>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</si>
  <si>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</si>
  <si>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</si>
  <si>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</si>
  <si>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</si>
  <si>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</si>
  <si>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</si>
  <si>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</si>
  <si>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</si>
  <si>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</si>
  <si>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</si>
  <si>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</si>
  <si>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</si>
  <si>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</si>
  <si>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</si>
  <si>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</si>
  <si>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</si>
  <si>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</si>
  <si>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</si>
  <si>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</si>
  <si>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</si>
  <si>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</si>
  <si>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</si>
  <si>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</si>
  <si>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</si>
  <si>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</si>
  <si>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</si>
  <si>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</si>
  <si>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</si>
  <si>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</si>
  <si>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</si>
  <si>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</si>
  <si>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</si>
  <si>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</si>
  <si>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</si>
  <si>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</si>
  <si>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</si>
  <si>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</si>
  <si>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</si>
  <si>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</si>
  <si>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</si>
  <si>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</si>
  <si>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</si>
  <si>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</si>
  <si>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</si>
  <si>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</si>
  <si>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</si>
  <si>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</si>
  <si>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</si>
  <si>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</si>
  <si>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</si>
  <si>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</si>
  <si>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</si>
  <si>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</si>
  <si>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</si>
  <si>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</si>
  <si>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</si>
  <si>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</si>
  <si>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</si>
  <si>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</si>
  <si>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</si>
  <si>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</si>
  <si>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</si>
  <si>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</si>
  <si>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</si>
  <si>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</si>
  <si>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</si>
  <si>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</si>
  <si>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</si>
  <si>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</si>
  <si>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</si>
  <si>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</si>
  <si>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</si>
  <si>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</si>
  <si>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</si>
  <si>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</si>
  <si>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</si>
  <si>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</si>
  <si>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</si>
  <si>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</si>
  <si>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</si>
  <si>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</si>
  <si>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</si>
  <si>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</si>
  <si>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</si>
  <si>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</si>
  <si>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</si>
  <si>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</si>
  <si>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</si>
  <si>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</si>
  <si>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</si>
  <si>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</si>
  <si>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</si>
  <si>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</si>
  <si>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</si>
  <si>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</si>
  <si>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</si>
  <si>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</si>
  <si>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</si>
  <si>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</si>
  <si>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</si>
  <si>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</si>
  <si>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</si>
  <si>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</si>
  <si>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</si>
  <si>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</si>
  <si>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</si>
  <si>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</si>
  <si>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</si>
  <si>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</si>
  <si>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</si>
  <si>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</si>
  <si>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</si>
  <si>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</si>
  <si>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</si>
  <si>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</si>
  <si>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</si>
  <si>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</si>
  <si>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</si>
  <si>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</si>
  <si>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</si>
  <si>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</si>
  <si>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</si>
  <si>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</si>
  <si>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</si>
  <si>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</si>
  <si>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</si>
  <si>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</si>
  <si>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</si>
  <si>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</si>
  <si>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</si>
  <si>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</si>
  <si>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</si>
  <si>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</si>
  <si>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</si>
  <si>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</si>
  <si>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</si>
  <si>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</si>
  <si>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</si>
  <si>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</si>
  <si>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</si>
  <si>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</si>
  <si>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</si>
  <si>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</si>
  <si>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</si>
  <si>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</si>
  <si>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</si>
  <si>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</si>
  <si>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</si>
  <si>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</si>
  <si>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</si>
  <si>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</si>
  <si>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</si>
  <si>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</si>
  <si>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</si>
  <si>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</si>
  <si>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</si>
  <si>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</si>
  <si>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</si>
  <si>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</si>
  <si>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</si>
  <si>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</si>
  <si>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</si>
  <si>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</si>
  <si>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</si>
  <si>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</si>
  <si>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</si>
  <si>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</si>
  <si>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</si>
  <si>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</si>
  <si>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</si>
  <si>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</si>
  <si>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</si>
  <si>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</si>
  <si>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</si>
  <si>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</si>
  <si>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</si>
  <si>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</si>
  <si>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</si>
  <si>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</si>
  <si>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</si>
  <si>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</si>
  <si>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</si>
  <si>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</si>
  <si>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</si>
  <si>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</si>
  <si>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</si>
  <si>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</si>
  <si>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</si>
  <si>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</si>
  <si>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</si>
  <si>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</si>
  <si>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</si>
  <si>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</si>
  <si>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</si>
  <si>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</si>
  <si>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</si>
  <si>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</si>
  <si>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</si>
  <si>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</si>
  <si>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</si>
  <si>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</si>
  <si>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</si>
  <si>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</si>
  <si>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</si>
  <si>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</si>
  <si>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</si>
  <si>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</si>
  <si>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</si>
  <si>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</si>
  <si>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</si>
  <si>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</si>
  <si>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</si>
  <si>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</si>
  <si>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</si>
  <si>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</si>
  <si>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</si>
  <si>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</si>
  <si>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</si>
  <si>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</si>
  <si>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</si>
  <si>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</si>
  <si>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</si>
  <si>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</si>
  <si>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</si>
  <si>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</si>
  <si>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</si>
  <si>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</si>
  <si>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</si>
  <si>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</si>
  <si>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</si>
  <si>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</si>
  <si>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</si>
  <si>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</si>
  <si>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</si>
  <si>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</si>
  <si>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</si>
  <si>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</si>
  <si>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</si>
  <si>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</si>
  <si>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</si>
  <si>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</si>
  <si>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</si>
  <si>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</si>
  <si>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</si>
  <si>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</si>
  <si>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</si>
  <si>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</si>
  <si>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</si>
  <si>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</si>
  <si>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</si>
  <si>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</si>
  <si>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</si>
  <si>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</si>
  <si>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</si>
  <si>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</si>
  <si>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</si>
  <si>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</si>
  <si>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</si>
  <si>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</si>
  <si>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</si>
  <si>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</si>
  <si>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</si>
  <si>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</si>
  <si>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</si>
  <si>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</si>
  <si>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</si>
  <si>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</si>
  <si>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</si>
  <si>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</si>
  <si>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</si>
  <si>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</si>
  <si>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</si>
  <si>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</si>
  <si>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</si>
  <si>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</si>
  <si>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</si>
  <si>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</si>
  <si>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</si>
  <si>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</si>
  <si>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</si>
  <si>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</si>
  <si>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</si>
  <si>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</si>
  <si>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</si>
  <si>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</si>
  <si>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</si>
  <si>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</si>
  <si>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</si>
  <si>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</si>
  <si>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</si>
  <si>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</si>
  <si>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</si>
  <si>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</si>
  <si>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</si>
  <si>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</si>
  <si>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</si>
  <si>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</si>
  <si>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</si>
  <si>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</si>
  <si>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</si>
  <si>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</si>
  <si>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</si>
  <si>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</si>
  <si>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</si>
  <si>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</si>
  <si>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</si>
  <si>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</si>
  <si>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</si>
  <si>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</si>
  <si>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</si>
  <si>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</si>
  <si>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</si>
  <si>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</si>
  <si>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</si>
  <si>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</si>
  <si>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</si>
  <si>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</si>
  <si>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</si>
  <si>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</si>
  <si>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</si>
  <si>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</si>
  <si>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</si>
  <si>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</si>
  <si>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</si>
  <si>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</si>
  <si>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</si>
  <si>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</si>
  <si>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</si>
  <si>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</si>
  <si>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</si>
  <si>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</si>
  <si>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</si>
  <si>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</si>
  <si>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</si>
  <si>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</si>
  <si>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</si>
  <si>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</si>
  <si>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</si>
  <si>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</si>
  <si>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</si>
  <si>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</si>
  <si>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</si>
  <si>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</si>
  <si>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</si>
  <si>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</si>
  <si>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</si>
  <si>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</si>
  <si>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</si>
  <si>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</si>
  <si>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</si>
  <si>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</si>
  <si>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</si>
  <si>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</si>
  <si>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</si>
  <si>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</si>
  <si>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</si>
  <si>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</si>
  <si>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</si>
  <si>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</si>
  <si>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</si>
  <si>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</si>
  <si>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</si>
  <si>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</si>
  <si>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</si>
  <si>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</si>
  <si>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</si>
  <si>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</si>
  <si>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</si>
  <si>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</si>
  <si>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</si>
  <si>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</si>
  <si>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</si>
  <si>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</si>
  <si>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</si>
  <si>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</si>
  <si>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</si>
  <si>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</si>
  <si>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</si>
  <si>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</si>
  <si>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</si>
  <si>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</si>
  <si>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</si>
  <si>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</si>
  <si>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</si>
  <si>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</si>
  <si>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</si>
  <si>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</si>
  <si>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</si>
  <si>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</si>
  <si>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</si>
  <si>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</si>
  <si>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</si>
  <si>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</si>
  <si>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</si>
  <si>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</si>
  <si>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</si>
  <si>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</si>
  <si>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</si>
  <si>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</si>
  <si>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</si>
  <si>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</si>
  <si>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</si>
  <si>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</si>
  <si>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</si>
  <si>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</si>
  <si>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</si>
  <si>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</si>
  <si>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</si>
  <si>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</si>
  <si>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</si>
  <si>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</si>
  <si>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</si>
  <si>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</si>
  <si>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</si>
  <si>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</si>
  <si>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</si>
  <si>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</si>
  <si>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</si>
  <si>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</si>
  <si>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</si>
  <si>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</si>
  <si>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</si>
  <si>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</si>
  <si>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</si>
  <si>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</si>
  <si>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</si>
  <si>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</si>
  <si>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</si>
  <si>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</si>
  <si>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</si>
  <si>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</si>
  <si>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</si>
  <si>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</si>
  <si>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</si>
  <si>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</si>
  <si>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</si>
  <si>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</si>
  <si>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</si>
  <si>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</si>
  <si>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</si>
  <si>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</si>
  <si>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</si>
  <si>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</si>
  <si>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</si>
  <si>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</si>
  <si>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</si>
  <si>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</si>
  <si>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</si>
  <si>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</si>
  <si>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</si>
  <si>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</si>
  <si>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</si>
  <si>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</si>
  <si>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</si>
  <si>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</si>
  <si>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</si>
  <si>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</si>
  <si>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</si>
  <si>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</si>
  <si>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</si>
  <si>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</si>
  <si>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</si>
  <si>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</si>
  <si>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</si>
  <si>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</si>
  <si>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</si>
  <si>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</si>
  <si>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</si>
  <si>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</si>
  <si>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</si>
  <si>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</si>
  <si>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</si>
  <si>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</si>
  <si>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</si>
  <si>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</si>
  <si>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</si>
  <si>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</si>
  <si>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</si>
  <si>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</si>
  <si>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</si>
  <si>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</si>
  <si>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</si>
  <si>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</si>
  <si>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</si>
  <si>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</si>
  <si>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</si>
  <si>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</si>
  <si>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</si>
  <si>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</si>
  <si>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</si>
  <si>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</si>
  <si>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</si>
  <si>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</si>
  <si>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</si>
  <si>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</si>
  <si>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</si>
  <si>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</si>
  <si>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</si>
  <si>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</si>
  <si>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</si>
  <si>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</si>
  <si>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</si>
  <si>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</si>
  <si>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</si>
  <si>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</si>
  <si>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</si>
  <si>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</si>
  <si>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</si>
  <si>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</si>
  <si>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</si>
  <si>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</si>
  <si>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</si>
  <si>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</si>
  <si>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</si>
  <si>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</si>
  <si>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</si>
  <si>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</si>
  <si>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</si>
  <si>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</si>
  <si>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</si>
  <si>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</si>
  <si>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</si>
  <si>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</si>
  <si>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</si>
  <si>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</si>
  <si>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</si>
  <si>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</si>
  <si>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</si>
  <si>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</si>
  <si>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</si>
  <si>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</si>
  <si>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</si>
  <si>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</si>
  <si>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</si>
  <si>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</si>
  <si>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</si>
  <si>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</si>
  <si>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</si>
  <si>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</si>
  <si>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</si>
  <si>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</si>
  <si>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</si>
  <si>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</si>
  <si>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</si>
  <si>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</si>
  <si>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</si>
  <si>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</si>
  <si>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</si>
  <si>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</si>
  <si>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</si>
  <si>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</si>
  <si>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</si>
  <si>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</si>
  <si>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</si>
  <si>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</si>
  <si>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</si>
  <si>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</si>
  <si>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</si>
  <si>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</si>
  <si>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</si>
  <si>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</si>
  <si>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</si>
  <si>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</si>
  <si>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</si>
  <si>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</si>
  <si>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</si>
  <si>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</si>
  <si>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</si>
  <si>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</si>
  <si>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</si>
  <si>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</si>
  <si>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</si>
  <si>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</si>
  <si>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</si>
  <si>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</si>
  <si>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</si>
  <si>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</si>
  <si>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</si>
  <si>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</si>
  <si>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</si>
  <si>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</si>
  <si>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</si>
  <si>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</si>
  <si>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</si>
  <si>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</si>
  <si>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</si>
  <si>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</si>
  <si>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</si>
  <si>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</si>
  <si>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</si>
  <si>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</si>
  <si>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</si>
  <si>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</si>
  <si>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</si>
  <si>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</si>
  <si>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</si>
  <si>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</si>
  <si>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</si>
  <si>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</si>
  <si>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</si>
  <si>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</si>
  <si>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</si>
  <si>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</si>
  <si>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</si>
  <si>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</si>
  <si>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</si>
  <si>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</si>
  <si>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</si>
  <si>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</si>
  <si>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</si>
  <si>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</si>
  <si>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</si>
  <si>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</si>
  <si>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</si>
  <si>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</si>
  <si>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</si>
  <si>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</si>
  <si>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</si>
  <si>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</si>
  <si>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</si>
  <si>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</si>
  <si>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</si>
  <si>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</si>
  <si>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</si>
  <si>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</si>
  <si>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</si>
  <si>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</si>
  <si>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</si>
  <si>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</si>
  <si>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</si>
  <si>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</si>
  <si>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</si>
  <si>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</si>
  <si>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</si>
  <si>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</si>
  <si>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</si>
  <si>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</si>
  <si>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</si>
  <si>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</si>
  <si>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</si>
  <si>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</si>
  <si>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</si>
  <si>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</si>
  <si>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</si>
  <si>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</si>
  <si>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</si>
  <si>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</si>
  <si>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</si>
  <si>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</si>
  <si>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</si>
  <si>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</si>
  <si>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</si>
  <si>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</si>
  <si>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</si>
  <si>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</si>
  <si>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</si>
  <si>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</si>
  <si>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</si>
  <si>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</si>
  <si>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</si>
  <si>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</si>
  <si>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</si>
  <si>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</si>
  <si>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</si>
  <si>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</si>
  <si>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</si>
  <si>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</si>
  <si>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</si>
  <si>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</si>
  <si>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</si>
  <si>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</si>
  <si>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</si>
  <si>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</si>
  <si>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</si>
  <si>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</si>
  <si>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</si>
  <si>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</si>
  <si>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</si>
  <si>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</si>
  <si>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</si>
  <si>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</si>
  <si>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</si>
  <si>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</si>
  <si>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</si>
  <si>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</si>
  <si>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</si>
  <si>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</si>
  <si>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</si>
  <si>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</si>
  <si>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</si>
  <si>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</si>
  <si>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</si>
  <si>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</si>
  <si>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</si>
  <si>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</si>
  <si>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</si>
  <si>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</si>
  <si>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</si>
  <si>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</si>
  <si>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</si>
  <si>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</si>
  <si>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</si>
  <si>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</si>
  <si>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</si>
  <si>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</si>
  <si>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</si>
  <si>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</si>
  <si>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</si>
  <si>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</si>
  <si>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</si>
  <si>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</si>
  <si>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</si>
  <si>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</si>
  <si>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</si>
  <si>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</si>
  <si>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</si>
  <si>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</si>
  <si>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</si>
  <si>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</si>
  <si>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</si>
  <si>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</si>
  <si>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</si>
  <si>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</si>
  <si>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</si>
  <si>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</si>
  <si>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</si>
  <si>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</si>
  <si>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</si>
  <si>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</si>
  <si>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</si>
  <si>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</si>
  <si>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</si>
  <si>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</si>
  <si>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</si>
  <si>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</si>
  <si>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</si>
  <si>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</si>
  <si>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</si>
  <si>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</si>
  <si>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</si>
  <si>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</si>
  <si>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</si>
  <si>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</si>
  <si>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</si>
  <si>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</si>
  <si>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</si>
  <si>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</si>
  <si>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</si>
  <si>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</si>
  <si>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</si>
  <si>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</si>
  <si>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</si>
  <si>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</si>
  <si>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</si>
  <si>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</si>
  <si>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</si>
  <si>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</si>
  <si>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</si>
  <si>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</si>
  <si>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</si>
  <si>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</si>
  <si>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</si>
  <si>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</si>
  <si>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</si>
  <si>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</si>
  <si>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</si>
  <si>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</si>
  <si>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</si>
  <si>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</si>
  <si>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</si>
  <si>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</si>
  <si>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</si>
  <si>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</si>
  <si>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</si>
  <si>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</si>
  <si>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</si>
  <si>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</si>
  <si>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</si>
  <si>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</si>
  <si>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</si>
  <si>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</si>
  <si>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</si>
  <si>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</si>
  <si>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</si>
  <si>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</si>
  <si>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</si>
  <si>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</si>
  <si>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</si>
  <si>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</si>
  <si>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</si>
  <si>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</si>
  <si>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</si>
  <si>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</si>
  <si>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</si>
  <si>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</si>
  <si>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</si>
  <si>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</si>
  <si>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</si>
  <si>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</si>
  <si>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</si>
  <si>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</si>
  <si>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</si>
  <si>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</si>
  <si>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</si>
  <si>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</si>
  <si>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</si>
  <si>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</si>
  <si>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</si>
  <si>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</si>
  <si>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</si>
  <si>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</si>
  <si>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</si>
  <si>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</si>
  <si>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</si>
  <si>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</si>
  <si>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</si>
  <si>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</si>
  <si>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</si>
  <si>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</si>
  <si>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</si>
  <si>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</si>
  <si>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</si>
  <si>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</si>
  <si>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</si>
  <si>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</si>
  <si>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</si>
  <si>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</si>
  <si>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</si>
  <si>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</si>
  <si>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</si>
  <si>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</si>
  <si>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</si>
  <si>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</si>
  <si>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</si>
  <si>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</si>
  <si>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</si>
  <si>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</si>
  <si>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</si>
  <si>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</si>
  <si>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</si>
  <si>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</si>
  <si>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</si>
  <si>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</si>
  <si>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</si>
  <si>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</si>
  <si>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</si>
  <si>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</si>
  <si>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</si>
  <si>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</si>
  <si>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</si>
  <si>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</si>
  <si>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</si>
  <si>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</si>
  <si>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</si>
  <si>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</si>
  <si>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</si>
  <si>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</si>
  <si>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</si>
  <si>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</si>
  <si>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</si>
  <si>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</si>
  <si>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</si>
  <si>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</si>
  <si>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</si>
  <si>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</si>
  <si>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</si>
  <si>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</si>
  <si>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</si>
  <si>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</si>
  <si>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</si>
  <si>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</si>
  <si>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</si>
  <si>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</si>
  <si>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</si>
  <si>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</si>
  <si>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</si>
  <si>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</si>
  <si>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</si>
  <si>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</si>
  <si>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</si>
  <si>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</si>
  <si>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</si>
  <si>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</si>
  <si>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</si>
  <si>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</si>
  <si>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</si>
  <si>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</si>
  <si>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</si>
  <si>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</si>
  <si>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</si>
  <si>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</si>
  <si>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</si>
  <si>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</si>
  <si>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</si>
  <si>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</si>
  <si>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</si>
  <si>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</si>
  <si>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</si>
  <si>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</si>
  <si>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</si>
  <si>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</si>
  <si>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</si>
  <si>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</si>
  <si>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</si>
  <si>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</si>
  <si>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</si>
  <si>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</si>
  <si>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</si>
  <si>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</si>
  <si>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</si>
  <si>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</si>
  <si>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</si>
  <si>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</si>
  <si>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</si>
  <si>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</si>
  <si>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</si>
  <si>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</si>
  <si>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</si>
  <si>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</si>
  <si>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</si>
  <si>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</si>
  <si>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</si>
  <si>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</si>
  <si>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</si>
  <si>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</si>
  <si>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</si>
  <si>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</si>
  <si>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</si>
  <si>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</si>
  <si>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</si>
  <si>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</si>
  <si>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</si>
  <si>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</si>
  <si>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</si>
  <si>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</si>
  <si>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</si>
  <si>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</si>
  <si>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</si>
  <si>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</si>
  <si>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</si>
  <si>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</si>
  <si>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</si>
  <si>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</si>
  <si>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</si>
  <si>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</si>
  <si>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</si>
  <si>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</si>
  <si>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</si>
  <si>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</si>
  <si>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</si>
  <si>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</si>
  <si>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</si>
  <si>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</si>
  <si>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</si>
  <si>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</si>
  <si>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</si>
  <si>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</si>
  <si>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</si>
  <si>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</si>
  <si>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</si>
  <si>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</si>
  <si>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</si>
  <si>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</si>
  <si>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</si>
  <si>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</si>
  <si>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</si>
  <si>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</si>
  <si>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</si>
  <si>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</si>
  <si>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</si>
  <si>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</si>
  <si>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</si>
  <si>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</si>
  <si>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</si>
  <si>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</si>
  <si>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</si>
  <si>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</si>
  <si>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</si>
  <si>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</si>
  <si>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</si>
  <si>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中诚信托有限责任公司</t>
    <phoneticPr fontId="3" type="noConversion"/>
  </si>
  <si>
    <t>市场价格</t>
  </si>
  <si>
    <t>核定资产</t>
  </si>
  <si>
    <t>抵押价格</t>
  </si>
  <si>
    <t>陕西省西安市</t>
    <phoneticPr fontId="3" type="noConversion"/>
  </si>
  <si>
    <t>其他：</t>
  </si>
  <si>
    <t>企业</t>
  </si>
  <si>
    <t>商业</t>
  </si>
  <si>
    <t>出让</t>
  </si>
  <si>
    <t>居住项目</t>
  </si>
  <si>
    <t>无</t>
  </si>
  <si>
    <t>场地未平整</t>
  </si>
  <si>
    <t>四级</t>
    <phoneticPr fontId="6" type="noConversion"/>
  </si>
  <si>
    <t>通路</t>
  </si>
  <si>
    <t>地上</t>
  </si>
  <si>
    <t>底商</t>
  </si>
  <si>
    <t>项目全部</t>
  </si>
  <si>
    <t>土地</t>
  </si>
  <si>
    <t>比较法-住宅、综合</t>
  </si>
  <si>
    <t>剩余法-待开发</t>
  </si>
  <si>
    <t>楼面地价</t>
  </si>
  <si>
    <t>钢混</t>
  </si>
  <si>
    <t>押一</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</si>
  <si>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</si>
  <si>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</si>
  <si>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</si>
  <si>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</si>
  <si>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</si>
  <si>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</si>
  <si>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</si>
  <si>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</si>
  <si>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</si>
  <si>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</si>
  <si>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</si>
  <si>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</si>
  <si>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</si>
  <si>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</si>
  <si>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</si>
  <si>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</si>
  <si>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</si>
  <si>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</si>
  <si>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</si>
  <si>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</si>
  <si>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</si>
  <si>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</si>
  <si>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</si>
  <si>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</si>
  <si>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</si>
  <si>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</si>
  <si>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</si>
  <si>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</si>
  <si>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</si>
  <si>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</si>
  <si>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</si>
  <si>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</si>
  <si>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</si>
  <si>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</si>
  <si>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</si>
  <si>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</si>
  <si>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</si>
  <si>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</si>
  <si>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</si>
  <si>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</si>
  <si>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</si>
  <si>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</si>
  <si>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</si>
  <si>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西安市</t>
  </si>
  <si>
    <t>住宅用地</t>
  </si>
  <si>
    <t>其他普通商品住房用地</t>
  </si>
  <si>
    <t>≤30%</t>
  </si>
  <si>
    <t>未开工</t>
  </si>
  <si>
    <t>已成交</t>
  </si>
  <si>
    <t>70年</t>
  </si>
  <si>
    <t>综合用地(含住宅)</t>
  </si>
  <si>
    <t>挂牌</t>
  </si>
  <si>
    <t>开工中</t>
  </si>
  <si>
    <t>2017-06-22</t>
  </si>
  <si>
    <t>2017-06-14</t>
  </si>
  <si>
    <t>2017-04-17</t>
  </si>
  <si>
    <t>住宅、商业</t>
  </si>
  <si>
    <t>限地价</t>
  </si>
  <si>
    <t>2017-03-15</t>
  </si>
  <si>
    <t>住宅70年商业40年</t>
  </si>
  <si>
    <t>住宅、商业用地</t>
  </si>
  <si>
    <t>＞1且≤2.8</t>
  </si>
  <si>
    <t>住宅70年、商业40年</t>
  </si>
  <si>
    <t>2016-08-25</t>
  </si>
  <si>
    <t>≤30</t>
  </si>
  <si>
    <t>居住用地</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</si>
  <si>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</si>
  <si>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</si>
  <si>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</si>
  <si>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</si>
  <si>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</si>
  <si>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</si>
  <si>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</si>
  <si>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</si>
  <si>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</si>
  <si>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</si>
  <si>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</si>
  <si>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</si>
  <si>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</si>
  <si>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</si>
  <si>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</si>
  <si>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</si>
  <si>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</si>
  <si>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</si>
  <si>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</si>
  <si>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</si>
  <si>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</si>
  <si>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</si>
  <si>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</si>
  <si>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</si>
  <si>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</si>
  <si>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</si>
  <si>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一级</t>
    <phoneticPr fontId="26" type="noConversion"/>
  </si>
  <si>
    <t>二级</t>
    <phoneticPr fontId="26" type="noConversion"/>
  </si>
  <si>
    <t>三级</t>
    <phoneticPr fontId="26" type="noConversion"/>
  </si>
  <si>
    <t>四级</t>
    <phoneticPr fontId="26" type="noConversion"/>
  </si>
  <si>
    <t>临街宽度及深度比例较适宜，对土地利用无不利影响</t>
  </si>
  <si>
    <t>支路</t>
  </si>
  <si>
    <t>售价</t>
  </si>
  <si>
    <t>http://taihuafuzh.fang.com/</t>
    <phoneticPr fontId="21" type="noConversion"/>
  </si>
  <si>
    <t>http://aijuxinyuan.fang.com/house/3611135666/housedetail.htm</t>
    <phoneticPr fontId="21" type="noConversion"/>
  </si>
  <si>
    <t>http://wandagongguanxadmg.fang.com/house/3611086996/housedetail.htm</t>
    <phoneticPr fontId="21" type="noConversion"/>
  </si>
  <si>
    <t>请录依据文件名称：城市基础设施建设费+义务教育代建费</t>
    <phoneticPr fontId="3" type="noConversion"/>
  </si>
  <si>
    <t>住宅</t>
    <phoneticPr fontId="21" type="noConversion"/>
  </si>
  <si>
    <t>精装修</t>
    <phoneticPr fontId="21" type="noConversion"/>
  </si>
  <si>
    <t>普通装修</t>
    <phoneticPr fontId="21" type="noConversion"/>
  </si>
  <si>
    <t>简单装修</t>
    <phoneticPr fontId="21" type="noConversion"/>
  </si>
  <si>
    <t>毛坯</t>
  </si>
  <si>
    <t>毛坯</t>
    <phoneticPr fontId="21" type="noConversion"/>
  </si>
  <si>
    <t>跃层</t>
    <phoneticPr fontId="21" type="noConversion"/>
  </si>
  <si>
    <t>平层</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</si>
  <si>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</si>
  <si>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</si>
  <si>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</si>
  <si>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</si>
  <si>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</si>
  <si>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钢混</t>
    <phoneticPr fontId="21" type="noConversion"/>
  </si>
  <si>
    <t>60-70（含）</t>
  </si>
  <si>
    <t>支路</t>
    <phoneticPr fontId="21" type="noConversion"/>
  </si>
  <si>
    <t>正常</t>
  </si>
  <si>
    <t>七通</t>
  </si>
  <si>
    <t>精装修</t>
  </si>
  <si>
    <t>七通</t>
    <phoneticPr fontId="21" type="noConversion"/>
  </si>
  <si>
    <t>六通</t>
    <phoneticPr fontId="21" type="noConversion"/>
  </si>
  <si>
    <t>五通</t>
    <phoneticPr fontId="21" type="noConversion"/>
  </si>
  <si>
    <t>四通</t>
    <phoneticPr fontId="21" type="noConversion"/>
  </si>
  <si>
    <t>三通</t>
    <phoneticPr fontId="21" type="noConversion"/>
  </si>
  <si>
    <t>花园洋房及高层</t>
    <phoneticPr fontId="21" type="noConversion"/>
  </si>
  <si>
    <t>小高层，高层及超高层</t>
    <phoneticPr fontId="21" type="noConversion"/>
  </si>
  <si>
    <t>高层</t>
  </si>
  <si>
    <t>高层</t>
    <phoneticPr fontId="21" type="noConversion"/>
  </si>
  <si>
    <t>土地（套用方法）</t>
  </si>
  <si>
    <t>普通住宅</t>
  </si>
  <si>
    <t>洋房</t>
  </si>
  <si>
    <t>地下</t>
  </si>
  <si>
    <t>车库</t>
  </si>
  <si>
    <t>高层</t>
    <phoneticPr fontId="7" type="noConversion"/>
  </si>
  <si>
    <t>洋房</t>
    <phoneticPr fontId="7" type="noConversion"/>
  </si>
  <si>
    <t>商业</t>
    <phoneticPr fontId="7" type="noConversion"/>
  </si>
  <si>
    <t>车库</t>
    <phoneticPr fontId="7" type="noConversion"/>
  </si>
  <si>
    <t>车位个数</t>
    <phoneticPr fontId="15" type="noConversion"/>
  </si>
  <si>
    <t>欧红伟</t>
  </si>
  <si>
    <t>崔锴</t>
  </si>
  <si>
    <t>新城区“东方宸院”项目</t>
    <phoneticPr fontId="3" type="noConversion"/>
  </si>
  <si>
    <t>通电</t>
  </si>
  <si>
    <t>通上水</t>
  </si>
  <si>
    <t>面积指标</t>
    <phoneticPr fontId="3" type="noConversion"/>
  </si>
  <si>
    <t>否</t>
  </si>
  <si>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</si>
  <si>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新城区公园北路以东、韩城矿物局西安办事处以西、长缨小区以南、长缨东路以北</t>
  </si>
  <si>
    <t>新城区</t>
  </si>
  <si>
    <t>XC3-6-587</t>
  </si>
  <si>
    <t>＞1且≤5.79</t>
  </si>
  <si>
    <t>≤43.7%</t>
  </si>
  <si>
    <t>2018-01-12</t>
  </si>
  <si>
    <t>2018-02-02</t>
  </si>
  <si>
    <t>西土出告字[2018]3号</t>
  </si>
  <si>
    <t>陕西嘉园西安城实业有限公司</t>
  </si>
  <si>
    <t>新城区华清西路以南、金花北路以西</t>
  </si>
  <si>
    <t>XC3-4-571</t>
  </si>
  <si>
    <t>＞1且＜2.8</t>
  </si>
  <si>
    <t>≤20</t>
  </si>
  <si>
    <t>2016-11-14</t>
  </si>
  <si>
    <t>2016-12-05</t>
  </si>
  <si>
    <t>2016-12-15</t>
  </si>
  <si>
    <t>西土出告字[2016]148号-2</t>
  </si>
  <si>
    <t>西安玺旭置业有限公司</t>
  </si>
  <si>
    <t>≤26.5</t>
  </si>
  <si>
    <t>雁塔区丈八北路以西、科技路以北</t>
  </si>
  <si>
    <t>雁塔区</t>
  </si>
  <si>
    <t>YT1-7-354,YT1-7-355</t>
  </si>
  <si>
    <t>＞1且≤4.62</t>
  </si>
  <si>
    <t>≤24.8</t>
  </si>
  <si>
    <t>2017-07-05</t>
  </si>
  <si>
    <t>2017-07-18</t>
  </si>
  <si>
    <t>西土出告字[2017]91号</t>
  </si>
  <si>
    <t>金辉</t>
  </si>
  <si>
    <t>大兴新区昆明路以南、周家围墙村第二村民小组用地以东、西安时代博金置业有限公司用地以北</t>
  </si>
  <si>
    <t>YT1-6-21-1</t>
  </si>
  <si>
    <t>＞1且≤6.84</t>
  </si>
  <si>
    <t>≤45.1</t>
  </si>
  <si>
    <t>2017-04-06</t>
  </si>
  <si>
    <t>2017-04-24</t>
  </si>
  <si>
    <t>2017-05-08</t>
  </si>
  <si>
    <t>西土出告字[2017]49号</t>
  </si>
  <si>
    <t>西安市宏峰实业有限公司</t>
  </si>
  <si>
    <t>雁塔区西部大道以南、文苑北路以东</t>
  </si>
  <si>
    <t>YT2-25-55-4</t>
  </si>
  <si>
    <t>＞1且≤3.374</t>
  </si>
  <si>
    <t>2017-02-06</t>
  </si>
  <si>
    <t>2017-03-28</t>
  </si>
  <si>
    <t>西土出告字[2017]6号-2</t>
  </si>
  <si>
    <t>西安国谊置业发展有限公司</t>
  </si>
  <si>
    <t>YT2-25-55-3</t>
  </si>
  <si>
    <t>＞1且≤3.355</t>
  </si>
  <si>
    <t>≤28.5</t>
  </si>
  <si>
    <t>西土出告字[2017]6号-1</t>
  </si>
  <si>
    <t>雁塔区科技六路以北、经九路以东</t>
  </si>
  <si>
    <t>YT7-7-144</t>
  </si>
  <si>
    <t>2017-02-20</t>
  </si>
  <si>
    <t>2017-03-03</t>
  </si>
  <si>
    <t>西土出告字[2017]9号-1</t>
  </si>
  <si>
    <t>陕西尚润房地产开发有限公司</t>
  </si>
  <si>
    <t>雁塔区科技六路以北、经五路以西</t>
  </si>
  <si>
    <t>YT7-7-145</t>
  </si>
  <si>
    <t>西土出告字[2017]9号-2</t>
  </si>
  <si>
    <t>雁塔区公园南路以东、长鸣路以西、北陆路以北</t>
  </si>
  <si>
    <t>YT6-4-93</t>
  </si>
  <si>
    <t>≥20且≤25</t>
  </si>
  <si>
    <t>2016-12-01</t>
  </si>
  <si>
    <t>2016-12-19</t>
  </si>
  <si>
    <t>2016-12-28</t>
  </si>
  <si>
    <t>西土出告字[2016]157号</t>
  </si>
  <si>
    <t>西安幸福公园置业有限公司</t>
  </si>
  <si>
    <t>雁塔区科技五路以南、经九路以东</t>
  </si>
  <si>
    <t>YT7-7-140</t>
  </si>
  <si>
    <t>＞1且≤3</t>
  </si>
  <si>
    <t>西土出告字[2016]149号-1</t>
  </si>
  <si>
    <t>雁塔区经五路以西</t>
  </si>
  <si>
    <t>YT7-7-143</t>
  </si>
  <si>
    <t>＞1且≤3.5</t>
  </si>
  <si>
    <t>西土出告字[2016]149号-4</t>
  </si>
  <si>
    <t>雁塔区经九路以东</t>
  </si>
  <si>
    <t>YT7-7-142</t>
  </si>
  <si>
    <t>西土出告字[2016]149号-3</t>
  </si>
  <si>
    <t>雁塔区科技五路以南、经五路以西</t>
  </si>
  <si>
    <t>YT7-7-141</t>
  </si>
  <si>
    <t>西土出告字[2016]149号-2</t>
  </si>
  <si>
    <t>航天基地雁塔南路与航创路十字西南角</t>
  </si>
  <si>
    <t>HT01-25-53</t>
  </si>
  <si>
    <t>2016-10-27</t>
  </si>
  <si>
    <t>2016-11-10</t>
  </si>
  <si>
    <t>2016-11-19</t>
  </si>
  <si>
    <t>西土出告字[2016]136号</t>
  </si>
  <si>
    <t>西安中铁联盈置业有限公司</t>
  </si>
  <si>
    <t>雁塔区东临经十四路、西临经十五路、南临金泰A路、北临大寨路</t>
  </si>
  <si>
    <t>YT1-10-634</t>
  </si>
  <si>
    <t>＞1且≤4.2</t>
  </si>
  <si>
    <t>2016-08-16</t>
  </si>
  <si>
    <t>2016-09-01</t>
  </si>
  <si>
    <t>2016-09-18</t>
  </si>
  <si>
    <t>西土出告字[2016]101号</t>
  </si>
  <si>
    <t>陕西华洲置业发展有限公司</t>
  </si>
  <si>
    <t>雁塔区丈八东路与子午大道西南角</t>
  </si>
  <si>
    <t>YT2-24-53</t>
  </si>
  <si>
    <t>＞1且≤4.5</t>
  </si>
  <si>
    <t>2016-09-07</t>
  </si>
  <si>
    <t>西土出告字[2016]99号</t>
  </si>
  <si>
    <t>陕西广泽置业有限公司</t>
  </si>
  <si>
    <t>未央区北客站以南、尚贤路以西、北三环以北、明光路以东</t>
  </si>
  <si>
    <t>未央区</t>
  </si>
  <si>
    <t>WY8-57-156</t>
  </si>
  <si>
    <t>住宅,商业</t>
  </si>
  <si>
    <t>住宅≤2.8,商服≤4</t>
  </si>
  <si>
    <t>住宅≤25%,商服≤50%</t>
  </si>
  <si>
    <t>2017-08-30</t>
  </si>
  <si>
    <t>2017-09-19</t>
  </si>
  <si>
    <t>2017-09-30</t>
  </si>
  <si>
    <t>西土出告字〔2017〕136号</t>
  </si>
  <si>
    <t>西安唐悦置业有限公司</t>
  </si>
  <si>
    <t>住宅70年商服50年</t>
  </si>
  <si>
    <t>未央区新行政中心以东、太华路北延伸线西侧</t>
  </si>
  <si>
    <t>WY9-6-231-2</t>
  </si>
  <si>
    <t>居住、商服用地</t>
  </si>
  <si>
    <t>≤3.91</t>
  </si>
  <si>
    <t>≤23.8%</t>
  </si>
  <si>
    <t>2017-07-28</t>
  </si>
  <si>
    <t>2017-08-16</t>
  </si>
  <si>
    <t>2017-08-29</t>
  </si>
  <si>
    <t>西土出告字〔2017〕117号-2</t>
  </si>
  <si>
    <t>陕西荣锦房地产开发有限公司</t>
  </si>
  <si>
    <t>居住70年商服40年</t>
  </si>
  <si>
    <t>WY9-6-231-1</t>
  </si>
  <si>
    <t>≤4.34</t>
  </si>
  <si>
    <t>≤27.26%</t>
  </si>
  <si>
    <t>西土出告字〔2017〕117号-1</t>
  </si>
  <si>
    <t>陕西天和实业发展有限责任公司</t>
  </si>
  <si>
    <t>未央区凤城八路以南、经九路以东、环园北路以北</t>
  </si>
  <si>
    <t>WY9-3-142</t>
  </si>
  <si>
    <t>≤3.7</t>
  </si>
  <si>
    <t>≤27.5</t>
  </si>
  <si>
    <t>2017-07-01</t>
  </si>
  <si>
    <t>2017-07-21</t>
  </si>
  <si>
    <t>2017-08-03</t>
  </si>
  <si>
    <t>西土出告字〔2017〕100号-2</t>
  </si>
  <si>
    <t>西安源鑫置业有限公司</t>
  </si>
  <si>
    <t>WY9-3-143</t>
  </si>
  <si>
    <t>西土出告字〔2017〕100号-3</t>
  </si>
  <si>
    <t>未央区西安煜星置业有限公司以西、代征路以东、以北</t>
  </si>
  <si>
    <t>WY11-2-365-10、WY11-2-365-11</t>
  </si>
  <si>
    <t>WY11-2-365-10其他普通商品住房用地、WY11-2-365-11其他商服用地</t>
  </si>
  <si>
    <t>＞1且≤4.92</t>
  </si>
  <si>
    <t>≤36</t>
  </si>
  <si>
    <t>西土出告字[2017]90号</t>
  </si>
  <si>
    <t>陕西旅游集团西安旅游文化产业有限公司</t>
  </si>
  <si>
    <t>未央区曹家庙村以南、代征路以西、代征绿地以北</t>
  </si>
  <si>
    <t>WY11-2-365-5、WY11-2-365-6</t>
  </si>
  <si>
    <t>恒大地产</t>
  </si>
  <si>
    <t>大兴新区,西安惠风置业有限公司用地以北、以东</t>
  </si>
  <si>
    <t>WY10-34-188</t>
  </si>
  <si>
    <t>≤23.2</t>
  </si>
  <si>
    <t>2017-05-27</t>
  </si>
  <si>
    <t>2017-06-26</t>
  </si>
  <si>
    <t>西土出告字[2017]73号</t>
  </si>
  <si>
    <t>西安惠风置业有限公司</t>
  </si>
  <si>
    <t>大兴新区西安融逸房地产开发有限公司用地以北、代征道路以东、以西</t>
  </si>
  <si>
    <t>WY10-11-69-1</t>
  </si>
  <si>
    <t>西土出告字[2017]72号</t>
  </si>
  <si>
    <t>西安融逸房地产开发有限公司</t>
  </si>
  <si>
    <t>未央区凤城八路以南、西安核设备有限公司以西</t>
  </si>
  <si>
    <t>WY9-3-168</t>
  </si>
  <si>
    <t>2017-03-30</t>
  </si>
  <si>
    <t>2017-04-28</t>
  </si>
  <si>
    <t>西土出告字[2017]44号</t>
  </si>
  <si>
    <t>陕西中机腾达置业有限公司</t>
  </si>
  <si>
    <t>未央区尚华路以西、尚苑路以南</t>
  </si>
  <si>
    <t>WY6-14-100</t>
  </si>
  <si>
    <t>＞1且≤4.29</t>
  </si>
  <si>
    <t>≤28.03</t>
  </si>
  <si>
    <t>2016-10-17</t>
  </si>
  <si>
    <t>2016-11-07</t>
  </si>
  <si>
    <t>2016-11-16</t>
  </si>
  <si>
    <t>西土出告字[2016]135号-1</t>
  </si>
  <si>
    <t>西安奥达房地产开发有限责任公司</t>
  </si>
  <si>
    <t>未央区尚贤路以东、尚苑路以南</t>
  </si>
  <si>
    <t>WY6-14-99</t>
  </si>
  <si>
    <t>＞1且≤4.68</t>
  </si>
  <si>
    <t>≤30.33</t>
  </si>
  <si>
    <t>西土出告字[2016]135号-2</t>
  </si>
  <si>
    <t>未央区尚新路东段韩家湾村</t>
  </si>
  <si>
    <t>WY6-18-242</t>
  </si>
  <si>
    <t>＞1且≤3.32</t>
  </si>
  <si>
    <t>≤22.5</t>
  </si>
  <si>
    <t>2016-09-05</t>
  </si>
  <si>
    <t>2016-09-19</t>
  </si>
  <si>
    <t>西土出告字[2016]105号</t>
  </si>
  <si>
    <t>西安杨林房地产开发有限公司</t>
  </si>
  <si>
    <t>沣东新城武警学院北侧、双拥路以东</t>
  </si>
  <si>
    <t>WY5-17-17</t>
  </si>
  <si>
    <t>＞1且≤5.8</t>
  </si>
  <si>
    <t>≤34.27</t>
  </si>
  <si>
    <t>2016-09-02</t>
  </si>
  <si>
    <t>西土出告字[2016]102号</t>
  </si>
  <si>
    <t>西安持盈地产有限责任公司</t>
  </si>
  <si>
    <t>雁塔区</t>
    <phoneticPr fontId="26" type="noConversion"/>
  </si>
  <si>
    <t>未央区</t>
    <phoneticPr fontId="26" type="noConversion"/>
  </si>
  <si>
    <t>住宅用地</t>
    <phoneticPr fontId="26" type="noConversion"/>
  </si>
  <si>
    <t>估价对象周边居住用地比例、居住小区规模和社区发展完善程度，综合评价居住社区成熟度较好</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</si>
  <si>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商圈，周边商业氛围成熟，人流量大，商业繁华度一般</t>
    </r>
    <phoneticPr fontId="3" type="noConversion"/>
  </si>
  <si>
    <t>估价对象周边道路状况、公共交通通达情况、停车便捷程度，综合评价交通便捷度较好</t>
    <phoneticPr fontId="3" type="noConversion"/>
  </si>
  <si>
    <t>好</t>
  </si>
  <si>
    <t>已全部缴纳</t>
  </si>
  <si>
    <t>自定义</t>
  </si>
  <si>
    <t>按租金收入计税</t>
  </si>
  <si>
    <t>不动产收益法-车库</t>
  </si>
  <si>
    <t>不动产收益法-商业</t>
  </si>
  <si>
    <t>雁塔区</t>
    <phoneticPr fontId="3" type="noConversion"/>
  </si>
  <si>
    <t>区域自然环境：；人文环境；综合评价好</t>
    <phoneticPr fontId="3" type="noConversion"/>
  </si>
  <si>
    <t>洋房</t>
    <phoneticPr fontId="21" type="noConversion"/>
  </si>
  <si>
    <t>西安融创胤达置业有限公司</t>
    <phoneticPr fontId="3" type="noConversion"/>
  </si>
  <si>
    <t>新城区</t>
    <phoneticPr fontId="21" type="noConversion"/>
  </si>
  <si>
    <t>去年时点</t>
    <phoneticPr fontId="9" type="noConversion"/>
  </si>
  <si>
    <t xml:space="preserve"> 2018-1-0378-P02DYGJ1</t>
    <phoneticPr fontId="6" type="noConversion"/>
  </si>
  <si>
    <t>土地星级</t>
  </si>
  <si>
    <t>西安曲江大明宫遗址区</t>
  </si>
  <si>
    <t>拍卖</t>
  </si>
  <si>
    <t>QJ10-(5)-35/QJ10-(5)-34</t>
  </si>
  <si>
    <t>≤2.196</t>
  </si>
  <si>
    <t>见公告</t>
  </si>
  <si>
    <t>公共租赁房,</t>
  </si>
  <si>
    <t>含保障房用地</t>
  </si>
  <si>
    <t>2019-01-08</t>
  </si>
  <si>
    <t>2019-01-29</t>
  </si>
  <si>
    <t>西土出告字〔2019〕4号</t>
  </si>
  <si>
    <t>西安正荣置业发展有限公司</t>
  </si>
  <si>
    <t>住宅用地土地使用年期为七十年,商服用地土地使用年期为四十年</t>
  </si>
  <si>
    <t>5星</t>
  </si>
  <si>
    <t>西安曲江大明宫遗址区凤城四路以南、红旗铁路专用线以西</t>
  </si>
  <si>
    <t>QJ10-4-361</t>
  </si>
  <si>
    <t>≤3.5</t>
  </si>
  <si>
    <t>≤17%</t>
  </si>
  <si>
    <t>2018-12-28</t>
  </si>
  <si>
    <t>2019-01-17</t>
  </si>
  <si>
    <t>西土出告字〔2018〕134号</t>
  </si>
  <si>
    <t>西安莱嘉置业有限公司</t>
  </si>
  <si>
    <t>住宅用地70年、商服用地40年</t>
  </si>
  <si>
    <t>西安曲江大明宫遗址区凤城五路以南、红旗铁路专用线以西</t>
  </si>
  <si>
    <t>QJ10-4-358/QJ10-4-359/QJ10-4-360</t>
  </si>
  <si>
    <t>住宅,商业,教育</t>
  </si>
  <si>
    <t>≤3.227</t>
  </si>
  <si>
    <t>西安莱恒置业有限公司</t>
  </si>
  <si>
    <t>住宅用地70年、商服用地40年,教育50年</t>
  </si>
  <si>
    <t>西安曲江大明宫遗址区凤城三路以北、红旗铁路专用线以西</t>
  </si>
  <si>
    <t>QJ10-4-362</t>
  </si>
  <si>
    <t>≤3.9</t>
  </si>
  <si>
    <t>≤20%</t>
  </si>
  <si>
    <t>西安莱鼎置业有限公司</t>
  </si>
  <si>
    <t>西安曲江大明宫遗址区,北临环园中路、西临恒大御景项目、南临凤城四路</t>
  </si>
  <si>
    <t>QJ10-(5)-33</t>
  </si>
  <si>
    <t>≤2.8</t>
  </si>
  <si>
    <t>西土出告字〔2018〕133号</t>
  </si>
  <si>
    <t>雁塔区清凉寺北路以南、东仪路以东、长兴路以西、西部大道以北</t>
  </si>
  <si>
    <t>YT4-22-52</t>
  </si>
  <si>
    <t>住宅、商服</t>
  </si>
  <si>
    <t>≥1.2,≤2.8</t>
  </si>
  <si>
    <t>≤25%</t>
  </si>
  <si>
    <t>限地价,竞配建</t>
  </si>
  <si>
    <t>2018-12-02</t>
  </si>
  <si>
    <t>2018-12-24</t>
  </si>
  <si>
    <t>西土出告字〔2018〕115号</t>
  </si>
  <si>
    <t>西安建工胜航置业有限责任公司</t>
  </si>
  <si>
    <t>70年,40年</t>
  </si>
  <si>
    <t>XC3-4-17-8</t>
  </si>
  <si>
    <t>限地价,竞配建,含保障房用地</t>
  </si>
  <si>
    <t>西安胤博置业有限公司</t>
  </si>
  <si>
    <t>雁塔区西延路以东、青龙路以南</t>
  </si>
  <si>
    <t>YT5-8-34</t>
  </si>
  <si>
    <t>住宅,商服</t>
  </si>
  <si>
    <t>≥1.2,≤5.35</t>
  </si>
  <si>
    <t>2.4%</t>
  </si>
  <si>
    <t>≤22.8%</t>
  </si>
  <si>
    <t>2018-11-28</t>
  </si>
  <si>
    <t>2018-12-19</t>
  </si>
  <si>
    <t>西土出告字〔2018〕114号</t>
  </si>
  <si>
    <t>陕西恒志置业有限公司</t>
  </si>
  <si>
    <t>住宅用地出让年限70年,商服出让年限40年</t>
  </si>
  <si>
    <t>雁塔区雁翔路以东,青龙寺路以南</t>
  </si>
  <si>
    <t>YT6-1-85-1/YT6-1-86-1</t>
  </si>
  <si>
    <t>≥0.94,≤2.609</t>
  </si>
  <si>
    <t>≤24.4%</t>
  </si>
  <si>
    <t>限地价,竞配建,含人才住房</t>
  </si>
  <si>
    <t>含人才住房</t>
  </si>
  <si>
    <t>2018-10-18</t>
  </si>
  <si>
    <t>2018-11-07</t>
  </si>
  <si>
    <t>西土出告字〔2018〕87号-1</t>
  </si>
  <si>
    <t>陕西金泰恒业房地产有限公司</t>
  </si>
  <si>
    <t>住宅70年,商业40年</t>
  </si>
  <si>
    <t>雁塔区新安东街以西,青龙寺路以南</t>
  </si>
  <si>
    <t>YT6-1-90</t>
  </si>
  <si>
    <t>≥1.2,≤2.5</t>
  </si>
  <si>
    <t>西土出告字〔2018〕87号-2</t>
  </si>
  <si>
    <t>大白杨东路以南,陕西金叶万润置业有限公司用地以北,陕西省送便电工程公司用地以东,陕西克力房地产开发有限责任公司用地以西</t>
  </si>
  <si>
    <t>WY10-11-8-1</t>
  </si>
  <si>
    <t>≤7.5</t>
  </si>
  <si>
    <t>≤39.2%</t>
  </si>
  <si>
    <t>2018-09-22</t>
  </si>
  <si>
    <t>2018-10-12</t>
  </si>
  <si>
    <t>西土出告字〔2018〕74号</t>
  </si>
  <si>
    <t>陕西克力房地产开发有限责任公司</t>
  </si>
  <si>
    <t>70/40年</t>
  </si>
  <si>
    <t>大兴新区利君集团有限责任公司以南、市国土局大兴新区管理办公室用地以北,西安利君精华制药有限责任公司用地、西安金辉融宇房地产开发有限公司用地以西,西安利君精华药业有限责任公司用地以东</t>
  </si>
  <si>
    <t>LH9-7-22-1</t>
  </si>
  <si>
    <t>≤4.81</t>
  </si>
  <si>
    <t>≤22.51%</t>
  </si>
  <si>
    <t>2018-09-07</t>
  </si>
  <si>
    <t>2018-09-26</t>
  </si>
  <si>
    <t>西土出告字〔2018〕71号</t>
  </si>
  <si>
    <t>西安君惠房地产开发有限公司</t>
  </si>
  <si>
    <t>红光路以北,西户铁路以南,石家村城改安置地块以东</t>
  </si>
  <si>
    <t>FD2-13-10</t>
  </si>
  <si>
    <t>商住用地</t>
  </si>
  <si>
    <t>≥2,≤3</t>
  </si>
  <si>
    <t>≤26%</t>
  </si>
  <si>
    <t>2018-07-06</t>
  </si>
  <si>
    <t>2018-08-03</t>
  </si>
  <si>
    <t>西咸土出告字〔2018〕013号</t>
  </si>
  <si>
    <t>西安嘉宝摩码置业有限公司</t>
  </si>
  <si>
    <t>碑林区雁塔路以东、心晴雅苑以西、金都国际以南、中国人民解放军61540部队以北</t>
  </si>
  <si>
    <t>碑林区</t>
  </si>
  <si>
    <t>BL8-14-8-1</t>
  </si>
  <si>
    <t>＞1且≤9.95</t>
  </si>
  <si>
    <t>≤60</t>
  </si>
  <si>
    <t>2018-03-13</t>
  </si>
  <si>
    <t>2018-04-03</t>
  </si>
  <si>
    <t>西土出告字[2018]25号</t>
  </si>
  <si>
    <t>西安鹏博置业有限公司</t>
  </si>
  <si>
    <t>东至朱雀路南延伸线、西至东姜村、南至长安区、北至北寨子村</t>
  </si>
  <si>
    <t>YT4-22-43-1</t>
  </si>
  <si>
    <t>＞1且≤3.36</t>
  </si>
  <si>
    <t>≤28%</t>
  </si>
  <si>
    <t>2018-01-22</t>
  </si>
  <si>
    <t>2018-02-13</t>
  </si>
  <si>
    <t>西土出告字[2018]6号</t>
  </si>
  <si>
    <t>西安龙湖地产发展有限公司</t>
  </si>
  <si>
    <t>YT4-22-42-2</t>
  </si>
  <si>
    <t>2018-02-06</t>
  </si>
  <si>
    <t>西安南湖锦腾置业有限公司</t>
  </si>
  <si>
    <t>YT4-22-41-2</t>
  </si>
  <si>
    <t>＞1且≤2.88</t>
  </si>
  <si>
    <t>≤22%</t>
  </si>
  <si>
    <t>西安旭晟置业有限公司</t>
  </si>
  <si>
    <t>YT4-22-43-2</t>
  </si>
  <si>
    <t>未央区徐家湾同建路6号</t>
  </si>
  <si>
    <t>WY1-4-10-4</t>
  </si>
  <si>
    <t>综合用地</t>
  </si>
  <si>
    <t>≤3</t>
  </si>
  <si>
    <t>2018-01-26</t>
  </si>
  <si>
    <t>西土出告字〔2018〕5号</t>
  </si>
  <si>
    <t>陕西科为房地产开发有限公司</t>
  </si>
  <si>
    <t>碑林区永宁路以西、长安路以东、友谊路以南</t>
  </si>
  <si>
    <t>BL9-13-71</t>
  </si>
  <si>
    <t>＞1且≤10.74</t>
  </si>
  <si>
    <t>≤39.29%</t>
  </si>
  <si>
    <t>2017-12-15</t>
  </si>
  <si>
    <t>2018-01-07</t>
  </si>
  <si>
    <t>西土出告字[2017]179号</t>
  </si>
  <si>
    <t>陕西九洲电子开发有限责任公司</t>
  </si>
  <si>
    <t>4星</t>
  </si>
  <si>
    <t>廉租房,</t>
  </si>
  <si>
    <t>限地价,含保障房用地</t>
  </si>
  <si>
    <t>中建锦绣天地</t>
    <phoneticPr fontId="3" type="noConversion"/>
  </si>
  <si>
    <t>叠墅</t>
  </si>
  <si>
    <t>叠墅</t>
    <phoneticPr fontId="21" type="noConversion"/>
  </si>
  <si>
    <t>高层</t>
    <phoneticPr fontId="233" type="noConversion"/>
  </si>
  <si>
    <t>海伦湾</t>
    <phoneticPr fontId="3" type="noConversion"/>
  </si>
  <si>
    <t>联排</t>
  </si>
  <si>
    <t>联排</t>
    <phoneticPr fontId="21" type="noConversion"/>
  </si>
  <si>
    <t>雁鸣墅语</t>
    <phoneticPr fontId="3" type="noConversion"/>
  </si>
  <si>
    <t>浐灞区</t>
    <phoneticPr fontId="3" type="noConversion"/>
  </si>
  <si>
    <t>华清学府城</t>
    <phoneticPr fontId="3" type="noConversion"/>
  </si>
  <si>
    <t>新城区</t>
    <phoneticPr fontId="3" type="noConversion"/>
  </si>
  <si>
    <t>雁塔区</t>
    <phoneticPr fontId="3" type="noConversion"/>
  </si>
  <si>
    <t>新城区华清西路以南、金花北路以西</t>
    <phoneticPr fontId="233" type="noConversion"/>
  </si>
  <si>
    <t>中国铁建花语城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</si>
</sst>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8" fillId="8" borderId="8" xfId="0" applyFont="1" applyFill="1" applyBorder="1" applyAlignment="1" applyProtection="1">
      <alignment vertical="center"/>
      <protection locked="0"/>
    </xf>
    <xf numFmtId="0" fontId="164" fillId="0" borderId="2" xfId="0" applyFont="1" applyBorder="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82" fillId="8" borderId="0" xfId="0" applyFont="1" applyFill="1" applyAlignment="1" applyProtection="1">
      <protection locked="0"/>
    </xf>
    <xf numFmtId="182" fontId="76" fillId="0" borderId="2" xfId="0" applyNumberFormat="1" applyFont="1" applyFill="1" applyBorder="1" applyAlignment="1" applyProtection="1">
      <alignment horizontal="center" vertical="center"/>
      <protection locked="0"/>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178" fontId="71"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76" fillId="0" borderId="0" xfId="0" applyFont="1" applyAlignment="1" applyProtection="1">
      <alignment horizontal="right" vertical="center"/>
      <protection locked="0"/>
    </xf>
    <xf numFmtId="0" fontId="164" fillId="0" borderId="2" xfId="0" applyFont="1" applyFill="1" applyBorder="1" applyAlignment="1"/>
    <xf numFmtId="0" fontId="127" fillId="0" borderId="2" xfId="0" applyFont="1" applyFill="1" applyBorder="1" applyAlignment="1"/>
    <xf numFmtId="0" fontId="170" fillId="0" borderId="2" xfId="0" applyFont="1" applyBorder="1" applyAlignment="1"/>
    <xf numFmtId="0" fontId="277" fillId="0" borderId="2" xfId="0" applyFont="1" applyFill="1" applyBorder="1" applyAlignment="1"/>
    <xf numFmtId="0" fontId="170" fillId="0" borderId="2" xfId="0" applyFont="1" applyFill="1" applyBorder="1" applyAlignment="1"/>
    <xf numFmtId="0" fontId="164" fillId="6" borderId="2" xfId="0" applyFont="1" applyFill="1" applyBorder="1" applyAlignment="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49" fillId="0" borderId="11" xfId="0" applyNumberFormat="1" applyFont="1" applyFill="1" applyBorder="1" applyAlignment="1" applyProtection="1">
      <alignment horizontal="center" vertical="center" wrapText="1"/>
      <protection locked="0"/>
    </xf>
    <xf numFmtId="49" fontId="149" fillId="0" borderId="43" xfId="0" applyNumberFormat="1"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1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160"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49" fontId="167" fillId="0" borderId="22" xfId="0" applyNumberFormat="1"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10886</xdr:colOff>
      <xdr:row>51</xdr:row>
      <xdr:rowOff>43543</xdr:rowOff>
    </xdr:from>
    <xdr:to>
      <xdr:col>8</xdr:col>
      <xdr:colOff>623026</xdr:colOff>
      <xdr:row>85</xdr:row>
      <xdr:rowOff>138133</xdr:rowOff>
    </xdr:to>
    <xdr:pic>
      <xdr:nvPicPr>
        <xdr:cNvPr id="5" name="图片 4"/>
        <xdr:cNvPicPr>
          <a:picLocks noChangeAspect="1"/>
        </xdr:cNvPicPr>
      </xdr:nvPicPr>
      <xdr:blipFill>
        <a:blip xmlns:r="http://schemas.openxmlformats.org/officeDocument/2006/relationships" r:embed="rId1"/>
        <a:stretch>
          <a:fillRect/>
        </a:stretch>
      </xdr:blipFill>
      <xdr:spPr>
        <a:xfrm>
          <a:off x="10886" y="7815943"/>
          <a:ext cx="7774940" cy="52761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907" customWidth="1"/>
    <col min="2" max="2" width="78.21875" style="2908" customWidth="1"/>
    <col min="3" max="18" width="9" style="2902"/>
    <col min="19" max="19" width="17.88671875" style="2902" customWidth="1"/>
    <col min="20" max="51" width="9" style="2902"/>
    <col min="52" max="52" width="13.21875" style="2902" customWidth="1"/>
    <col min="53" max="53" width="13.44140625" style="2902" bestFit="1" customWidth="1"/>
    <col min="54" max="54" width="11.6640625" style="2902" bestFit="1" customWidth="1"/>
    <col min="55" max="55" width="13.44140625" style="2902" bestFit="1" customWidth="1"/>
    <col min="56" max="16384" width="9" style="2902"/>
  </cols>
  <sheetData>
    <row r="1" spans="1:55" s="2913" customFormat="1" ht="16.2" thickBot="1">
      <c r="A1" s="2911" t="s">
        <v>2654</v>
      </c>
      <c r="B1" s="2912" t="s">
        <v>2751</v>
      </c>
    </row>
    <row r="2" spans="1:55" s="2916" customFormat="1" ht="16.2" thickTop="1">
      <c r="A2" s="2914" t="s">
        <v>2658</v>
      </c>
      <c r="B2" s="2915" t="str">
        <f>'预评函-封皮'!B37</f>
        <v>陕西省西安市新城区“东方宸院”项目出让国有建设用地使用权市场价格预评估</v>
      </c>
      <c r="AX2" s="2917"/>
      <c r="AZ2" s="2917"/>
      <c r="BA2" s="2918"/>
      <c r="BC2" s="2918"/>
    </row>
    <row r="3" spans="1:55" s="2919" customFormat="1">
      <c r="A3" s="2898" t="s">
        <v>2659</v>
      </c>
      <c r="B3" s="2901" t="str">
        <f>'预评函-封皮'!B40</f>
        <v>中诚信托有限责任公司</v>
      </c>
    </row>
    <row r="4" spans="1:55" s="2900" customFormat="1">
      <c r="A4" s="2898" t="s">
        <v>2660</v>
      </c>
      <c r="B4" s="2899" t="str">
        <f>'预评函-封皮'!B46</f>
        <v>欧红伟、崔锴</v>
      </c>
      <c r="N4" s="2900" t="str">
        <f>'预评函-1'!A28</f>
        <v>——</v>
      </c>
    </row>
    <row r="5" spans="1:55" s="2913" customFormat="1" ht="16.2" thickBot="1">
      <c r="A5" s="2920" t="s">
        <v>2661</v>
      </c>
      <c r="B5" s="2921" t="str">
        <f>'预评函-封皮'!B49</f>
        <v>康正预评字 2018-1-0378-P02DYGJ1号</v>
      </c>
    </row>
    <row r="6" spans="1:55" s="2922" customFormat="1" ht="16.2" thickTop="1">
      <c r="A6" s="2914" t="s">
        <v>2703</v>
      </c>
      <c r="B6" s="2915" t="str">
        <f>'预评函-1'!A4</f>
        <v>受贵公司委托，我公司对陕西省西安市新城区“东方宸院”项目出让国有建设用地使用权市场价格进行了预评估。</v>
      </c>
      <c r="AM6" s="2923"/>
    </row>
    <row r="7" spans="1:55" s="2897" customFormat="1">
      <c r="A7" s="2898" t="s">
        <v>2655</v>
      </c>
      <c r="B7" s="2899" t="str">
        <f>'预评函-1'!A6</f>
        <v>估价对象为西安融创胤达置业有限公司使用的、位于陕西省西安市新城区“东方宸院”项目出让国有建设用地使用权。根据《国有土地使用证》[]，估价对象（分摊）出让国有建设用地使用权面积为65565平方米。根据《建设工程规划许可证》[]、《出让合同》[]，估价对象规划建筑面积为237470平方米。</v>
      </c>
    </row>
    <row r="8" spans="1:55" s="2897" customFormat="1">
      <c r="A8" s="2898" t="s">
        <v>2656</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2706</v>
      </c>
      <c r="B9" s="2899" t="str">
        <f>'预评函-1'!A9</f>
        <v>本次评估为委托估价方了解标的物之市场价格提供参考依据而评估出让国有建设用地使用权市场价格。</v>
      </c>
    </row>
    <row r="10" spans="1:55" s="2897" customFormat="1">
      <c r="A10" s="2898" t="s">
        <v>2657</v>
      </c>
      <c r="B10" s="2899" t="str">
        <f>'预评函-1'!A11</f>
        <v>2019年2月11日（评估专业人员勘察现场之日）</v>
      </c>
    </row>
    <row r="11" spans="1:55" s="2897" customFormat="1">
      <c r="A11" s="2898" t="s">
        <v>2663</v>
      </c>
      <c r="B11" s="2899" t="str">
        <f>'预评函-1'!A14</f>
        <v>根据《国有土地使用证》[]，本次评估估价对象证载（地类）用途为。</v>
      </c>
    </row>
    <row r="12" spans="1:55" s="2897" customFormat="1">
      <c r="A12" s="2898" t="s">
        <v>2664</v>
      </c>
      <c r="B12" s="2899" t="str">
        <f>'预评函-1'!A15</f>
        <v>本次评估设定用途即为证载用途住宅。</v>
      </c>
    </row>
    <row r="13" spans="1:55" s="2897" customFormat="1">
      <c r="A13" s="2898" t="s">
        <v>2665</v>
      </c>
      <c r="B13" s="2899" t="str">
        <f>'预评函-1'!A17</f>
        <v>根据委托估价方介绍及评估专业人员现场勘查，本次评估估价对象实际土地开发程度为红线外市政基础设施达“七通”（即通路、通电、通上水、、、、）、宗地红线内场地未平整，。</v>
      </c>
    </row>
    <row r="14" spans="1:55" s="2897" customFormat="1">
      <c r="A14" s="2898" t="s">
        <v>2666</v>
      </c>
      <c r="B14" s="2899" t="str">
        <f>'预评函-1'!A18</f>
        <v>。本次评估设定土地开发程度为红线外市政基础设施达“七通”、宗地红线内场地平整。</v>
      </c>
    </row>
    <row r="15" spans="1:55" s="2897" customFormat="1">
      <c r="A15" s="2898" t="s">
        <v>2662</v>
      </c>
      <c r="B15" s="2899" t="str">
        <f>'预评函-1'!A20</f>
        <v>根据《国有土地使用证》[]，估价对象（分摊）出让国有建设用地使用权面积为65565平方米。根据《建设工程规划许可证》[]、《出让合同》[]，估价对象规划建筑面积为237470平方米。</v>
      </c>
    </row>
    <row r="16" spans="1:55" s="2897" customFormat="1">
      <c r="A16" s="2898" t="s">
        <v>2667</v>
      </c>
      <c r="B16" s="289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2月10日、商业2059年2月10日车库2069年2月10日。截至估价期日，出让国有建设用地使用权剩余土地使用年限为。</v>
      </c>
    </row>
    <row r="17" spans="1:48" s="2897" customFormat="1">
      <c r="A17" s="2898" t="s">
        <v>2668</v>
      </c>
      <c r="B17" s="2899" t="str">
        <f>'预评函-1'!A23</f>
        <v>本次评估设定估价对象剩余土地使用年限为。</v>
      </c>
    </row>
    <row r="18" spans="1:48" s="2897" customFormat="1">
      <c r="A18" s="2898" t="s">
        <v>2669</v>
      </c>
      <c r="B18" s="2899" t="str">
        <f>'预评函-1'!A25</f>
        <v>本次估价的“出让国有建设用地使用权价格”是指在估价对象土地所有权为国家所有，使用权性质为出让，在公开市场条件下、于估价期日2019年2月11日，在规划利用条件下、设定土地开发程度为红线外“七通”、宗地内场地，设定用途为住宅，剩余土地使用年限为的出让国有建设用地使用权价格。</v>
      </c>
    </row>
    <row r="19" spans="1:48" s="2897" customFormat="1">
      <c r="A19" s="2898" t="s">
        <v>2670</v>
      </c>
      <c r="B19" s="2899" t="str">
        <f>'预评函-1'!A26</f>
        <v>——</v>
      </c>
    </row>
    <row r="20" spans="1:48" s="2897" customFormat="1">
      <c r="A20" s="2898" t="s">
        <v>2671</v>
      </c>
      <c r="B20" s="2899" t="str">
        <f>'预评函-1'!A27</f>
        <v>——</v>
      </c>
    </row>
    <row r="21" spans="1:48" s="2913" customFormat="1" ht="16.2" thickBot="1">
      <c r="A21" s="2920" t="s">
        <v>2672</v>
      </c>
      <c r="B21" s="2921" t="str">
        <f>'预评函-1'!A28</f>
        <v>——</v>
      </c>
    </row>
    <row r="22" spans="1:48" ht="16.2" thickTop="1">
      <c r="A22" s="2909" t="s">
        <v>2673</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2674</v>
      </c>
      <c r="B23" s="2899" t="str">
        <f>'预评函-2'!K2</f>
        <v>估价期日：2019年2月11日</v>
      </c>
    </row>
    <row r="24" spans="1:48">
      <c r="A24" s="2898" t="s">
        <v>2675</v>
      </c>
      <c r="B24" s="2899" t="str">
        <f>'预评函-2'!R2</f>
        <v>估价期日的国有建设用地使用权性质：出让</v>
      </c>
    </row>
    <row r="25" spans="1:48">
      <c r="A25" s="2898" t="s">
        <v>2731</v>
      </c>
      <c r="B25" s="2899" t="str">
        <f>'预评函-2'!A3</f>
        <v>估价期日土地使用者</v>
      </c>
    </row>
    <row r="26" spans="1:48">
      <c r="A26" s="2898" t="s">
        <v>2707</v>
      </c>
      <c r="B26" s="2899" t="str">
        <f>'预评函-2'!A5</f>
        <v>中信开发</v>
      </c>
    </row>
    <row r="27" spans="1:48">
      <c r="A27" s="2898" t="s">
        <v>2732</v>
      </c>
      <c r="B27" s="2899" t="str">
        <f>'预评函-2'!B3</f>
        <v>宗地编号/不动产单元号</v>
      </c>
    </row>
    <row r="28" spans="1:48">
      <c r="A28" s="2898" t="s">
        <v>2708</v>
      </c>
      <c r="B28" s="2899" t="str">
        <f>'预评函-2'!B5</f>
        <v>11111111111</v>
      </c>
    </row>
    <row r="29" spans="1:48">
      <c r="A29" s="2898" t="s">
        <v>2734</v>
      </c>
      <c r="B29" s="2899">
        <f>'预评函-2'!C5</f>
        <v>22</v>
      </c>
    </row>
    <row r="30" spans="1:48">
      <c r="A30" s="2898" t="s">
        <v>2735</v>
      </c>
      <c r="B30" s="2899" t="str">
        <f>'预评函-2'!D3</f>
        <v>土地使用证编号/不动产权证书编号</v>
      </c>
    </row>
    <row r="31" spans="1:48">
      <c r="A31" s="2898" t="s">
        <v>2709</v>
      </c>
      <c r="B31" s="2899" t="str">
        <f>'预评函-2'!D5</f>
        <v>京国土字第111号</v>
      </c>
    </row>
    <row r="32" spans="1:48">
      <c r="A32" s="2898" t="s">
        <v>2710</v>
      </c>
      <c r="B32" s="2899">
        <f>'预评函-2'!E5</f>
        <v>0</v>
      </c>
      <c r="AV32" s="2903"/>
    </row>
    <row r="33" spans="1:2">
      <c r="A33" s="2898" t="s">
        <v>2711</v>
      </c>
      <c r="B33" s="2899">
        <f>'预评函-2'!F5</f>
        <v>258</v>
      </c>
    </row>
    <row r="34" spans="1:2">
      <c r="A34" s="2898" t="s">
        <v>2712</v>
      </c>
      <c r="B34" s="2899" t="str">
        <f>'预评函-2'!G5</f>
        <v>住宅</v>
      </c>
    </row>
    <row r="35" spans="1:2">
      <c r="A35" s="2898" t="s">
        <v>2713</v>
      </c>
      <c r="B35" s="2899">
        <f>'预评函-2'!H5</f>
        <v>1.5</v>
      </c>
    </row>
    <row r="36" spans="1:2">
      <c r="A36" s="2898" t="s">
        <v>2714</v>
      </c>
      <c r="B36" s="2899">
        <f>'预评函-2'!I5</f>
        <v>1.5</v>
      </c>
    </row>
    <row r="37" spans="1:2">
      <c r="A37" s="2898" t="s">
        <v>2715</v>
      </c>
      <c r="B37" s="2899">
        <f>'预评函-2'!J5</f>
        <v>1.5</v>
      </c>
    </row>
    <row r="38" spans="1:2">
      <c r="A38" s="2898" t="s">
        <v>2716</v>
      </c>
      <c r="B38" s="2899" t="str">
        <f>'预评函-2'!K5</f>
        <v>红线外七通、宗地红线内场地未平整</v>
      </c>
    </row>
    <row r="39" spans="1:2">
      <c r="A39" s="2898" t="s">
        <v>2717</v>
      </c>
      <c r="B39" s="2899" t="str">
        <f>'预评函-2'!L5</f>
        <v>红线外七通、宗地红线内场地</v>
      </c>
    </row>
    <row r="40" spans="1:2">
      <c r="A40" s="2898" t="s">
        <v>2736</v>
      </c>
      <c r="B40" s="2899" t="str">
        <f>'预评函-2'!M3</f>
        <v>（剩余）土地使用年限/年</v>
      </c>
    </row>
    <row r="41" spans="1:2">
      <c r="A41" s="2898" t="s">
        <v>2718</v>
      </c>
      <c r="B41" s="2899">
        <f>'预评函-2'!M5</f>
        <v>0</v>
      </c>
    </row>
    <row r="42" spans="1:2">
      <c r="A42" s="2898" t="s">
        <v>2737</v>
      </c>
      <c r="B42" s="2899" t="str">
        <f>'预评函-2'!N3</f>
        <v>（分摊）出让国有建设用地使用权面积/㎡</v>
      </c>
    </row>
    <row r="43" spans="1:2">
      <c r="A43" s="2898" t="s">
        <v>2719</v>
      </c>
      <c r="B43" s="2899">
        <f>'预评函-2'!N5</f>
        <v>65565</v>
      </c>
    </row>
    <row r="44" spans="1:2">
      <c r="A44" s="2898" t="s">
        <v>2738</v>
      </c>
      <c r="B44" s="2899" t="str">
        <f>'预评函-2'!O3</f>
        <v>规划建筑面积/㎡</v>
      </c>
    </row>
    <row r="45" spans="1:2">
      <c r="A45" s="2898" t="s">
        <v>2720</v>
      </c>
      <c r="B45" s="2899">
        <f>'预评函-2'!O5</f>
        <v>237470</v>
      </c>
    </row>
    <row r="46" spans="1:2">
      <c r="A46" s="2898" t="s">
        <v>2721</v>
      </c>
      <c r="B46" s="2899">
        <f ca="1">'预评函-2'!P5</f>
        <v>16865</v>
      </c>
    </row>
    <row r="47" spans="1:2">
      <c r="A47" s="2898" t="s">
        <v>2722</v>
      </c>
      <c r="B47" s="2899">
        <f ca="1">'预评函-2'!Q5</f>
        <v>4657</v>
      </c>
    </row>
    <row r="48" spans="1:2">
      <c r="A48" s="2898" t="s">
        <v>2723</v>
      </c>
      <c r="B48" s="2899">
        <f ca="1">'预评函-2'!R5</f>
        <v>110578</v>
      </c>
    </row>
    <row r="49" spans="1:2">
      <c r="A49" s="2898" t="s">
        <v>2739</v>
      </c>
      <c r="B49" s="2899" t="str">
        <f>'预评函-2'!A6</f>
        <v>——</v>
      </c>
    </row>
    <row r="50" spans="1:2">
      <c r="A50" s="2898" t="s">
        <v>2724</v>
      </c>
      <c r="B50" s="2899">
        <f ca="1">'预评函-2'!R6</f>
        <v>110578</v>
      </c>
    </row>
    <row r="51" spans="1:2">
      <c r="A51" s="2898" t="s">
        <v>2740</v>
      </c>
      <c r="B51" s="2899" t="str">
        <f>'预评函-2'!A7</f>
        <v>——</v>
      </c>
    </row>
    <row r="52" spans="1:2">
      <c r="A52" s="2898" t="s">
        <v>2725</v>
      </c>
      <c r="B52" s="2899" t="str">
        <f>'预评函-2'!R7</f>
        <v>——</v>
      </c>
    </row>
    <row r="53" spans="1:2">
      <c r="A53" s="2898" t="s">
        <v>2741</v>
      </c>
      <c r="B53" s="2899" t="str">
        <f>'预评函-2'!A8</f>
        <v>——</v>
      </c>
    </row>
    <row r="54" spans="1:2" s="2913" customFormat="1" ht="16.2" thickBot="1">
      <c r="A54" s="2920" t="s">
        <v>2726</v>
      </c>
      <c r="B54" s="2921" t="str">
        <f>'预评函-2'!R8</f>
        <v>——</v>
      </c>
    </row>
    <row r="55" spans="1:2" ht="16.2" thickTop="1">
      <c r="A55" s="2909" t="s">
        <v>2676</v>
      </c>
      <c r="B55" s="2910" t="str">
        <f>'预评函-3'!A2</f>
        <v>1.权利限制：根据估价对象《不动产权证书》——、《国有土地使用权》——，截至估价期日，估价对象抵押权未见登记。未设定租赁等其他他项权利。</v>
      </c>
    </row>
    <row r="56" spans="1:2">
      <c r="A56" s="2898" t="s">
        <v>2677</v>
      </c>
      <c r="B56" s="2899" t="str">
        <f>'预评函-3'!A3</f>
        <v>2.基础设施条件：估价对象实际开发程度为红线外七通、宗地红线内场地未平整；本次评估设定开发程度为红线外七通、宗地红线内场地。</v>
      </c>
    </row>
    <row r="57" spans="1:2">
      <c r="A57" s="2898" t="s">
        <v>2678</v>
      </c>
      <c r="B57" s="2899" t="str">
        <f>'预评函-3'!A4</f>
        <v>3.估价规划限制条件：详见《建设工程规划许可证》[]、《出让合同》[]。</v>
      </c>
    </row>
    <row r="58" spans="1:2" s="2913" customFormat="1" ht="16.2" thickBot="1">
      <c r="A58" s="2920" t="s">
        <v>2727</v>
      </c>
      <c r="B58" s="2921" t="str">
        <f>'预评函-3'!A5</f>
        <v>4.影响价格的其他限定条件：无。</v>
      </c>
    </row>
    <row r="59" spans="1:2" ht="16.2" thickTop="1">
      <c r="A59" s="2909" t="s">
        <v>2679</v>
      </c>
      <c r="B59" s="2910" t="str">
        <f>'预评函-3'!A8</f>
        <v>2.本次评估设定估价对象宗地权属无争议，未被查封或者以其他形式限制其房地产权利，未设定抵押权等他项权利，不涉及第三方权利义务。</v>
      </c>
    </row>
    <row r="60" spans="1:2">
      <c r="A60" s="2898" t="s">
        <v>2680</v>
      </c>
      <c r="B60" s="2899" t="str">
        <f>'预评函-3'!A9</f>
        <v>——</v>
      </c>
    </row>
    <row r="61" spans="1:2">
      <c r="A61" s="2898" t="s">
        <v>2682</v>
      </c>
      <c r="B61" s="2899" t="str">
        <f>'预评函-3'!A10</f>
        <v>——</v>
      </c>
    </row>
    <row r="62" spans="1:2">
      <c r="A62" s="2898" t="s">
        <v>2681</v>
      </c>
      <c r="B62" s="2899" t="str">
        <f>'预评函-3'!A11</f>
        <v>——</v>
      </c>
    </row>
    <row r="63" spans="1:2">
      <c r="A63" s="2898" t="s">
        <v>2683</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2684</v>
      </c>
      <c r="B64" s="2904" t="str">
        <f>'预评函-3'!A13</f>
        <v>（3）。</v>
      </c>
    </row>
    <row r="65" spans="1:2">
      <c r="A65" s="2898" t="s">
        <v>2685</v>
      </c>
      <c r="B65" s="2905" t="str">
        <f>'预评函-3'!A14</f>
        <v>——</v>
      </c>
    </row>
    <row r="66" spans="1:2">
      <c r="A66" s="2898" t="s">
        <v>2686</v>
      </c>
      <c r="B66" s="290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2687</v>
      </c>
      <c r="B67" s="290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6.2" thickBot="1">
      <c r="A68" s="2920" t="s">
        <v>2690</v>
      </c>
      <c r="B68" s="2924">
        <f>'预评函-3'!D30</f>
        <v>42558</v>
      </c>
    </row>
    <row r="69" spans="1:2" ht="16.2" thickTop="1">
      <c r="A69" s="2909" t="s">
        <v>2688</v>
      </c>
      <c r="B69" s="2910" t="str">
        <f>'预评函-3'!A20</f>
        <v>欧红伟</v>
      </c>
    </row>
    <row r="70" spans="1:2">
      <c r="A70" s="2898" t="s">
        <v>2688</v>
      </c>
      <c r="B70" s="2905">
        <f ca="1">'预评函-3'!B20</f>
        <v>2000110082</v>
      </c>
    </row>
    <row r="71" spans="1:2">
      <c r="A71" s="2898" t="s">
        <v>2689</v>
      </c>
      <c r="B71" s="2899" t="str">
        <f>'预评函-3'!A21</f>
        <v>崔锴</v>
      </c>
    </row>
    <row r="72" spans="1:2" s="2913" customFormat="1" ht="16.2" thickBot="1">
      <c r="A72" s="2920" t="s">
        <v>2689</v>
      </c>
      <c r="B72" s="2926">
        <f ca="1">'预评函-3'!B21</f>
        <v>2010110070</v>
      </c>
    </row>
    <row r="73" spans="1:2" ht="16.2" thickTop="1">
      <c r="A73" s="2909" t="s">
        <v>2748</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2749</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6.2" thickBot="1">
      <c r="A75" s="2920" t="s">
        <v>2750</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07" t="s">
        <v>2785</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N21" sqref="N21"/>
    </sheetView>
  </sheetViews>
  <sheetFormatPr defaultColWidth="10" defaultRowHeight="15.6"/>
  <cols>
    <col min="1" max="1" width="15.33203125" style="1686" customWidth="1"/>
    <col min="2" max="2" width="11.33203125" style="1686" customWidth="1"/>
    <col min="3" max="3" width="12.6640625" style="1686" customWidth="1"/>
    <col min="4" max="4" width="12.88671875" style="1686" customWidth="1"/>
    <col min="5" max="5" width="12.44140625" style="1686" customWidth="1"/>
    <col min="6" max="6" width="11.33203125" style="1686" customWidth="1"/>
    <col min="7" max="7" width="12.33203125" style="1686" customWidth="1"/>
    <col min="8" max="8" width="10" style="1686" customWidth="1"/>
    <col min="9" max="9" width="12.441406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6.2" thickBot="1">
      <c r="A1" s="1655" t="s">
        <v>1939</v>
      </c>
      <c r="B1" s="3263" t="str">
        <f>IF(B10="北京市","北京市",C10)&amp;F10&amp;B16&amp;"国有建设用地使用权"&amp;B9&amp;"预评估"</f>
        <v>陕西省西安市新城区“东方宸院”项目出让国有建设用地使用权市场价格预评估</v>
      </c>
      <c r="C1" s="3264"/>
      <c r="D1" s="3264"/>
      <c r="E1" s="3264"/>
      <c r="F1" s="3264"/>
      <c r="G1" s="3264"/>
      <c r="H1" s="3264"/>
      <c r="I1" s="3265"/>
      <c r="J1" s="1689"/>
      <c r="K1" s="2475" t="str">
        <f>IF(B10="北京市","北京市",C10)&amp;F10&amp;B16&amp;"国有建设用地使用权"&amp;B9</f>
        <v>陕西省西安市新城区“东方宸院”项目出让国有建设用地使用权市场价格</v>
      </c>
      <c r="L1" s="1718"/>
      <c r="M1" s="1718"/>
      <c r="N1" s="1689"/>
      <c r="O1" s="1690"/>
      <c r="P1" s="1689"/>
      <c r="Q1" s="1689"/>
      <c r="R1" s="1689"/>
      <c r="S1" s="1689"/>
      <c r="T1" s="1689"/>
      <c r="U1" s="1689"/>
    </row>
    <row r="2" spans="1:21">
      <c r="A2" s="1656" t="s">
        <v>1940</v>
      </c>
      <c r="B2" s="1837" t="s">
        <v>3363</v>
      </c>
      <c r="D2" s="1689"/>
      <c r="E2" s="1689"/>
      <c r="F2" s="1689"/>
      <c r="G2" s="1689"/>
      <c r="H2" s="1656"/>
      <c r="I2" s="1690"/>
      <c r="J2" s="1689"/>
      <c r="K2" s="2475" t="str">
        <f>IF(B10="北京市","北京市",C10)&amp;F10&amp;B16&amp;"国有建设用地使用权"</f>
        <v>陕西省西安市新城区“东方宸院”项目出让国有建设用地使用权</v>
      </c>
      <c r="L2" s="1718"/>
      <c r="M2" s="1718"/>
      <c r="N2" s="1689"/>
      <c r="O2" s="1690"/>
      <c r="P2" s="1689"/>
      <c r="Q2" s="1689"/>
      <c r="R2" s="1689"/>
      <c r="S2" s="1689"/>
      <c r="T2" s="1689"/>
      <c r="U2" s="1689"/>
    </row>
    <row r="3" spans="1:21">
      <c r="A3" s="1657" t="s">
        <v>1941</v>
      </c>
      <c r="B3" s="1658">
        <v>43507</v>
      </c>
      <c r="C3" s="1659" t="s">
        <v>1996</v>
      </c>
      <c r="D3" s="1658">
        <f>B3</f>
        <v>43507</v>
      </c>
      <c r="E3" s="1689"/>
      <c r="F3" s="1689"/>
      <c r="G3" s="1689"/>
      <c r="H3" s="1656"/>
      <c r="I3" s="1690"/>
      <c r="J3" s="1689"/>
      <c r="K3" s="1769"/>
      <c r="L3" s="1718"/>
      <c r="M3" s="1718"/>
      <c r="N3" s="1689"/>
      <c r="O3" s="1690"/>
      <c r="P3" s="1689"/>
      <c r="Q3" s="1689"/>
      <c r="R3" s="1689"/>
      <c r="S3" s="1689"/>
      <c r="T3" s="1689"/>
      <c r="U3" s="1689"/>
    </row>
    <row r="4" spans="1:21" ht="16.2" thickBot="1">
      <c r="A4" s="1660" t="s">
        <v>1942</v>
      </c>
      <c r="B4" s="1838" t="s">
        <v>3142</v>
      </c>
      <c r="C4" s="1841">
        <f ca="1">SUMIF(土地估价师,B4,估价师及机构信息!E3:E24)</f>
        <v>2000110082</v>
      </c>
      <c r="D4" s="1838" t="s">
        <v>3143</v>
      </c>
      <c r="E4" s="1841">
        <f ca="1">SUMIF(土地估价师,D4,估价师及机构信息!E3:E24)</f>
        <v>2010110070</v>
      </c>
      <c r="F4" s="1838" t="s">
        <v>951</v>
      </c>
      <c r="G4" s="1841">
        <f>SUMIF(土地估价师,F4,估价师及机构信息!E3:E24)</f>
        <v>0</v>
      </c>
      <c r="H4" s="1838" t="s">
        <v>951</v>
      </c>
      <c r="I4" s="1841">
        <f>SUMIF(土地估价师,H4,估价师及机构信息!E3:E24)</f>
        <v>0</v>
      </c>
      <c r="J4" s="1689"/>
      <c r="K4" s="2475" t="str">
        <f>IF(AND(F4="——",H4="——"),B4&amp;"、"&amp;D4,IF(AND(F4&lt;&gt;"——",H4="——"),B4&amp;"、"&amp;D4&amp;"、"&amp;F4,B4&amp;"、"&amp;D4&amp;"、"&amp;F4&amp;"、"&amp;H4))</f>
        <v>欧红伟、崔锴</v>
      </c>
      <c r="L4" s="1718"/>
      <c r="M4" s="1718"/>
      <c r="N4" s="1689"/>
      <c r="O4" s="1690"/>
      <c r="P4" s="1689"/>
      <c r="Q4" s="1689"/>
      <c r="R4" s="1689"/>
      <c r="S4" s="1689"/>
      <c r="T4" s="1689"/>
      <c r="U4" s="1689"/>
    </row>
    <row r="5" spans="1:21" ht="16.2" thickTop="1">
      <c r="A5" s="1661" t="s">
        <v>1943</v>
      </c>
      <c r="B5" s="1784" t="s">
        <v>2978</v>
      </c>
      <c r="C5" s="1662"/>
      <c r="D5" s="1663"/>
      <c r="E5" s="1689"/>
      <c r="F5" s="1689"/>
      <c r="G5" s="1689"/>
      <c r="H5" s="1656"/>
      <c r="I5" s="1690"/>
      <c r="J5" s="1689"/>
      <c r="K5" s="1769"/>
      <c r="L5" s="1718"/>
      <c r="M5" s="1718"/>
      <c r="N5" s="1689"/>
      <c r="O5" s="1690"/>
      <c r="P5" s="1689"/>
      <c r="Q5" s="1689"/>
      <c r="R5" s="1689"/>
      <c r="S5" s="1689"/>
      <c r="T5" s="1689"/>
      <c r="U5" s="1689"/>
    </row>
    <row r="6" spans="1:21" ht="27.6">
      <c r="A6" s="1659" t="s">
        <v>2704</v>
      </c>
      <c r="B6" s="1784" t="s">
        <v>2978</v>
      </c>
      <c r="C6" s="1756"/>
      <c r="D6" s="1664"/>
      <c r="E6" s="1689"/>
      <c r="F6" s="1689"/>
      <c r="G6" s="1689"/>
      <c r="H6" s="1656"/>
      <c r="I6" s="1690"/>
      <c r="J6" s="1689"/>
      <c r="K6" s="3076" t="str">
        <f>IF(COUNTIF(B6,"*上海银行*"),"上海银行","")</f>
        <v/>
      </c>
      <c r="L6" s="1718"/>
      <c r="M6" s="1718"/>
      <c r="N6" s="1689"/>
      <c r="O6" s="1690"/>
      <c r="P6" s="1689"/>
      <c r="Q6" s="1689"/>
      <c r="R6" s="1689"/>
      <c r="S6" s="1689"/>
      <c r="T6" s="1689"/>
      <c r="U6" s="1689"/>
    </row>
    <row r="7" spans="1:21">
      <c r="A7" s="1665" t="s">
        <v>2705</v>
      </c>
      <c r="B7" s="1784" t="s">
        <v>3360</v>
      </c>
      <c r="C7" s="1756"/>
      <c r="D7" s="1664"/>
      <c r="E7" s="1689"/>
      <c r="F7" s="1689"/>
      <c r="G7" s="1689"/>
      <c r="H7" s="1656"/>
      <c r="I7" s="1690"/>
      <c r="J7" s="1689"/>
      <c r="K7" s="1769"/>
      <c r="L7" s="1718"/>
      <c r="M7" s="1718"/>
      <c r="N7" s="1689"/>
      <c r="O7" s="1690"/>
      <c r="P7" s="1689"/>
      <c r="Q7" s="1689"/>
      <c r="R7" s="1689"/>
      <c r="S7" s="1689"/>
      <c r="T7" s="1689"/>
      <c r="U7" s="1689"/>
    </row>
    <row r="8" spans="1:21">
      <c r="A8" s="1665" t="s">
        <v>1944</v>
      </c>
      <c r="B8" s="1666" t="s">
        <v>2980</v>
      </c>
      <c r="C8" s="1667"/>
      <c r="D8" s="3269" t="s">
        <v>1946</v>
      </c>
      <c r="E8" s="1839" t="s">
        <v>2981</v>
      </c>
      <c r="F8" s="1668"/>
      <c r="G8" s="1656"/>
      <c r="H8" s="1656"/>
      <c r="I8" s="1702"/>
      <c r="J8" s="1689"/>
      <c r="K8" s="1769"/>
      <c r="L8" s="1718"/>
      <c r="M8" s="1718"/>
      <c r="N8" s="1689"/>
      <c r="O8" s="1690"/>
      <c r="P8" s="1689"/>
      <c r="Q8" s="1689"/>
      <c r="R8" s="1689"/>
      <c r="S8" s="1689"/>
      <c r="T8" s="1689"/>
      <c r="U8" s="1689"/>
    </row>
    <row r="9" spans="1:21" ht="16.2" thickBot="1">
      <c r="A9" s="1669" t="s">
        <v>1945</v>
      </c>
      <c r="B9" s="1670" t="s">
        <v>2979</v>
      </c>
      <c r="C9" s="1671"/>
      <c r="D9" s="3270"/>
      <c r="E9" s="1670" t="s">
        <v>951</v>
      </c>
      <c r="F9" s="1742"/>
      <c r="G9" s="1737"/>
      <c r="H9" s="1737"/>
      <c r="I9" s="1738"/>
      <c r="J9" s="1689"/>
      <c r="K9" s="1769"/>
      <c r="L9" s="1718"/>
      <c r="M9" s="1718"/>
      <c r="N9" s="1689"/>
      <c r="O9" s="1690"/>
      <c r="P9" s="1689"/>
      <c r="Q9" s="1689"/>
      <c r="R9" s="1689"/>
      <c r="S9" s="1689"/>
      <c r="T9" s="1689"/>
      <c r="U9" s="1689"/>
    </row>
    <row r="10" spans="1:21" ht="31.8" thickTop="1">
      <c r="A10" s="1739" t="s">
        <v>2000</v>
      </c>
      <c r="B10" s="1714" t="s">
        <v>2983</v>
      </c>
      <c r="C10" s="1672" t="s">
        <v>2982</v>
      </c>
      <c r="D10" s="1663"/>
      <c r="E10" s="1673" t="s">
        <v>1948</v>
      </c>
      <c r="F10" s="1674" t="s">
        <v>3144</v>
      </c>
      <c r="G10" s="1740"/>
      <c r="H10" s="1741"/>
      <c r="I10" s="1663"/>
      <c r="J10" s="1689"/>
      <c r="K10" s="1769"/>
      <c r="L10" s="1718"/>
      <c r="M10" s="1718"/>
      <c r="N10" s="1689"/>
      <c r="O10" s="1690"/>
      <c r="P10" s="1689"/>
      <c r="Q10" s="1689"/>
      <c r="R10" s="1689"/>
      <c r="S10" s="1689"/>
      <c r="T10" s="1689"/>
      <c r="U10" s="1689"/>
    </row>
    <row r="11" spans="1:21">
      <c r="A11" s="1692" t="s">
        <v>2001</v>
      </c>
      <c r="B11" s="1693" t="s">
        <v>2984</v>
      </c>
      <c r="C11" s="3177" t="str">
        <f>B7</f>
        <v>西安融创胤达置业有限公司</v>
      </c>
      <c r="D11" s="1757"/>
      <c r="E11" s="1656"/>
      <c r="F11" s="1656"/>
      <c r="G11" s="1656"/>
      <c r="H11" s="1656"/>
      <c r="I11" s="1656"/>
      <c r="J11" s="1689"/>
      <c r="K11" s="1769"/>
      <c r="L11" s="1718"/>
      <c r="M11" s="1718"/>
      <c r="N11" s="1689"/>
      <c r="O11" s="1690"/>
      <c r="P11" s="1689"/>
      <c r="Q11" s="1689"/>
      <c r="R11" s="1689"/>
      <c r="S11" s="1689"/>
      <c r="T11" s="1689"/>
      <c r="U11" s="1689"/>
    </row>
    <row r="12" spans="1:21">
      <c r="A12" s="1780" t="s">
        <v>2059</v>
      </c>
      <c r="B12" s="3266"/>
      <c r="C12" s="3267"/>
      <c r="D12" s="3268"/>
      <c r="E12" s="1694" t="s">
        <v>2062</v>
      </c>
      <c r="F12" s="3284" t="s">
        <v>2887</v>
      </c>
      <c r="G12" s="3285"/>
      <c r="H12" s="3285"/>
      <c r="I12" s="3286"/>
      <c r="J12" s="1689"/>
      <c r="K12" s="1769"/>
      <c r="L12" s="1718"/>
      <c r="M12" s="1718"/>
      <c r="N12" s="1689"/>
      <c r="O12" s="1690"/>
      <c r="P12" s="1689"/>
      <c r="Q12" s="1689"/>
      <c r="R12" s="1689"/>
      <c r="S12" s="1689"/>
      <c r="T12" s="1689"/>
      <c r="U12" s="1689"/>
    </row>
    <row r="13" spans="1:21">
      <c r="A13" s="1682" t="s">
        <v>2060</v>
      </c>
      <c r="B13" s="3266" t="s">
        <v>2958</v>
      </c>
      <c r="C13" s="3267"/>
      <c r="D13" s="3268"/>
      <c r="E13" s="1694" t="s">
        <v>2062</v>
      </c>
      <c r="F13" s="3284" t="s">
        <v>2888</v>
      </c>
      <c r="G13" s="3285"/>
      <c r="H13" s="3285"/>
      <c r="I13" s="3286"/>
      <c r="J13" s="1689"/>
      <c r="K13" s="1769"/>
      <c r="L13" s="1718"/>
      <c r="M13" s="1718"/>
      <c r="N13" s="1689"/>
      <c r="O13" s="1690"/>
      <c r="P13" s="1689"/>
      <c r="Q13" s="1689"/>
      <c r="R13" s="1689"/>
      <c r="S13" s="1689"/>
      <c r="T13" s="1689"/>
      <c r="U13" s="1689"/>
    </row>
    <row r="14" spans="1:21">
      <c r="A14" s="1657" t="s">
        <v>2063</v>
      </c>
      <c r="B14" s="1694"/>
      <c r="C14" s="1840"/>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65"/>
      <c r="B15" s="1659"/>
      <c r="C15" s="1659"/>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46.8">
      <c r="A16" s="1675" t="s">
        <v>1949</v>
      </c>
      <c r="B16" s="1676" t="s">
        <v>2986</v>
      </c>
      <c r="C16" s="1694" t="s">
        <v>1950</v>
      </c>
      <c r="D16" s="2666" t="s">
        <v>1951</v>
      </c>
      <c r="E16" s="1717" t="s">
        <v>2985</v>
      </c>
      <c r="F16" s="1717"/>
      <c r="G16" s="1717" t="s">
        <v>3136</v>
      </c>
      <c r="H16" s="1717"/>
      <c r="I16" s="1681" t="s">
        <v>1956</v>
      </c>
      <c r="J16" s="1689"/>
      <c r="K16" s="2476" t="str">
        <f>IF(D17="","",D16&amp;TEXT(D17,"yyyy年m月d日;;"))</f>
        <v>住宅2089年2月10日</v>
      </c>
      <c r="L16" s="1694" t="str">
        <f>IF(OR(K16="",M16=""),"","、")</f>
        <v>、</v>
      </c>
      <c r="M16" s="2476" t="str">
        <f>IF(E17="","",E16&amp;TEXT(E17,"yyyy年m月d日;;"))</f>
        <v>商业2059年2月10日</v>
      </c>
      <c r="N16" s="1694" t="str">
        <f>IF(OR(M16="",O16=""),"","、")</f>
        <v/>
      </c>
      <c r="O16" s="2476" t="str">
        <f>IF(F17="","",F16&amp;TEXT(F17,"yyyy年m月d日;;"))</f>
        <v/>
      </c>
      <c r="P16" s="1694" t="str">
        <f>IF(OR(O16="",Q16=""),"","、")</f>
        <v/>
      </c>
      <c r="Q16" s="2476" t="str">
        <f>IF(G17="","",G16&amp;TEXT(G17,"yyyy年m月d日;;"))</f>
        <v>车库2069年2月10日</v>
      </c>
      <c r="R16" s="1694" t="str">
        <f>IF(OR(Q16="",S16=""),"","、")</f>
        <v/>
      </c>
      <c r="S16" s="2476" t="str">
        <f>IF(H17="","",H16&amp;TEXT(H17,"yyyy年m月d日;;"))</f>
        <v/>
      </c>
      <c r="T16" s="1694" t="str">
        <f>IF(OR(S16="",U16=""),"","、")</f>
        <v/>
      </c>
      <c r="U16" s="2476" t="str">
        <f>IF(I17="","",I16&amp;TEXT(I17,"yyyy年m月d日;;"))</f>
        <v/>
      </c>
    </row>
    <row r="17" spans="1:21">
      <c r="A17" s="1758"/>
      <c r="B17" s="1677"/>
      <c r="C17" s="1678" t="s">
        <v>1957</v>
      </c>
      <c r="D17" s="1695">
        <v>69074</v>
      </c>
      <c r="E17" s="1695">
        <v>58116</v>
      </c>
      <c r="F17" s="1695"/>
      <c r="G17" s="1695">
        <v>61769</v>
      </c>
      <c r="H17" s="1695"/>
      <c r="I17" s="1695"/>
      <c r="J17" s="1689"/>
      <c r="K17" s="2475" t="str">
        <f>CONCATENATE(K16,L16,M16,N16,O16,P16,Q16,R16,S16,T16,,U16)</f>
        <v>住宅2089年2月10日、商业2059年2月10日车库2069年2月10日</v>
      </c>
      <c r="L17" s="1718"/>
      <c r="M17" s="1718"/>
      <c r="N17" s="1689"/>
      <c r="O17" s="1690"/>
      <c r="P17" s="1689"/>
      <c r="Q17" s="1689"/>
      <c r="R17" s="1689"/>
      <c r="S17" s="1689"/>
      <c r="T17" s="1689"/>
      <c r="U17" s="1689"/>
    </row>
    <row r="18" spans="1:21">
      <c r="A18" s="1758"/>
      <c r="B18" s="1677"/>
      <c r="C18" s="1678" t="s">
        <v>1958</v>
      </c>
      <c r="D18" s="1679">
        <v>70</v>
      </c>
      <c r="E18" s="1679">
        <v>40</v>
      </c>
      <c r="F18" s="1679"/>
      <c r="G18" s="1679">
        <v>50</v>
      </c>
      <c r="H18" s="1679"/>
      <c r="I18" s="1679"/>
      <c r="J18" s="1689"/>
      <c r="K18" s="1769"/>
      <c r="L18" s="1718"/>
      <c r="M18" s="1718"/>
      <c r="N18" s="1689"/>
      <c r="O18" s="1690"/>
      <c r="P18" s="1689"/>
      <c r="Q18" s="1689"/>
      <c r="R18" s="1689"/>
      <c r="S18" s="1689"/>
      <c r="T18" s="1689"/>
      <c r="U18" s="1689"/>
    </row>
    <row r="19" spans="1:21">
      <c r="A19" s="1758"/>
      <c r="B19" s="1677"/>
      <c r="C19" s="1656" t="s">
        <v>1959</v>
      </c>
      <c r="D19" s="1753">
        <f>IF(B16="出让",IF(D17="","",ROUNDDOWN(MIN((D17-$D$3)/365,D18),2)),D18)</f>
        <v>70</v>
      </c>
      <c r="E19" s="1680">
        <f>IF(B16="出让",IF(E17="","",ROUNDDOWN(MIN((E17-$D$3)/365,E18),2)),E18)</f>
        <v>40</v>
      </c>
      <c r="F19" s="1680" t="str">
        <f>IF(B16="出让",IF(F17="","",ROUNDDOWN(MIN((F17-$D$3)/365,F18),2)),F18)</f>
        <v/>
      </c>
      <c r="G19" s="1680">
        <f>IF(B16="出让",IF(G17="","",ROUNDDOWN(MIN((G17-$D$3)/365,G18),2)),G18)</f>
        <v>50</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2061</v>
      </c>
      <c r="D20" s="3281"/>
      <c r="E20" s="3282"/>
      <c r="F20" s="3282"/>
      <c r="G20" s="3282"/>
      <c r="H20" s="3282"/>
      <c r="I20" s="3283"/>
      <c r="J20" s="1689"/>
      <c r="K20" s="1769"/>
      <c r="L20" s="1718"/>
      <c r="M20" s="1718"/>
      <c r="N20" s="1689"/>
      <c r="O20" s="1690"/>
      <c r="P20" s="1689"/>
      <c r="Q20" s="1689"/>
      <c r="R20" s="1689"/>
      <c r="S20" s="1689"/>
      <c r="T20" s="1689"/>
      <c r="U20" s="1689"/>
    </row>
    <row r="21" spans="1:21">
      <c r="A21" s="1758" t="s">
        <v>1960</v>
      </c>
      <c r="B21" s="1759" t="s">
        <v>1961</v>
      </c>
      <c r="C21" s="1754">
        <f>'数据-汇总表'!E3</f>
        <v>237470</v>
      </c>
      <c r="D21" s="1755" t="s">
        <v>1962</v>
      </c>
      <c r="E21" s="3271" t="s">
        <v>1999</v>
      </c>
      <c r="F21" s="3272"/>
      <c r="G21" s="3272"/>
      <c r="H21" s="3272"/>
      <c r="I21" s="3273"/>
      <c r="J21" s="1689"/>
      <c r="K21" s="1769"/>
      <c r="L21" s="1718"/>
      <c r="M21" s="1718"/>
      <c r="N21" s="1689"/>
      <c r="O21" s="1690"/>
      <c r="P21" s="1689"/>
      <c r="Q21" s="1689"/>
      <c r="R21" s="1689"/>
      <c r="S21" s="1689"/>
      <c r="T21" s="1689"/>
      <c r="U21" s="1689"/>
    </row>
    <row r="22" spans="1:21">
      <c r="A22" s="3174" t="s">
        <v>951</v>
      </c>
      <c r="B22" s="1657" t="s">
        <v>1963</v>
      </c>
      <c r="C22" s="1681">
        <f>'数据-汇总表'!D3</f>
        <v>65565</v>
      </c>
      <c r="D22" s="1682" t="s">
        <v>1962</v>
      </c>
      <c r="E22" s="3271" t="s">
        <v>2889</v>
      </c>
      <c r="F22" s="3272"/>
      <c r="G22" s="3272"/>
      <c r="H22" s="3272"/>
      <c r="I22" s="3273"/>
      <c r="J22" s="1689"/>
      <c r="K22" s="1769"/>
      <c r="L22" s="1718"/>
      <c r="M22" s="1718"/>
      <c r="N22" s="1689"/>
      <c r="O22" s="1690"/>
      <c r="P22" s="1689"/>
      <c r="Q22" s="1689"/>
      <c r="R22" s="1689"/>
      <c r="S22" s="1689"/>
      <c r="T22" s="1689"/>
      <c r="U22" s="1689"/>
    </row>
    <row r="23" spans="1:21" ht="47.4" thickBot="1">
      <c r="A23" s="1760" t="s">
        <v>1964</v>
      </c>
      <c r="B23" s="1696" t="s">
        <v>1965</v>
      </c>
      <c r="C23" s="1697"/>
      <c r="D23" s="1698" t="s">
        <v>1966</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74" t="s">
        <v>1968</v>
      </c>
      <c r="C24" s="3275"/>
      <c r="D24" s="3276" t="s">
        <v>1969</v>
      </c>
      <c r="E24" s="3277"/>
      <c r="F24" s="1703" t="s">
        <v>1970</v>
      </c>
      <c r="G24" s="1689"/>
      <c r="H24" s="1689"/>
      <c r="I24" s="1702"/>
      <c r="J24" s="1689"/>
      <c r="K24" s="3262" t="s">
        <v>1971</v>
      </c>
      <c r="L24" s="2477"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8"/>
      <c r="N24" s="1689"/>
      <c r="O24" s="1690"/>
      <c r="P24" s="1689"/>
      <c r="Q24" s="1689"/>
      <c r="R24" s="1689"/>
      <c r="S24" s="1689"/>
      <c r="T24" s="1689"/>
      <c r="U24" s="1689"/>
    </row>
    <row r="25" spans="1:21" ht="31.2">
      <c r="A25" s="1746"/>
      <c r="B25" s="1743" t="s">
        <v>2326</v>
      </c>
      <c r="C25" s="1704" t="s">
        <v>951</v>
      </c>
      <c r="D25" s="1705"/>
      <c r="E25" s="1706" t="s">
        <v>951</v>
      </c>
      <c r="F25" s="1707"/>
      <c r="G25" s="1689"/>
      <c r="H25" s="1689"/>
      <c r="I25" s="1702"/>
      <c r="J25" s="1689"/>
      <c r="K25" s="3262"/>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89"/>
      <c r="O25" s="1690"/>
      <c r="P25" s="1689"/>
      <c r="Q25" s="1689"/>
      <c r="R25" s="1689"/>
      <c r="S25" s="1689"/>
      <c r="T25" s="1689"/>
      <c r="U25" s="1689"/>
    </row>
    <row r="26" spans="1:21" ht="47.4" thickBot="1">
      <c r="A26" s="1747"/>
      <c r="B26" s="1744" t="s">
        <v>1972</v>
      </c>
      <c r="C26" s="1704" t="s">
        <v>951</v>
      </c>
      <c r="D26" s="1656"/>
      <c r="E26" s="1656"/>
      <c r="F26" s="1683"/>
      <c r="G26" s="1689"/>
      <c r="H26" s="1689"/>
      <c r="I26" s="1702"/>
      <c r="J26" s="1689"/>
      <c r="K26" s="3262"/>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1973</v>
      </c>
      <c r="B27" s="1748" t="s">
        <v>1974</v>
      </c>
      <c r="C27" s="1708"/>
      <c r="D27" s="2671" t="s">
        <v>1974</v>
      </c>
      <c r="E27" s="1709"/>
      <c r="F27" s="1683"/>
      <c r="G27" s="1689"/>
      <c r="H27" s="1689"/>
      <c r="I27" s="1702"/>
      <c r="J27" s="1689"/>
      <c r="K27" s="1769"/>
      <c r="L27" s="1718"/>
      <c r="M27" s="1718"/>
      <c r="N27" s="1689"/>
      <c r="O27" s="1690"/>
      <c r="P27" s="1689"/>
      <c r="Q27" s="1689"/>
      <c r="R27" s="1689"/>
      <c r="S27" s="1689"/>
      <c r="T27" s="1689"/>
      <c r="U27" s="1689"/>
    </row>
    <row r="28" spans="1:21">
      <c r="A28" s="1751"/>
      <c r="B28" s="1748" t="s">
        <v>1975</v>
      </c>
      <c r="C28" s="1710"/>
      <c r="D28" s="2672" t="s">
        <v>1975</v>
      </c>
      <c r="E28" s="1711"/>
      <c r="F28" s="1683"/>
      <c r="G28" s="1689"/>
      <c r="H28" s="1689"/>
      <c r="I28" s="1702"/>
      <c r="J28" s="1689"/>
      <c r="K28" s="1769"/>
      <c r="L28" s="1718"/>
      <c r="M28" s="1718"/>
      <c r="N28" s="1689"/>
      <c r="O28" s="1690"/>
      <c r="P28" s="1689"/>
      <c r="Q28" s="1689"/>
      <c r="R28" s="1689"/>
      <c r="S28" s="1689"/>
      <c r="T28" s="1689"/>
      <c r="U28" s="1689"/>
    </row>
    <row r="29" spans="1:21">
      <c r="A29" s="1751"/>
      <c r="B29" s="1748" t="s">
        <v>1976</v>
      </c>
      <c r="C29" s="1710"/>
      <c r="D29" s="2672" t="s">
        <v>1976</v>
      </c>
      <c r="E29" s="1711"/>
      <c r="F29" s="1683"/>
      <c r="G29" s="1689"/>
      <c r="H29" s="1689"/>
      <c r="I29" s="1702"/>
      <c r="J29" s="1689"/>
      <c r="K29" s="1769"/>
      <c r="L29" s="1718"/>
      <c r="M29" s="1718"/>
      <c r="N29" s="1689"/>
      <c r="O29" s="1690"/>
      <c r="P29" s="1689"/>
      <c r="Q29" s="1689"/>
      <c r="R29" s="1689"/>
      <c r="S29" s="1689"/>
      <c r="T29" s="1689"/>
      <c r="U29" s="1689"/>
    </row>
    <row r="30" spans="1:21" ht="16.2" thickBot="1">
      <c r="A30" s="1752"/>
      <c r="B30" s="1749" t="s">
        <v>1977</v>
      </c>
      <c r="C30" s="1712"/>
      <c r="D30" s="2673" t="s">
        <v>1977</v>
      </c>
      <c r="E30" s="1713"/>
      <c r="F30" s="1684"/>
      <c r="G30" s="1737"/>
      <c r="H30" s="1737"/>
      <c r="I30" s="1738"/>
      <c r="J30" s="1689"/>
      <c r="K30" s="1769"/>
      <c r="L30" s="1718"/>
      <c r="M30" s="1718"/>
      <c r="N30" s="1689"/>
      <c r="O30" s="1690"/>
      <c r="P30" s="1689"/>
      <c r="Q30" s="1689"/>
      <c r="R30" s="1689"/>
      <c r="S30" s="1689"/>
      <c r="T30" s="1689"/>
      <c r="U30" s="1689"/>
    </row>
    <row r="31" spans="1:21" ht="16.2" thickTop="1">
      <c r="A31" s="3248" t="s">
        <v>2002</v>
      </c>
      <c r="B31" s="1759" t="s">
        <v>2003</v>
      </c>
      <c r="C31" s="3287" t="s">
        <v>2987</v>
      </c>
      <c r="D31" s="3288"/>
      <c r="E31" s="1689"/>
      <c r="F31" s="1689"/>
      <c r="G31" s="1689"/>
      <c r="H31" s="1689"/>
      <c r="I31" s="1702"/>
      <c r="J31" s="1689"/>
      <c r="K31" s="2478"/>
      <c r="L31" s="1689"/>
      <c r="M31" s="1689"/>
      <c r="N31" s="1689"/>
      <c r="O31" s="1689"/>
      <c r="P31" s="1689"/>
      <c r="Q31" s="1689"/>
      <c r="R31" s="1689"/>
      <c r="S31" s="1689"/>
      <c r="T31" s="1689"/>
      <c r="U31" s="1689"/>
    </row>
    <row r="32" spans="1:21">
      <c r="A32" s="3248"/>
      <c r="B32" s="1657" t="s">
        <v>2004</v>
      </c>
      <c r="C32" s="1714" t="s">
        <v>2988</v>
      </c>
      <c r="D32" s="1715"/>
      <c r="E32" s="1689"/>
      <c r="F32" s="1689"/>
      <c r="G32" s="1689"/>
      <c r="H32" s="1689"/>
      <c r="I32" s="1702"/>
      <c r="J32" s="1689"/>
      <c r="K32" s="2478"/>
      <c r="L32" s="1689"/>
      <c r="M32" s="1689"/>
      <c r="N32" s="1689"/>
      <c r="O32" s="1689"/>
      <c r="P32" s="1689"/>
      <c r="Q32" s="1689"/>
      <c r="R32" s="1689"/>
      <c r="S32" s="1689"/>
      <c r="T32" s="1689"/>
      <c r="U32" s="1689"/>
    </row>
    <row r="33" spans="1:21">
      <c r="A33" s="3248"/>
      <c r="B33" s="1657" t="s">
        <v>2005</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249"/>
      <c r="B34" s="1657" t="s">
        <v>2006</v>
      </c>
      <c r="C34" s="3250"/>
      <c r="D34" s="3251"/>
      <c r="E34" s="1689"/>
      <c r="F34" s="1689"/>
      <c r="G34" s="1689"/>
      <c r="H34" s="1689"/>
      <c r="I34" s="1702"/>
      <c r="J34" s="1689"/>
      <c r="K34" s="2478"/>
      <c r="L34" s="1689"/>
      <c r="M34" s="1689"/>
      <c r="N34" s="1689"/>
      <c r="O34" s="1689"/>
      <c r="P34" s="1689"/>
      <c r="Q34" s="1689"/>
      <c r="R34" s="1689"/>
      <c r="S34" s="1689"/>
      <c r="T34" s="1689"/>
      <c r="U34" s="1689"/>
    </row>
    <row r="35" spans="1:21" ht="31.2">
      <c r="A35" s="3252" t="s">
        <v>846</v>
      </c>
      <c r="B35" s="1717" t="s">
        <v>2989</v>
      </c>
      <c r="C35" s="1771" t="str">
        <f>IF(B35="场地平整","——","具体情况：")</f>
        <v>具体情况：</v>
      </c>
      <c r="D35" s="3254"/>
      <c r="E35" s="3255"/>
      <c r="F35" s="3255"/>
      <c r="G35" s="3255"/>
      <c r="H35" s="3255"/>
      <c r="I35" s="3256"/>
      <c r="J35" s="1689"/>
      <c r="K35" s="1770"/>
      <c r="L35" s="1718"/>
      <c r="M35" s="1718"/>
      <c r="N35" s="1689"/>
      <c r="O35" s="1690"/>
      <c r="P35" s="1689"/>
      <c r="Q35" s="1689"/>
      <c r="R35" s="1689"/>
      <c r="S35" s="1689"/>
      <c r="T35" s="1689"/>
      <c r="U35" s="1689"/>
    </row>
    <row r="36" spans="1:21" ht="31.2">
      <c r="A36" s="3248"/>
      <c r="B36" s="3257" t="s">
        <v>2055</v>
      </c>
      <c r="C36" s="3258"/>
      <c r="D36" s="1787"/>
      <c r="E36" s="3259"/>
      <c r="F36" s="3259"/>
      <c r="G36" s="1682" t="str">
        <f>IF(B35="场地未平整","估价结果处理","")</f>
        <v>估价结果处理</v>
      </c>
      <c r="H36" s="3260"/>
      <c r="I36" s="3260"/>
      <c r="J36" s="1689"/>
      <c r="K36" s="1770"/>
      <c r="L36" s="1718"/>
      <c r="M36" s="1718"/>
      <c r="N36" s="1689"/>
      <c r="O36" s="1690"/>
      <c r="P36" s="1689"/>
      <c r="Q36" s="1689"/>
      <c r="R36" s="1689"/>
      <c r="S36" s="1689"/>
      <c r="T36" s="1689"/>
      <c r="U36" s="1689"/>
    </row>
    <row r="37" spans="1:21" ht="31.2">
      <c r="A37" s="3248"/>
      <c r="B37" s="3278"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48"/>
      <c r="B38" s="3279"/>
      <c r="C38" s="1665" t="s">
        <v>849</v>
      </c>
      <c r="D38" s="1786">
        <f>ROUNDDOWN(MIN(('数据-取费表'!$B$2-D37)/365,D34),1)</f>
        <v>119.1</v>
      </c>
      <c r="E38" s="1722" t="s">
        <v>850</v>
      </c>
      <c r="F38" s="1689"/>
      <c r="G38" s="1689"/>
      <c r="H38" s="1689"/>
      <c r="I38" s="1702"/>
      <c r="J38" s="1689"/>
      <c r="K38" s="1770"/>
      <c r="L38" s="1689"/>
      <c r="M38" s="1689"/>
      <c r="N38" s="1689"/>
      <c r="O38" s="1689"/>
      <c r="P38" s="1689"/>
      <c r="Q38" s="1689"/>
      <c r="R38" s="1689"/>
      <c r="S38" s="1689"/>
      <c r="T38" s="1689"/>
      <c r="U38" s="1689"/>
    </row>
    <row r="39" spans="1:21">
      <c r="A39" s="3249"/>
      <c r="B39" s="3280"/>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1978</v>
      </c>
      <c r="B40" s="1685" t="s">
        <v>2991</v>
      </c>
      <c r="C40" s="1685" t="s">
        <v>3145</v>
      </c>
      <c r="D40" s="1685" t="s">
        <v>3146</v>
      </c>
      <c r="E40" s="1685"/>
      <c r="F40" s="1685"/>
      <c r="G40" s="1685"/>
      <c r="H40" s="1685"/>
      <c r="I40" s="1702"/>
      <c r="J40" s="1689"/>
      <c r="K40" s="1725">
        <f>COUNTIF(B40:H40,"——")</f>
        <v>0</v>
      </c>
      <c r="L40" s="1694" t="s">
        <v>1979</v>
      </c>
      <c r="M40" s="1691" t="s">
        <v>1980</v>
      </c>
      <c r="N40" s="1691" t="s">
        <v>1981</v>
      </c>
      <c r="O40" s="1691" t="s">
        <v>1982</v>
      </c>
      <c r="P40" s="1691" t="s">
        <v>1983</v>
      </c>
      <c r="Q40" s="1691" t="s">
        <v>1984</v>
      </c>
      <c r="R40" s="1691" t="s">
        <v>1985</v>
      </c>
      <c r="S40" s="3261" t="s">
        <v>1986</v>
      </c>
      <c r="T40" s="1726" t="str">
        <f>NUMBERSTRING(7-K40,1)&amp;"通"</f>
        <v>七通</v>
      </c>
      <c r="U40" s="1689"/>
    </row>
    <row r="41" spans="1:21" ht="31.2">
      <c r="A41" s="1659"/>
      <c r="B41" s="3253" t="s">
        <v>1721</v>
      </c>
      <c r="C41" s="3253"/>
      <c r="D41" s="3253"/>
      <c r="E41" s="3253"/>
      <c r="F41" s="1727" t="str">
        <f>C10</f>
        <v>陕西省西安市</v>
      </c>
      <c r="G41" s="1689"/>
      <c r="H41" s="1689"/>
      <c r="I41" s="1702"/>
      <c r="J41" s="1689"/>
      <c r="K41" s="1694"/>
      <c r="L41" s="1691" t="str">
        <f>B40</f>
        <v>通路</v>
      </c>
      <c r="M41" s="1728" t="str">
        <f>B40&amp;"、"&amp;C40</f>
        <v>通路、通电</v>
      </c>
      <c r="N41" s="1729" t="str">
        <f>B40&amp;"、"&amp;C40&amp;"、"&amp;D40</f>
        <v>通路、通电、通上水</v>
      </c>
      <c r="O41" s="1729" t="str">
        <f>B40&amp;"、"&amp;C40&amp;"、"&amp;D40&amp;"、"&amp;E40</f>
        <v>通路、通电、通上水、</v>
      </c>
      <c r="P41" s="1729" t="str">
        <f>B40&amp;"、"&amp;C40&amp;"、"&amp;D40&amp;"、"&amp;E40&amp;"、"&amp;F40</f>
        <v>通路、通电、通上水、、</v>
      </c>
      <c r="Q41" s="1729" t="str">
        <f>B40&amp;"、"&amp;C40&amp;"、"&amp;D40&amp;"、"&amp;E40&amp;"、"&amp;F40&amp;"、"&amp;G40</f>
        <v>通路、通电、通上水、、、</v>
      </c>
      <c r="R41" s="1729" t="str">
        <f>B40&amp;"、"&amp;C40&amp;"、"&amp;D40&amp;"、"&amp;E40&amp;"、"&amp;F40&amp;"、"&amp;G40&amp;"、"&amp;H40</f>
        <v>通路、通电、通上水、、、、</v>
      </c>
      <c r="S41" s="3261"/>
      <c r="T41" s="1728" t="str">
        <f>IF(T40="一通",L41,IF(T40="二通",M41,IF(T40="三通",N41,IF(T40="四通",O41,IF(T40="五通",P41,IF(T40="六通",Q41,R41))))))</f>
        <v>通路、通电、通上水、、、、</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c r="C43" s="1733"/>
      <c r="D43" s="1733"/>
      <c r="E43" s="1733"/>
      <c r="F43" s="1734" t="s">
        <v>2990</v>
      </c>
      <c r="G43" s="1689"/>
      <c r="H43" s="1689"/>
      <c r="I43" s="1702"/>
      <c r="J43" s="1689"/>
      <c r="K43" s="1769"/>
      <c r="L43" s="1718"/>
      <c r="M43" s="1718"/>
      <c r="N43" s="1689"/>
      <c r="O43" s="1690"/>
      <c r="P43" s="1689"/>
      <c r="Q43" s="1689"/>
      <c r="R43" s="1689"/>
      <c r="S43" s="1689"/>
      <c r="T43" s="1689"/>
      <c r="U43" s="1689"/>
    </row>
    <row r="44" spans="1:21">
      <c r="A44" s="1732" t="s">
        <v>1707</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93" customFormat="1" ht="21" thickBot="1">
      <c r="A45" s="3094" t="s">
        <v>2890</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2007</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46.8">
      <c r="A48" s="1694" t="s">
        <v>2008</v>
      </c>
      <c r="B48" s="1681" t="s">
        <v>2009</v>
      </c>
      <c r="C48" s="1681" t="s">
        <v>2010</v>
      </c>
      <c r="D48" s="1681" t="s">
        <v>2011</v>
      </c>
      <c r="E48" s="1681" t="s">
        <v>2012</v>
      </c>
      <c r="F48" s="1681" t="s">
        <v>2013</v>
      </c>
      <c r="G48" s="1681" t="s">
        <v>2014</v>
      </c>
      <c r="H48" s="1681" t="s">
        <v>2015</v>
      </c>
      <c r="I48" s="1681" t="s">
        <v>2016</v>
      </c>
      <c r="J48" s="1767" t="s">
        <v>2017</v>
      </c>
      <c r="K48" s="1761" t="s">
        <v>2018</v>
      </c>
      <c r="L48" s="1761" t="s">
        <v>2019</v>
      </c>
      <c r="M48" s="1761" t="s">
        <v>2020</v>
      </c>
      <c r="N48" s="1681" t="s">
        <v>2021</v>
      </c>
      <c r="O48" s="1681" t="s">
        <v>2022</v>
      </c>
      <c r="P48" s="1681" t="s">
        <v>2023</v>
      </c>
      <c r="Q48" s="1694" t="s">
        <v>2024</v>
      </c>
      <c r="R48" s="1694" t="s">
        <v>2025</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3" sqref="B2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44140625" style="15" customWidth="1"/>
    <col min="10" max="10" width="9.44140625" style="15" customWidth="1"/>
    <col min="11" max="11" width="11" style="15" customWidth="1"/>
    <col min="12" max="12" width="9.44140625" style="15" customWidth="1"/>
    <col min="13" max="13" width="10.6640625" style="15" customWidth="1"/>
    <col min="14"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6" t="s">
        <v>2333</v>
      </c>
      <c r="BA2" s="2357"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3.2">
      <c r="A3" s="21">
        <v>65565</v>
      </c>
      <c r="B3" s="22">
        <f>IF(C3="否",G5-AT5,G5)</f>
        <v>237470</v>
      </c>
      <c r="C3" s="23" t="s">
        <v>3148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3.2">
      <c r="A5" s="26" t="s">
        <v>168</v>
      </c>
      <c r="B5" s="988"/>
      <c r="C5" s="988"/>
      <c r="D5" s="995"/>
      <c r="E5" s="27" t="s">
        <v>1</v>
      </c>
      <c r="F5" s="27">
        <f>SUM(F13:F572)</f>
        <v>0</v>
      </c>
      <c r="G5" s="27">
        <f>SUM(G13:G572)</f>
        <v>241770</v>
      </c>
      <c r="H5" s="27">
        <f t="shared" ref="H5:AT5" si="0">SUM(H13:H641)</f>
        <v>233728</v>
      </c>
      <c r="I5" s="27">
        <f t="shared" si="0"/>
        <v>123052</v>
      </c>
      <c r="J5" s="27">
        <f t="shared" si="0"/>
        <v>0</v>
      </c>
      <c r="K5" s="27">
        <f t="shared" si="0"/>
        <v>17600</v>
      </c>
      <c r="L5" s="27">
        <f t="shared" si="0"/>
        <v>0</v>
      </c>
      <c r="M5" s="27">
        <f t="shared" si="0"/>
        <v>38016</v>
      </c>
      <c r="N5" s="27">
        <f t="shared" si="0"/>
        <v>0</v>
      </c>
      <c r="O5" s="27">
        <f t="shared" si="0"/>
        <v>55060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3742</v>
      </c>
      <c r="AD5" s="27">
        <f t="shared" si="0"/>
        <v>3742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4300</v>
      </c>
      <c r="AU5" s="987"/>
      <c r="AV5" s="26" t="s">
        <v>168</v>
      </c>
      <c r="AW5" s="988"/>
      <c r="AX5" s="988"/>
      <c r="AY5" s="28" t="s">
        <v>3</v>
      </c>
      <c r="AZ5" s="29">
        <f t="shared" ref="AZ5:BT5" si="1">SUM(AZ13:AZ641)</f>
        <v>237470</v>
      </c>
      <c r="BA5" s="29">
        <f t="shared" si="1"/>
        <v>233728</v>
      </c>
      <c r="BB5" s="29">
        <f t="shared" si="1"/>
        <v>123052</v>
      </c>
      <c r="BC5" s="29">
        <f t="shared" si="1"/>
        <v>17600</v>
      </c>
      <c r="BD5" s="29">
        <f t="shared" si="1"/>
        <v>38016</v>
      </c>
      <c r="BE5" s="29">
        <f t="shared" si="1"/>
        <v>55060</v>
      </c>
      <c r="BF5" s="29">
        <f t="shared" si="1"/>
        <v>0</v>
      </c>
      <c r="BG5" s="29">
        <f t="shared" si="1"/>
        <v>0</v>
      </c>
      <c r="BH5" s="29">
        <f t="shared" si="1"/>
        <v>0</v>
      </c>
      <c r="BI5" s="29">
        <f t="shared" si="1"/>
        <v>0</v>
      </c>
      <c r="BJ5" s="29">
        <f t="shared" si="1"/>
        <v>0</v>
      </c>
      <c r="BK5" s="29">
        <f t="shared" si="1"/>
        <v>0</v>
      </c>
      <c r="BL5" s="29">
        <f t="shared" si="1"/>
        <v>3742</v>
      </c>
      <c r="BM5" s="29">
        <f t="shared" si="1"/>
        <v>3742</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65565.009999999995</v>
      </c>
      <c r="F6" s="27" t="s">
        <v>1</v>
      </c>
      <c r="G6" s="27" t="s">
        <v>2</v>
      </c>
      <c r="H6" s="33">
        <f>SUMIF(I$12:AB$12,"总值",I6:AB6)</f>
        <v>64531.85</v>
      </c>
      <c r="I6" s="27">
        <f t="shared" ref="I6:AB6" si="2">ROUND($A$3*I5/$B$3,2)</f>
        <v>33974.42</v>
      </c>
      <c r="J6" s="27">
        <f t="shared" si="2"/>
        <v>0</v>
      </c>
      <c r="K6" s="27">
        <f t="shared" si="2"/>
        <v>4859.33</v>
      </c>
      <c r="L6" s="27">
        <f t="shared" si="2"/>
        <v>0</v>
      </c>
      <c r="M6" s="27">
        <f t="shared" si="2"/>
        <v>10496.14</v>
      </c>
      <c r="N6" s="27">
        <f t="shared" si="2"/>
        <v>0</v>
      </c>
      <c r="O6" s="27">
        <f t="shared" si="2"/>
        <v>15201.96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1033.1600000000001</v>
      </c>
      <c r="AD6" s="27">
        <f t="shared" ref="AD6:AS6" si="3">ROUND($A$3*AD5/$B$3,2)</f>
        <v>1033.1600000000001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65565</v>
      </c>
      <c r="AZ6" s="27" t="s">
        <v>3</v>
      </c>
      <c r="BA6" s="27">
        <f>ROUND($AY$6*BA5/$AZ$5,2)</f>
        <v>64531.839999999997</v>
      </c>
      <c r="BB6" s="27">
        <f>ROUND($AY$6*BB5/$AZ$5,2)</f>
        <v>33974.42</v>
      </c>
      <c r="BC6" s="27">
        <f t="shared" ref="BC6:BH6" si="4">ROUND($AY$6*BC5/$AZ$5,2)</f>
        <v>4859.33</v>
      </c>
      <c r="BD6" s="27">
        <f t="shared" si="4"/>
        <v>10496.14</v>
      </c>
      <c r="BE6" s="27">
        <f t="shared" si="4"/>
        <v>15201.96</v>
      </c>
      <c r="BF6" s="27">
        <f t="shared" si="4"/>
        <v>0</v>
      </c>
      <c r="BG6" s="27">
        <f t="shared" si="4"/>
        <v>0</v>
      </c>
      <c r="BH6" s="27">
        <f t="shared" si="4"/>
        <v>0</v>
      </c>
      <c r="BI6" s="27">
        <f t="shared" ref="BI6:BT6" si="5">ROUND($AY$6*BI5/$AZ$5,2)</f>
        <v>0</v>
      </c>
      <c r="BJ6" s="27">
        <f t="shared" si="5"/>
        <v>0</v>
      </c>
      <c r="BK6" s="27">
        <f t="shared" si="5"/>
        <v>0</v>
      </c>
      <c r="BL6" s="27">
        <f t="shared" si="5"/>
        <v>1033.1600000000001</v>
      </c>
      <c r="BM6" s="27">
        <f t="shared" si="5"/>
        <v>1033.1600000000001</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3"/>
      <c r="AT8" s="2324"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3039" t="s">
        <v>2992</v>
      </c>
      <c r="J9" s="51"/>
      <c r="K9" s="3039" t="s">
        <v>2992</v>
      </c>
      <c r="L9" s="51"/>
      <c r="M9" s="3039" t="s">
        <v>2992</v>
      </c>
      <c r="N9" s="51"/>
      <c r="O9" s="59" t="s">
        <v>3135</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5"/>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3039" t="s">
        <v>922</v>
      </c>
      <c r="J10" s="51"/>
      <c r="K10" s="3041" t="s">
        <v>2985</v>
      </c>
      <c r="L10" s="51"/>
      <c r="M10" s="3041" t="s">
        <v>922</v>
      </c>
      <c r="N10" s="51"/>
      <c r="O10" s="66" t="s">
        <v>3136</v>
      </c>
      <c r="P10" s="51"/>
      <c r="Q10" s="66"/>
      <c r="R10" s="51"/>
      <c r="S10" s="66"/>
      <c r="T10" s="51"/>
      <c r="U10" s="66"/>
      <c r="V10" s="51"/>
      <c r="W10" s="66"/>
      <c r="X10" s="51"/>
      <c r="Y10" s="66"/>
      <c r="Z10" s="51"/>
      <c r="AA10" s="66"/>
      <c r="AB10" s="51"/>
      <c r="AC10" s="55"/>
      <c r="AD10" s="2310" t="s">
        <v>2318</v>
      </c>
      <c r="AE10" s="2332"/>
      <c r="AF10" s="2310" t="s">
        <v>2318</v>
      </c>
      <c r="AG10" s="2332"/>
      <c r="AH10" s="2310" t="s">
        <v>2319</v>
      </c>
      <c r="AI10" s="2332"/>
      <c r="AJ10" s="26" t="s">
        <v>2331</v>
      </c>
      <c r="AK10" s="2329"/>
      <c r="AL10" s="2310" t="s">
        <v>2320</v>
      </c>
      <c r="AM10" s="2311"/>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3040" t="s">
        <v>3133</v>
      </c>
      <c r="J11" s="71"/>
      <c r="K11" s="3040" t="s">
        <v>2993</v>
      </c>
      <c r="L11" s="71"/>
      <c r="M11" s="70" t="s">
        <v>3134</v>
      </c>
      <c r="N11" s="71"/>
      <c r="O11" s="70" t="s">
        <v>3136</v>
      </c>
      <c r="P11" s="71"/>
      <c r="Q11" s="70"/>
      <c r="R11" s="71"/>
      <c r="S11" s="70"/>
      <c r="T11" s="71"/>
      <c r="U11" s="70"/>
      <c r="V11" s="71"/>
      <c r="W11" s="70"/>
      <c r="X11" s="71"/>
      <c r="Y11" s="70"/>
      <c r="Z11" s="71"/>
      <c r="AA11" s="70"/>
      <c r="AB11" s="71"/>
      <c r="AC11" s="55"/>
      <c r="AD11" s="2330" t="s">
        <v>2330</v>
      </c>
      <c r="AE11" s="1001"/>
      <c r="AF11" s="2330" t="s">
        <v>2330</v>
      </c>
      <c r="AG11" s="1001"/>
      <c r="AH11" s="2330" t="s">
        <v>2329</v>
      </c>
      <c r="AI11" s="2331"/>
      <c r="AJ11" s="2330" t="s">
        <v>2329</v>
      </c>
      <c r="AK11" s="2329"/>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t="str">
        <f>M11</f>
        <v>洋房</v>
      </c>
      <c r="BE12" s="50" t="str">
        <f>O11</f>
        <v>车库</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3034"/>
      <c r="B13" s="3034" t="s">
        <v>3147</v>
      </c>
      <c r="C13" s="3034"/>
      <c r="D13" s="3035" t="s">
        <v>1678</v>
      </c>
      <c r="E13" s="27">
        <f t="shared" ref="E13:E20" si="6">IF($C$3="是",ROUND($A$3*G13/$B$3,2),ROUND($A$3*(G13-AT13)/$B$3,2))</f>
        <v>65565</v>
      </c>
      <c r="F13" s="81"/>
      <c r="G13" s="82">
        <f t="shared" ref="G13:G20" si="7">H13+AC13+AT13</f>
        <v>241770</v>
      </c>
      <c r="H13" s="33">
        <f t="shared" ref="H13:H20" si="8">SUMIF(I$12:AB$12,"总值",I13:AB13)</f>
        <v>233728</v>
      </c>
      <c r="I13" s="3038">
        <v>123052</v>
      </c>
      <c r="J13" s="3038"/>
      <c r="K13" s="3038">
        <v>17600</v>
      </c>
      <c r="L13" s="3038"/>
      <c r="M13" s="3038">
        <v>38016</v>
      </c>
      <c r="N13" s="83"/>
      <c r="O13" s="83">
        <v>55060</v>
      </c>
      <c r="P13" s="83"/>
      <c r="Q13" s="83"/>
      <c r="R13" s="83"/>
      <c r="S13" s="83"/>
      <c r="T13" s="83"/>
      <c r="U13" s="83"/>
      <c r="V13" s="83"/>
      <c r="W13" s="83"/>
      <c r="X13" s="83"/>
      <c r="Y13" s="83"/>
      <c r="Z13" s="83"/>
      <c r="AA13" s="83"/>
      <c r="AB13" s="83"/>
      <c r="AC13" s="27">
        <f t="shared" ref="AC13:AC20" si="9">SUMIF(AD$12:AS$12,"总值",AD13:AS13)</f>
        <v>3742</v>
      </c>
      <c r="AD13" s="3042">
        <f>2700+1042</f>
        <v>3742</v>
      </c>
      <c r="AE13" s="3042"/>
      <c r="AF13" s="3042"/>
      <c r="AG13" s="3042"/>
      <c r="AH13" s="3042"/>
      <c r="AI13" s="3042"/>
      <c r="AJ13" s="3042"/>
      <c r="AK13" s="3042"/>
      <c r="AL13" s="3042"/>
      <c r="AM13" s="3042"/>
      <c r="AN13" s="3042"/>
      <c r="AO13" s="3042"/>
      <c r="AP13" s="3042"/>
      <c r="AQ13" s="3042"/>
      <c r="AR13" s="3042"/>
      <c r="AS13" s="3042"/>
      <c r="AT13" s="3043">
        <v>4300</v>
      </c>
      <c r="AU13" s="3044"/>
      <c r="AV13" s="17">
        <f t="shared" ref="AV13:AX20" si="10">A13</f>
        <v>0</v>
      </c>
      <c r="AW13" s="17" t="str">
        <f t="shared" si="10"/>
        <v>面积指标</v>
      </c>
      <c r="AX13" s="17">
        <f t="shared" si="10"/>
        <v>0</v>
      </c>
      <c r="AY13" s="995">
        <f t="shared" ref="AY13:AY20" si="11">ROUND($AY$6*AZ13/$AZ$5,2)</f>
        <v>65565</v>
      </c>
      <c r="AZ13" s="27">
        <f t="shared" ref="AZ13:AZ20" si="12">BA13+BL13</f>
        <v>237470</v>
      </c>
      <c r="BA13" s="27">
        <f t="shared" ref="BA13:BA20" si="13">SUM(BB13:BK13)</f>
        <v>233728</v>
      </c>
      <c r="BB13" s="27">
        <f t="shared" ref="BB13:BB20" si="14">IF($D13="是",I13-J13,0)</f>
        <v>123052</v>
      </c>
      <c r="BC13" s="27">
        <f t="shared" ref="BC13:BC20" si="15">IF($D13="是",K13-L13,0)</f>
        <v>17600</v>
      </c>
      <c r="BD13" s="27">
        <f t="shared" ref="BD13:BD20" si="16">IF($D13="是",M13-N13,0)</f>
        <v>38016</v>
      </c>
      <c r="BE13" s="27">
        <f t="shared" ref="BE13:BE20" si="17">IF($D13="是",O13-P13,0)</f>
        <v>55060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3742</v>
      </c>
      <c r="BM13" s="27">
        <f t="shared" ref="BM13:BM20" si="25">IF($D13="是",AD13-AE13,0)</f>
        <v>3742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3034"/>
      <c r="B14" s="3034"/>
      <c r="C14" s="3036"/>
      <c r="D14" s="3035"/>
      <c r="E14" s="27">
        <f t="shared" si="6"/>
        <v>0</v>
      </c>
      <c r="F14" s="81"/>
      <c r="G14" s="82">
        <f t="shared" si="7"/>
        <v>0</v>
      </c>
      <c r="H14" s="33">
        <f t="shared" si="8"/>
        <v>0</v>
      </c>
      <c r="I14" s="3038"/>
      <c r="J14" s="3038"/>
      <c r="K14" s="3038"/>
      <c r="L14" s="3038"/>
      <c r="M14" s="3038"/>
      <c r="N14" s="83"/>
      <c r="O14" s="83"/>
      <c r="P14" s="83"/>
      <c r="Q14" s="83"/>
      <c r="R14" s="83"/>
      <c r="S14" s="83"/>
      <c r="T14" s="83"/>
      <c r="U14" s="83"/>
      <c r="V14" s="83"/>
      <c r="W14" s="83"/>
      <c r="X14" s="83"/>
      <c r="Y14" s="83"/>
      <c r="Z14" s="83"/>
      <c r="AA14" s="83"/>
      <c r="AB14" s="83"/>
      <c r="AC14" s="27">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34"/>
      <c r="B15" s="3034"/>
      <c r="C15" s="3036"/>
      <c r="D15" s="3035"/>
      <c r="E15" s="27">
        <f t="shared" si="6"/>
        <v>0</v>
      </c>
      <c r="F15" s="81"/>
      <c r="G15" s="82">
        <f t="shared" si="7"/>
        <v>0</v>
      </c>
      <c r="H15" s="33">
        <f t="shared" si="8"/>
        <v>0</v>
      </c>
      <c r="I15" s="3038"/>
      <c r="J15" s="3038"/>
      <c r="K15" s="3038"/>
      <c r="L15" s="3038"/>
      <c r="M15" s="3038"/>
      <c r="N15" s="83"/>
      <c r="O15" s="83"/>
      <c r="P15" s="83"/>
      <c r="Q15" s="83"/>
      <c r="R15" s="83"/>
      <c r="S15" s="83"/>
      <c r="T15" s="83"/>
      <c r="U15" s="83"/>
      <c r="V15" s="83"/>
      <c r="W15" s="83"/>
      <c r="X15" s="83"/>
      <c r="Y15" s="83"/>
      <c r="Z15" s="83"/>
      <c r="AA15" s="83"/>
      <c r="AB15" s="83"/>
      <c r="AC15" s="27">
        <f t="shared" si="9"/>
        <v>0</v>
      </c>
      <c r="AD15" s="3042"/>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34"/>
      <c r="B16" s="3034"/>
      <c r="C16" s="3036"/>
      <c r="D16" s="3035"/>
      <c r="E16" s="27">
        <f t="shared" si="6"/>
        <v>0</v>
      </c>
      <c r="F16" s="81"/>
      <c r="G16" s="82">
        <f t="shared" si="7"/>
        <v>0</v>
      </c>
      <c r="H16" s="33">
        <f t="shared" si="8"/>
        <v>0</v>
      </c>
      <c r="I16" s="3038"/>
      <c r="J16" s="3038"/>
      <c r="K16" s="3038"/>
      <c r="L16" s="3038"/>
      <c r="M16" s="3038"/>
      <c r="N16" s="83"/>
      <c r="O16" s="83"/>
      <c r="P16" s="83"/>
      <c r="Q16" s="83"/>
      <c r="R16" s="83"/>
      <c r="S16" s="83"/>
      <c r="T16" s="83"/>
      <c r="U16" s="83"/>
      <c r="V16" s="83"/>
      <c r="W16" s="83"/>
      <c r="X16" s="83"/>
      <c r="Y16" s="83"/>
      <c r="Z16" s="83"/>
      <c r="AA16" s="83"/>
      <c r="AB16" s="83"/>
      <c r="AC16" s="27">
        <f t="shared" si="9"/>
        <v>0</v>
      </c>
      <c r="AD16" s="3042"/>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34"/>
      <c r="B17" s="3034"/>
      <c r="C17" s="3036"/>
      <c r="D17" s="3035"/>
      <c r="E17" s="27">
        <f t="shared" si="6"/>
        <v>0</v>
      </c>
      <c r="F17" s="81"/>
      <c r="G17" s="82">
        <f t="shared" si="7"/>
        <v>0</v>
      </c>
      <c r="H17" s="33">
        <f t="shared" si="8"/>
        <v>0</v>
      </c>
      <c r="I17" s="3038"/>
      <c r="J17" s="3038"/>
      <c r="K17" s="3038"/>
      <c r="L17" s="3038"/>
      <c r="M17" s="3038"/>
      <c r="N17" s="83"/>
      <c r="O17" s="83"/>
      <c r="P17" s="83"/>
      <c r="Q17" s="83"/>
      <c r="R17" s="83"/>
      <c r="S17" s="83"/>
      <c r="T17" s="83"/>
      <c r="U17" s="83"/>
      <c r="V17" s="83"/>
      <c r="W17" s="83"/>
      <c r="X17" s="83"/>
      <c r="Y17" s="83"/>
      <c r="Z17" s="83"/>
      <c r="AA17" s="83"/>
      <c r="AB17" s="83"/>
      <c r="AC17" s="27">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03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3"/>
      <c r="AM18" s="92"/>
      <c r="AN18" s="1391"/>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3"/>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3"/>
      <c r="N22" s="91"/>
      <c r="O22" s="91"/>
      <c r="P22" s="91"/>
      <c r="Q22" s="91"/>
      <c r="R22" s="91"/>
      <c r="S22" s="91"/>
      <c r="T22" s="91"/>
      <c r="U22" s="91"/>
      <c r="V22" s="91"/>
      <c r="W22" s="91"/>
      <c r="X22" s="91"/>
      <c r="Y22" s="91"/>
      <c r="Z22" s="91"/>
      <c r="AA22" s="91"/>
      <c r="AB22" s="91"/>
      <c r="AC22" s="87">
        <f t="shared" si="36"/>
        <v>0</v>
      </c>
      <c r="AD22" s="1363"/>
      <c r="AE22" s="92"/>
      <c r="AF22" s="1394"/>
      <c r="AG22" s="92"/>
      <c r="AH22" s="92"/>
      <c r="AI22" s="92"/>
      <c r="AJ22" s="92"/>
      <c r="AK22" s="92"/>
      <c r="AL22" s="1363"/>
      <c r="AM22" s="92"/>
      <c r="AN22" s="1363"/>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3"/>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3"/>
      <c r="AM23" s="92"/>
      <c r="AN23" s="1363"/>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3"/>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3"/>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3"/>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4"/>
      <c r="AG114" s="92"/>
      <c r="AH114" s="92"/>
      <c r="AI114" s="92"/>
      <c r="AJ114" s="92"/>
      <c r="AK114" s="92"/>
      <c r="AL114" s="1363"/>
      <c r="AM114" s="92"/>
      <c r="AN114" s="1363"/>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3"/>
      <c r="AM115" s="92"/>
      <c r="AN115" s="1363"/>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3"/>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3"/>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4"/>
      <c r="AG206" s="92"/>
      <c r="AH206" s="92"/>
      <c r="AI206" s="92"/>
      <c r="AJ206" s="92"/>
      <c r="AK206" s="92"/>
      <c r="AL206" s="1363"/>
      <c r="AM206" s="92"/>
      <c r="AN206" s="1363"/>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3"/>
      <c r="AM207" s="92"/>
      <c r="AN207" s="1363"/>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3"/>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3"/>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4"/>
      <c r="AG298" s="92"/>
      <c r="AH298" s="92"/>
      <c r="AI298" s="92"/>
      <c r="AJ298" s="92"/>
      <c r="AK298" s="92"/>
      <c r="AL298" s="1363"/>
      <c r="AM298" s="92"/>
      <c r="AN298" s="1363"/>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3"/>
      <c r="AM299" s="92"/>
      <c r="AN299" s="1363"/>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3"/>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3"/>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4"/>
      <c r="AG390" s="92"/>
      <c r="AH390" s="92"/>
      <c r="AI390" s="92"/>
      <c r="AJ390" s="92"/>
      <c r="AK390" s="92"/>
      <c r="AL390" s="1363"/>
      <c r="AM390" s="92"/>
      <c r="AN390" s="1363"/>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3"/>
      <c r="AM391" s="92"/>
      <c r="AN391" s="1363"/>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3"/>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4"/>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9" t="s">
        <v>0</v>
      </c>
      <c r="B1" s="3289" t="s">
        <v>4</v>
      </c>
      <c r="C1" s="3289" t="s">
        <v>5</v>
      </c>
      <c r="D1" s="3290" t="s">
        <v>40</v>
      </c>
      <c r="E1" s="3290" t="s">
        <v>41</v>
      </c>
      <c r="F1" s="3290"/>
      <c r="G1" s="3290"/>
      <c r="H1" s="3290"/>
      <c r="I1" s="3290"/>
      <c r="J1" s="3290"/>
      <c r="K1" s="3290"/>
      <c r="L1" s="3290"/>
      <c r="M1" s="3290"/>
    </row>
    <row r="2" spans="1:13" ht="27" customHeight="1">
      <c r="A2" s="3289"/>
      <c r="B2" s="3289"/>
      <c r="C2" s="3289"/>
      <c r="D2" s="3290"/>
      <c r="E2" s="3290" t="s">
        <v>24</v>
      </c>
      <c r="F2" s="3290" t="s">
        <v>25</v>
      </c>
      <c r="G2" s="3290"/>
      <c r="H2" s="3290"/>
      <c r="I2" s="3290"/>
      <c r="J2" s="3290" t="s">
        <v>26</v>
      </c>
      <c r="K2" s="3290"/>
      <c r="L2" s="3290"/>
      <c r="M2" s="3290"/>
    </row>
    <row r="3" spans="1:13" ht="46.8">
      <c r="A3" s="3289"/>
      <c r="B3" s="3289"/>
      <c r="C3" s="3289"/>
      <c r="D3" s="3290"/>
      <c r="E3" s="3290"/>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0" t="s">
        <v>42</v>
      </c>
      <c r="B9" s="3290"/>
      <c r="C9" s="32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3" sqref="G23"/>
    </sheetView>
  </sheetViews>
  <sheetFormatPr defaultColWidth="9.21875" defaultRowHeight="13.8"/>
  <cols>
    <col min="1" max="1" width="8.21875" style="1981" customWidth="1"/>
    <col min="2" max="2" width="10.21875" style="1981" customWidth="1"/>
    <col min="3" max="3" width="18.44140625" style="1981" customWidth="1"/>
    <col min="4" max="4" width="11.109375" style="1981" customWidth="1"/>
    <col min="5" max="5" width="13.33203125" style="1981" customWidth="1"/>
    <col min="6" max="8" width="11.44140625" style="1981" customWidth="1"/>
    <col min="9" max="9" width="10.33203125" style="1981" customWidth="1"/>
    <col min="10" max="10" width="3.109375" style="1981" customWidth="1"/>
    <col min="11" max="16" width="11.6640625" style="1981" customWidth="1"/>
    <col min="17" max="17" width="3.33203125" style="1981" customWidth="1"/>
    <col min="18" max="18" width="9.21875" style="1981"/>
    <col min="19" max="19" width="11.21875" style="1981" customWidth="1"/>
    <col min="20" max="16384" width="9.21875" style="1981"/>
  </cols>
  <sheetData>
    <row r="1" spans="1:16" ht="17.399999999999999">
      <c r="A1" s="104" t="s">
        <v>202</v>
      </c>
      <c r="B1" s="1980"/>
      <c r="C1" s="1980"/>
      <c r="D1" s="1980"/>
      <c r="E1" s="1980"/>
      <c r="F1" s="1980"/>
      <c r="G1" s="1980"/>
      <c r="H1" s="1980"/>
      <c r="I1" s="1980"/>
      <c r="J1" s="1980"/>
      <c r="K1" s="1980"/>
      <c r="L1" s="1980"/>
    </row>
    <row r="2" spans="1:16" ht="14.4">
      <c r="A2" s="3300" t="s">
        <v>203</v>
      </c>
      <c r="B2" s="3300"/>
      <c r="C2" s="3300"/>
      <c r="D2" s="1971" t="s">
        <v>204</v>
      </c>
      <c r="E2" s="106" t="s">
        <v>205</v>
      </c>
      <c r="F2" s="1980"/>
      <c r="G2" s="1197"/>
      <c r="H2" s="1198"/>
      <c r="I2" s="1199" t="s">
        <v>856</v>
      </c>
      <c r="J2" s="1980"/>
      <c r="K2" s="1980"/>
      <c r="L2" s="1980"/>
    </row>
    <row r="3" spans="1:16" ht="15" thickBot="1">
      <c r="A3" s="3301" t="s">
        <v>206</v>
      </c>
      <c r="B3" s="3301"/>
      <c r="C3" s="3301"/>
      <c r="D3" s="107">
        <f>'数据-基础表'!AY6</f>
        <v>65565</v>
      </c>
      <c r="E3" s="107">
        <f>'数据-基础表'!AZ5</f>
        <v>237470</v>
      </c>
      <c r="F3" s="1980"/>
      <c r="G3" s="280" t="s">
        <v>857</v>
      </c>
      <c r="H3" s="275" t="s">
        <v>858</v>
      </c>
      <c r="I3" s="1972">
        <f>ROUND('数据-基础表'!B3/'数据-基础表'!A3,2)</f>
        <v>3.62</v>
      </c>
      <c r="J3" s="1980"/>
      <c r="K3" s="1980"/>
      <c r="L3" s="1980"/>
    </row>
    <row r="4" spans="1:16" ht="14.4">
      <c r="A4" s="3302"/>
      <c r="B4" s="3303"/>
      <c r="C4" s="3304"/>
      <c r="D4" s="108" t="s">
        <v>204</v>
      </c>
      <c r="E4" s="109" t="s">
        <v>205</v>
      </c>
      <c r="F4" s="1980"/>
      <c r="G4" s="1200"/>
      <c r="H4" s="275" t="s">
        <v>859</v>
      </c>
      <c r="I4" s="1972">
        <f>ROUND(SUMIF('数据-基础表'!I9:AS9,"地上",'数据-基础表'!I5:AS5)/'数据-基础表'!A3,2)</f>
        <v>2.78</v>
      </c>
      <c r="J4" s="1980"/>
      <c r="K4" s="1980"/>
      <c r="L4" s="1980"/>
    </row>
    <row r="5" spans="1:16" ht="14.4">
      <c r="A5" s="110" t="s">
        <v>207</v>
      </c>
      <c r="B5" s="3305" t="s">
        <v>230</v>
      </c>
      <c r="C5" s="3305"/>
      <c r="D5" s="111">
        <f>ROUND($D$3*E5/$E$3,2)</f>
        <v>44470.559999999998</v>
      </c>
      <c r="E5" s="112">
        <f>SUMIF('数据-基础表'!$11:$11,"住宅",'数据-基础表'!$5:$5)</f>
        <v>161068</v>
      </c>
      <c r="F5" s="1980"/>
      <c r="G5" s="280" t="s">
        <v>860</v>
      </c>
      <c r="H5" s="275" t="s">
        <v>858</v>
      </c>
      <c r="I5" s="1972">
        <f>ROUND(E31/D31,2)</f>
        <v>3.62</v>
      </c>
      <c r="J5" s="1980"/>
      <c r="K5" s="1980"/>
      <c r="L5" s="1980"/>
    </row>
    <row r="6" spans="1:16" ht="15" thickBot="1">
      <c r="A6" s="113"/>
      <c r="B6" s="3305" t="s">
        <v>208</v>
      </c>
      <c r="C6" s="3305"/>
      <c r="D6" s="111">
        <f>ROUND($D$3*E6/$E$3,2)</f>
        <v>21094.44</v>
      </c>
      <c r="E6" s="112">
        <f>E3-E5</f>
        <v>76402</v>
      </c>
      <c r="F6" s="1980"/>
      <c r="G6" s="1200"/>
      <c r="H6" s="275" t="s">
        <v>859</v>
      </c>
      <c r="I6" s="1972">
        <f>ROUND(F31/D31,2)</f>
        <v>2.78</v>
      </c>
      <c r="J6" s="1980"/>
      <c r="K6" s="1980"/>
      <c r="L6" s="1980"/>
    </row>
    <row r="7" spans="1:16" ht="14.4">
      <c r="A7" s="3297"/>
      <c r="B7" s="3298"/>
      <c r="C7" s="3299"/>
      <c r="D7" s="108" t="s">
        <v>204</v>
      </c>
      <c r="E7" s="114" t="s">
        <v>231</v>
      </c>
      <c r="F7" s="1980"/>
      <c r="G7" s="1155" t="s">
        <v>1645</v>
      </c>
      <c r="H7" s="1156"/>
      <c r="I7" s="1842"/>
      <c r="J7" s="1980"/>
      <c r="K7" s="1980"/>
      <c r="L7" s="1980"/>
    </row>
    <row r="8" spans="1:16" ht="14.4">
      <c r="A8" s="110" t="s">
        <v>209</v>
      </c>
      <c r="B8" s="115" t="s">
        <v>210</v>
      </c>
      <c r="C8" s="111" t="s">
        <v>211</v>
      </c>
      <c r="D8" s="111">
        <f t="shared" ref="D8:D15" si="0">ROUND($D$3*E8/$E$3,2)</f>
        <v>49329.88</v>
      </c>
      <c r="E8" s="116">
        <f>SUMIF('数据-基础表'!BB10:BK10,"地上",'数据-基础表'!BB5:BK5)</f>
        <v>178668</v>
      </c>
      <c r="F8" s="1980"/>
      <c r="G8" s="1982"/>
      <c r="H8" s="1982"/>
      <c r="I8" s="1980"/>
      <c r="J8" s="1980"/>
      <c r="K8" s="1980"/>
      <c r="L8" s="1980"/>
    </row>
    <row r="9" spans="1:16" ht="14.4">
      <c r="A9" s="117"/>
      <c r="B9" s="118"/>
      <c r="C9" s="111" t="s">
        <v>212</v>
      </c>
      <c r="D9" s="111">
        <f t="shared" si="0"/>
        <v>0</v>
      </c>
      <c r="E9" s="119"/>
      <c r="F9" s="1980"/>
      <c r="G9" s="1982"/>
      <c r="H9" s="1982"/>
      <c r="I9" s="1980"/>
      <c r="J9" s="1980"/>
      <c r="K9" s="1980"/>
      <c r="L9" s="1980"/>
    </row>
    <row r="10" spans="1:16" ht="14.4">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ht="14.4">
      <c r="A11" s="117"/>
      <c r="B11" s="118"/>
      <c r="C11" s="2327" t="s">
        <v>2327</v>
      </c>
      <c r="D11" s="111">
        <f t="shared" si="0"/>
        <v>0</v>
      </c>
      <c r="E11" s="116">
        <f>SUMPRODUCT(('数据-基础表'!BB10:BK10="地下")*('数据-基础表'!BB11:BK11="办公")*('数据-基础表'!BB5:BK5))+'数据-基础表'!AJ5</f>
        <v>0</v>
      </c>
      <c r="F11" s="1980"/>
      <c r="G11" s="1982"/>
      <c r="H11" s="1982"/>
      <c r="I11" s="1980"/>
      <c r="J11" s="1980"/>
      <c r="K11" s="1980"/>
      <c r="L11" s="1980"/>
    </row>
    <row r="12" spans="1:16" ht="14.4">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ht="14.4">
      <c r="A13" s="117"/>
      <c r="B13" s="118"/>
      <c r="C13" s="2327" t="s">
        <v>2334</v>
      </c>
      <c r="D13" s="111">
        <f t="shared" si="0"/>
        <v>15201.96</v>
      </c>
      <c r="E13" s="116">
        <f>SUMPRODUCT(('数据-基础表'!BB10:BK10="地下")*('数据-基础表'!BB11:BK11="车库")*('数据-基础表'!BB5:BK5))</f>
        <v>55060</v>
      </c>
      <c r="F13" s="1980"/>
      <c r="G13" s="1982"/>
      <c r="H13" s="1982"/>
      <c r="I13" s="1980"/>
      <c r="J13" s="1980"/>
      <c r="K13" s="1980"/>
      <c r="L13" s="1980"/>
    </row>
    <row r="14" spans="1:16" ht="14.4">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 thickBot="1">
      <c r="A16" s="113"/>
      <c r="B16" s="118"/>
      <c r="C16" s="115" t="s">
        <v>215</v>
      </c>
      <c r="D16" s="115">
        <f>SUM(D8:D15)</f>
        <v>64531.839999999997</v>
      </c>
      <c r="E16" s="120">
        <f>SUM(E8:E15)</f>
        <v>233728</v>
      </c>
      <c r="F16" s="1980"/>
      <c r="G16" s="1982"/>
      <c r="H16" s="967" t="s">
        <v>219</v>
      </c>
      <c r="I16" s="968"/>
      <c r="J16" s="1980"/>
      <c r="K16" s="3291" t="s">
        <v>2565</v>
      </c>
      <c r="L16" s="3292"/>
      <c r="M16" s="3292"/>
      <c r="N16" s="3292"/>
      <c r="O16" s="3292"/>
      <c r="P16" s="3293"/>
    </row>
    <row r="17" spans="1:19" ht="14.4">
      <c r="A17" s="121" t="s">
        <v>216</v>
      </c>
      <c r="B17" s="122" t="s">
        <v>217</v>
      </c>
      <c r="C17" s="2294" t="s">
        <v>2314</v>
      </c>
      <c r="D17" s="108" t="s">
        <v>204</v>
      </c>
      <c r="E17" s="124" t="s">
        <v>205</v>
      </c>
      <c r="F17" s="125"/>
      <c r="G17" s="1364"/>
      <c r="H17" s="969" t="s">
        <v>218</v>
      </c>
      <c r="I17" s="970" t="s">
        <v>2313</v>
      </c>
      <c r="J17" s="1980"/>
      <c r="K17" s="3294" t="s">
        <v>2566</v>
      </c>
      <c r="L17" s="3295"/>
      <c r="M17" s="3296"/>
      <c r="N17" s="3294" t="s">
        <v>2567</v>
      </c>
      <c r="O17" s="3295"/>
      <c r="P17" s="3296"/>
      <c r="R17" s="2295" t="s">
        <v>2312</v>
      </c>
      <c r="S17" s="144"/>
    </row>
    <row r="18" spans="1:19" ht="14.4">
      <c r="A18" s="117"/>
      <c r="B18" s="128"/>
      <c r="C18" s="129"/>
      <c r="D18" s="2662"/>
      <c r="E18" s="130" t="s">
        <v>220</v>
      </c>
      <c r="F18" s="131" t="s">
        <v>221</v>
      </c>
      <c r="G18" s="1365" t="s">
        <v>222</v>
      </c>
      <c r="H18" s="971" t="s">
        <v>223</v>
      </c>
      <c r="I18" s="972" t="s">
        <v>224</v>
      </c>
      <c r="J18" s="1980"/>
      <c r="K18" s="2625" t="s">
        <v>2568</v>
      </c>
      <c r="L18" s="2626" t="s">
        <v>2569</v>
      </c>
      <c r="M18" s="2627" t="s">
        <v>2570</v>
      </c>
      <c r="N18" s="2625" t="s">
        <v>2568</v>
      </c>
      <c r="O18" s="2626" t="s">
        <v>2569</v>
      </c>
      <c r="P18" s="2627" t="s">
        <v>2570</v>
      </c>
      <c r="R18" s="2296" t="s">
        <v>2310</v>
      </c>
      <c r="S18" s="2296" t="s">
        <v>2311</v>
      </c>
    </row>
    <row r="19" spans="1:19" ht="14.4">
      <c r="A19" s="133"/>
      <c r="B19" s="115" t="s">
        <v>225</v>
      </c>
      <c r="C19" s="3045" t="s">
        <v>3137</v>
      </c>
      <c r="D19" s="111">
        <f t="shared" ref="D19:D26" si="1">ROUND($D$3*E19/$E$3,2)</f>
        <v>33974.42</v>
      </c>
      <c r="E19" s="134">
        <f t="shared" ref="E19:E26" si="2">SUM(F19:G19)</f>
        <v>123052</v>
      </c>
      <c r="F19" s="135">
        <f>'数据-基础表'!I5</f>
        <v>123052</v>
      </c>
      <c r="G19" s="1366"/>
      <c r="H19" s="973">
        <f>ROUND($D$3*I19/$E$3,2)</f>
        <v>0</v>
      </c>
      <c r="I19" s="116">
        <f>IF($I$17="自定义",P19,M19)</f>
        <v>0</v>
      </c>
      <c r="J19" s="1980"/>
      <c r="K19" s="2628">
        <f t="shared" ref="K19:K26" si="3">ROUND(E$28*E19/E$27,2)</f>
        <v>0</v>
      </c>
      <c r="L19" s="275">
        <f t="shared" ref="L19:L26" si="4">ROUND(IF(COUNTIF(C19,"*住宅*")&gt;0,E$29*E19/E$32,0),2)</f>
        <v>0</v>
      </c>
      <c r="M19" s="2629">
        <f>K19+L19</f>
        <v>0</v>
      </c>
      <c r="N19" s="2630"/>
      <c r="O19" s="2631"/>
      <c r="P19" s="2632">
        <f>N19+O19</f>
        <v>0</v>
      </c>
      <c r="R19" s="275">
        <f t="shared" ref="R19:S26" si="5">D19+H19</f>
        <v>33974.42</v>
      </c>
      <c r="S19" s="2297">
        <f t="shared" si="5"/>
        <v>123052</v>
      </c>
    </row>
    <row r="20" spans="1:19" ht="14.4">
      <c r="A20" s="138"/>
      <c r="B20" s="115" t="s">
        <v>226</v>
      </c>
      <c r="C20" s="3045" t="s">
        <v>3138</v>
      </c>
      <c r="D20" s="111">
        <f t="shared" si="1"/>
        <v>10496.14</v>
      </c>
      <c r="E20" s="134">
        <f t="shared" si="2"/>
        <v>38016</v>
      </c>
      <c r="F20" s="135">
        <f>'数据-基础表'!M5</f>
        <v>38016</v>
      </c>
      <c r="G20" s="1366"/>
      <c r="H20" s="973">
        <f t="shared" ref="H20:H26" si="6">ROUND($D$3*I20/$E$3,2)</f>
        <v>0</v>
      </c>
      <c r="I20" s="116">
        <f t="shared" ref="I20:I26" si="7">IF($I$17="自定义",P20,M20)</f>
        <v>0</v>
      </c>
      <c r="J20" s="1980"/>
      <c r="K20" s="2628">
        <f t="shared" si="3"/>
        <v>0</v>
      </c>
      <c r="L20" s="275">
        <f t="shared" si="4"/>
        <v>0</v>
      </c>
      <c r="M20" s="2629">
        <f t="shared" ref="M20:M26" si="8">K20+L20</f>
        <v>0</v>
      </c>
      <c r="N20" s="2630"/>
      <c r="O20" s="2631"/>
      <c r="P20" s="2632">
        <f t="shared" ref="P20:P26" si="9">N20+O20</f>
        <v>0</v>
      </c>
      <c r="R20" s="275">
        <f t="shared" si="5"/>
        <v>10496.14</v>
      </c>
      <c r="S20" s="2297">
        <f t="shared" si="5"/>
        <v>38016</v>
      </c>
    </row>
    <row r="21" spans="1:19" ht="14.4">
      <c r="A21" s="138"/>
      <c r="B21" s="115" t="s">
        <v>226</v>
      </c>
      <c r="C21" s="3045" t="s">
        <v>3139</v>
      </c>
      <c r="D21" s="111">
        <f t="shared" si="1"/>
        <v>4859.33</v>
      </c>
      <c r="E21" s="134">
        <f t="shared" si="2"/>
        <v>17600</v>
      </c>
      <c r="F21" s="135">
        <f>'数据-基础表'!K5</f>
        <v>17600</v>
      </c>
      <c r="G21" s="1366"/>
      <c r="H21" s="973">
        <f t="shared" si="6"/>
        <v>0</v>
      </c>
      <c r="I21" s="116">
        <f t="shared" si="7"/>
        <v>0</v>
      </c>
      <c r="J21" s="1980"/>
      <c r="K21" s="2628">
        <f t="shared" si="3"/>
        <v>0</v>
      </c>
      <c r="L21" s="275">
        <f t="shared" si="4"/>
        <v>0</v>
      </c>
      <c r="M21" s="2629">
        <f t="shared" si="8"/>
        <v>0</v>
      </c>
      <c r="N21" s="2630"/>
      <c r="O21" s="2631"/>
      <c r="P21" s="2632">
        <f t="shared" si="9"/>
        <v>0</v>
      </c>
      <c r="R21" s="275">
        <f t="shared" si="5"/>
        <v>4859.33</v>
      </c>
      <c r="S21" s="2297">
        <f t="shared" si="5"/>
        <v>17600</v>
      </c>
    </row>
    <row r="22" spans="1:19" ht="14.4">
      <c r="A22" s="138"/>
      <c r="B22" s="115" t="s">
        <v>226</v>
      </c>
      <c r="C22" s="3202" t="s">
        <v>3140</v>
      </c>
      <c r="D22" s="111">
        <f t="shared" si="1"/>
        <v>15201.96</v>
      </c>
      <c r="E22" s="134">
        <f t="shared" si="2"/>
        <v>55060</v>
      </c>
      <c r="F22" s="140"/>
      <c r="G22" s="1367">
        <f>'数据-基础表'!O5</f>
        <v>55060</v>
      </c>
      <c r="H22" s="973">
        <f t="shared" si="6"/>
        <v>0</v>
      </c>
      <c r="I22" s="116">
        <f t="shared" si="7"/>
        <v>0</v>
      </c>
      <c r="J22" s="1980"/>
      <c r="K22" s="2628">
        <f t="shared" si="3"/>
        <v>0</v>
      </c>
      <c r="L22" s="275">
        <f t="shared" si="4"/>
        <v>0</v>
      </c>
      <c r="M22" s="2629">
        <f t="shared" si="8"/>
        <v>0</v>
      </c>
      <c r="N22" s="2630"/>
      <c r="O22" s="2631"/>
      <c r="P22" s="2632">
        <f t="shared" si="9"/>
        <v>0</v>
      </c>
      <c r="R22" s="275">
        <f t="shared" si="5"/>
        <v>15201.96</v>
      </c>
      <c r="S22" s="2297">
        <f t="shared" si="5"/>
        <v>55060</v>
      </c>
    </row>
    <row r="23" spans="1:19" ht="14.4">
      <c r="A23" s="138"/>
      <c r="B23" s="115" t="s">
        <v>226</v>
      </c>
      <c r="C23" s="139"/>
      <c r="D23" s="111">
        <f>ROUND($D$3*E23/$E$3,2)</f>
        <v>0</v>
      </c>
      <c r="E23" s="134">
        <f>SUM(F23:G23)</f>
        <v>0</v>
      </c>
      <c r="F23" s="140"/>
      <c r="G23" s="1367"/>
      <c r="H23" s="973">
        <f>ROUND($D$3*I23/$E$3,2)</f>
        <v>0</v>
      </c>
      <c r="I23" s="116">
        <f t="shared" si="7"/>
        <v>0</v>
      </c>
      <c r="J23" s="1980"/>
      <c r="K23" s="2628">
        <f t="shared" si="3"/>
        <v>0</v>
      </c>
      <c r="L23" s="275">
        <f t="shared" si="4"/>
        <v>0</v>
      </c>
      <c r="M23" s="2629">
        <f t="shared" si="8"/>
        <v>0</v>
      </c>
      <c r="N23" s="2630"/>
      <c r="O23" s="2631"/>
      <c r="P23" s="2632">
        <f t="shared" si="9"/>
        <v>0</v>
      </c>
      <c r="R23" s="275">
        <f t="shared" si="5"/>
        <v>0</v>
      </c>
      <c r="S23" s="2297">
        <f t="shared" si="5"/>
        <v>0</v>
      </c>
    </row>
    <row r="24" spans="1:19" ht="14.4">
      <c r="A24" s="138"/>
      <c r="B24" s="115" t="s">
        <v>226</v>
      </c>
      <c r="C24" s="139"/>
      <c r="D24" s="111">
        <f>ROUND($D$3*E24/$E$3,2)</f>
        <v>0</v>
      </c>
      <c r="E24" s="134">
        <f>SUM(F24:G24)</f>
        <v>0</v>
      </c>
      <c r="F24" s="140"/>
      <c r="G24" s="1367"/>
      <c r="H24" s="973">
        <f>ROUND($D$3*I24/$E$3,2)</f>
        <v>0</v>
      </c>
      <c r="I24" s="116">
        <f t="shared" si="7"/>
        <v>0</v>
      </c>
      <c r="J24" s="1980"/>
      <c r="K24" s="2628">
        <f t="shared" si="3"/>
        <v>0</v>
      </c>
      <c r="L24" s="275">
        <f t="shared" si="4"/>
        <v>0</v>
      </c>
      <c r="M24" s="2629">
        <f t="shared" si="8"/>
        <v>0</v>
      </c>
      <c r="N24" s="2630"/>
      <c r="O24" s="2631"/>
      <c r="P24" s="2632">
        <f t="shared" si="9"/>
        <v>0</v>
      </c>
      <c r="R24" s="275">
        <f t="shared" si="5"/>
        <v>0</v>
      </c>
      <c r="S24" s="2297">
        <f t="shared" si="5"/>
        <v>0</v>
      </c>
    </row>
    <row r="25" spans="1:19" ht="14.4">
      <c r="A25" s="138"/>
      <c r="B25" s="115" t="s">
        <v>226</v>
      </c>
      <c r="C25" s="139"/>
      <c r="D25" s="111">
        <f t="shared" si="1"/>
        <v>0</v>
      </c>
      <c r="E25" s="134">
        <f t="shared" si="2"/>
        <v>0</v>
      </c>
      <c r="F25" s="140"/>
      <c r="G25" s="1367"/>
      <c r="H25" s="110">
        <f t="shared" si="6"/>
        <v>0</v>
      </c>
      <c r="I25" s="116">
        <f t="shared" si="7"/>
        <v>0</v>
      </c>
      <c r="J25" s="1980"/>
      <c r="K25" s="2628">
        <f t="shared" si="3"/>
        <v>0</v>
      </c>
      <c r="L25" s="275">
        <f t="shared" si="4"/>
        <v>0</v>
      </c>
      <c r="M25" s="2629">
        <f t="shared" si="8"/>
        <v>0</v>
      </c>
      <c r="N25" s="2630"/>
      <c r="O25" s="2631"/>
      <c r="P25" s="2632">
        <f t="shared" si="9"/>
        <v>0</v>
      </c>
      <c r="R25" s="275">
        <f t="shared" si="5"/>
        <v>0</v>
      </c>
      <c r="S25" s="2297">
        <f t="shared" si="5"/>
        <v>0</v>
      </c>
    </row>
    <row r="26" spans="1:19" ht="14.4">
      <c r="A26" s="138"/>
      <c r="B26" s="115" t="s">
        <v>226</v>
      </c>
      <c r="C26" s="142"/>
      <c r="D26" s="111">
        <f t="shared" si="1"/>
        <v>0</v>
      </c>
      <c r="E26" s="134">
        <f t="shared" si="2"/>
        <v>0</v>
      </c>
      <c r="F26" s="140"/>
      <c r="G26" s="1367"/>
      <c r="H26" s="110">
        <f t="shared" si="6"/>
        <v>0</v>
      </c>
      <c r="I26" s="116">
        <f t="shared" si="7"/>
        <v>0</v>
      </c>
      <c r="J26" s="1980"/>
      <c r="K26" s="2633">
        <f t="shared" si="3"/>
        <v>0</v>
      </c>
      <c r="L26" s="280">
        <f t="shared" si="4"/>
        <v>0</v>
      </c>
      <c r="M26" s="146">
        <f t="shared" si="8"/>
        <v>0</v>
      </c>
      <c r="N26" s="2634"/>
      <c r="O26" s="2635"/>
      <c r="P26" s="2636">
        <f t="shared" si="9"/>
        <v>0</v>
      </c>
      <c r="R26" s="275">
        <f t="shared" si="5"/>
        <v>0</v>
      </c>
      <c r="S26" s="2297">
        <f t="shared" si="5"/>
        <v>0</v>
      </c>
    </row>
    <row r="27" spans="1:19" ht="42" thickBot="1">
      <c r="A27" s="138"/>
      <c r="B27" s="111"/>
      <c r="C27" s="127" t="s">
        <v>215</v>
      </c>
      <c r="D27" s="134">
        <f>SUM(D19:D26)</f>
        <v>64531.85</v>
      </c>
      <c r="E27" s="143">
        <f>IF(SUM(E19:E26)='数据-基础表'!BA5,SUM(E19:E26),IF(F27="地上面积有误","面积有误","地下面积有误"))</f>
        <v>233728</v>
      </c>
      <c r="F27" s="134">
        <f>IF(SUM(F19:F26)=E8,SUM(F19:F26),"地上面积有误")</f>
        <v>178668</v>
      </c>
      <c r="G27" s="112">
        <f>SUM(G19:G26)</f>
        <v>55060</v>
      </c>
      <c r="H27" s="974">
        <f>SUM(H19:H26)</f>
        <v>0</v>
      </c>
      <c r="I27" s="975">
        <f>SUM(I19:I26)</f>
        <v>0</v>
      </c>
      <c r="J27" s="1980"/>
      <c r="K27" s="2637">
        <f>SUM(K19:K26)</f>
        <v>0</v>
      </c>
      <c r="L27" s="2638">
        <f>SUM(L19:L26)</f>
        <v>0</v>
      </c>
      <c r="M27" s="2639">
        <f>SUM(M19:M26)</f>
        <v>0</v>
      </c>
      <c r="N27" s="2637">
        <f t="shared" ref="N27:O27" si="10">SUM(N19:N26)</f>
        <v>0</v>
      </c>
      <c r="O27" s="2638">
        <f t="shared" si="10"/>
        <v>0</v>
      </c>
      <c r="P27" s="2640">
        <f>SUM(P19:P26)</f>
        <v>0</v>
      </c>
      <c r="R27" s="2301" t="str">
        <f>IF(SUM(R19:R26)=$D$3,SUM(R19:R26),SUM(R19:R26)&amp;"误差"&amp;ROUND(SUM(R19:R26)-$D$3,2))</f>
        <v>64531.85误差-1033.15</v>
      </c>
      <c r="S27" s="275" t="str">
        <f>IF(SUM(S19:S26)=$E$3,SUM(S19:S26),SUM(S19:S26)&amp;"误差"&amp;ROUND(SUM(S19:S26)-E3,2))</f>
        <v>233728误差-3742</v>
      </c>
    </row>
    <row r="28" spans="1:19" ht="14.4">
      <c r="A28" s="138"/>
      <c r="B28" s="115" t="s">
        <v>227</v>
      </c>
      <c r="C28" s="136" t="s">
        <v>228</v>
      </c>
      <c r="D28" s="111">
        <f>ROUND($D$3*E28/$E$3,2)</f>
        <v>0</v>
      </c>
      <c r="E28" s="134">
        <f>SUM(F28:G28)</f>
        <v>0</v>
      </c>
      <c r="F28" s="144">
        <f>'数据-基础表'!BQ5+'数据-基础表'!BS5</f>
        <v>0</v>
      </c>
      <c r="G28" s="145">
        <f>'数据-基础表'!BR5+'数据-基础表'!BT5</f>
        <v>0</v>
      </c>
      <c r="H28" s="1980"/>
      <c r="I28" s="1980"/>
      <c r="J28" s="1980"/>
      <c r="K28" s="1980"/>
      <c r="L28" s="1980"/>
    </row>
    <row r="29" spans="1:19" ht="14.4">
      <c r="A29" s="138"/>
      <c r="B29" s="115" t="s">
        <v>227</v>
      </c>
      <c r="C29" s="2309" t="s">
        <v>2321</v>
      </c>
      <c r="D29" s="111">
        <f>ROUND($D$3*E29/$E$3,2)</f>
        <v>1033.1600000000001</v>
      </c>
      <c r="E29" s="134">
        <f>SUM(F29:G29)</f>
        <v>3742</v>
      </c>
      <c r="F29" s="144">
        <f>'数据-基础表'!BM5+'数据-基础表'!BO5</f>
        <v>3742</v>
      </c>
      <c r="G29" s="146">
        <f>'数据-基础表'!BN5+'数据-基础表'!BP5</f>
        <v>0</v>
      </c>
      <c r="H29" s="1980"/>
      <c r="I29" s="1980"/>
      <c r="J29" s="1980"/>
      <c r="K29" s="1980"/>
      <c r="L29" s="1980"/>
    </row>
    <row r="30" spans="1:19" ht="14.4">
      <c r="A30" s="138"/>
      <c r="B30" s="111"/>
      <c r="C30" s="147" t="s">
        <v>215</v>
      </c>
      <c r="D30" s="134">
        <f>SUM(D28:D29)</f>
        <v>1033.1600000000001</v>
      </c>
      <c r="E30" s="134">
        <f>SUM(E28:E29)</f>
        <v>3742</v>
      </c>
      <c r="F30" s="134">
        <f>SUM(F28:F29)</f>
        <v>3742</v>
      </c>
      <c r="G30" s="112">
        <f>SUM(G28:G29)</f>
        <v>0</v>
      </c>
      <c r="H30" s="1980"/>
      <c r="I30" s="1980"/>
      <c r="J30" s="1980"/>
      <c r="K30" s="1980"/>
      <c r="L30" s="1980"/>
    </row>
    <row r="31" spans="1:19" ht="32.25" customHeight="1" thickBot="1">
      <c r="A31" s="1368"/>
      <c r="B31" s="1369" t="s">
        <v>229</v>
      </c>
      <c r="C31" s="2326" t="s">
        <v>2323</v>
      </c>
      <c r="D31" s="1370">
        <f>D27+D30</f>
        <v>65565.009999999995</v>
      </c>
      <c r="E31" s="1370">
        <f>E27+E30</f>
        <v>237470</v>
      </c>
      <c r="F31" s="1371">
        <f>F27+F30</f>
        <v>182410</v>
      </c>
      <c r="G31" s="1372">
        <f>G27+G30</f>
        <v>55060</v>
      </c>
      <c r="H31" s="1980"/>
      <c r="I31" s="1980"/>
      <c r="J31" s="1980"/>
      <c r="K31" s="1980"/>
      <c r="L31" s="1980"/>
    </row>
    <row r="32" spans="1:19" ht="14.4">
      <c r="A32" s="1980"/>
      <c r="B32" s="2359" t="s">
        <v>2322</v>
      </c>
      <c r="C32" s="2667"/>
      <c r="D32" s="1200"/>
      <c r="E32" s="1200">
        <f>SUMIF(C19:C26,"*住宅*",E19:E26)</f>
        <v>0</v>
      </c>
      <c r="F32" s="1200"/>
      <c r="G32" s="1200"/>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I30" activePane="bottomRight" state="frozen"/>
      <selection pane="topRight" activeCell="D1" sqref="D1"/>
      <selection pane="bottomLeft" activeCell="A4" sqref="A4"/>
      <selection pane="bottomRight" activeCell="L14" sqref="L14"/>
    </sheetView>
  </sheetViews>
  <sheetFormatPr defaultColWidth="13.77734375" defaultRowHeight="13.2"/>
  <cols>
    <col min="1" max="1" width="20.88671875" style="1215" customWidth="1"/>
    <col min="2" max="3" width="12" style="1202" customWidth="1"/>
    <col min="4" max="4" width="9.109375" style="1216" customWidth="1"/>
    <col min="5" max="5" width="15" style="1202" bestFit="1" customWidth="1"/>
    <col min="6" max="10" width="8.88671875" style="1202" customWidth="1"/>
    <col min="11" max="12" width="12.33203125" style="1217" customWidth="1"/>
    <col min="13" max="13" width="8.6640625" style="1202" customWidth="1"/>
    <col min="14" max="14" width="9.77734375" style="1202" customWidth="1"/>
    <col min="15" max="16" width="9.6640625" style="1202" customWidth="1"/>
    <col min="17" max="17" width="10.88671875" style="1202" customWidth="1"/>
    <col min="18" max="19" width="12.44140625" style="1202" customWidth="1"/>
    <col min="20" max="20" width="12.109375" style="1202" customWidth="1"/>
    <col min="21" max="21" width="7.44140625" style="1202" customWidth="1"/>
    <col min="22" max="22" width="6.33203125" style="1202" customWidth="1"/>
    <col min="23" max="24" width="6.77734375" style="1202" customWidth="1"/>
    <col min="25" max="25" width="8.109375" style="1202" customWidth="1"/>
    <col min="26" max="30" width="6.77734375" style="1202" customWidth="1"/>
    <col min="31" max="31" width="6.44140625" style="1202" customWidth="1"/>
    <col min="32" max="34" width="7.21875" style="1202" customWidth="1"/>
    <col min="35" max="39" width="8" style="1202" customWidth="1"/>
    <col min="40" max="41" width="13.77734375" style="1994"/>
    <col min="42" max="42" width="0" style="1994" hidden="1" customWidth="1"/>
    <col min="43" max="83" width="13.77734375" style="1994"/>
    <col min="84" max="16384" width="13.77734375" style="1202"/>
  </cols>
  <sheetData>
    <row r="1" spans="1:83" ht="18" thickBot="1">
      <c r="A1" s="148" t="s">
        <v>234</v>
      </c>
      <c r="B1" s="1201"/>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5" customFormat="1" ht="15" thickBot="1">
      <c r="A2" s="149" t="s">
        <v>235</v>
      </c>
      <c r="B2" s="2334">
        <f>项目基本情况!D3</f>
        <v>43507</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5" customFormat="1" ht="14.4" thickBot="1">
      <c r="A3" s="1206"/>
      <c r="B3" s="1203"/>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1" customFormat="1" ht="57.6">
      <c r="A5" s="2300"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2826</v>
      </c>
      <c r="O5" s="163" t="s">
        <v>246</v>
      </c>
      <c r="P5" s="165" t="s">
        <v>247</v>
      </c>
      <c r="Q5" s="166" t="s">
        <v>248</v>
      </c>
      <c r="R5" s="167" t="s">
        <v>249</v>
      </c>
      <c r="S5" s="2641" t="s">
        <v>2571</v>
      </c>
      <c r="T5" s="168" t="s">
        <v>250</v>
      </c>
      <c r="U5" s="169" t="s">
        <v>251</v>
      </c>
      <c r="V5" s="159" t="s">
        <v>252</v>
      </c>
      <c r="W5" s="159" t="s">
        <v>253</v>
      </c>
      <c r="X5" s="1814"/>
      <c r="Y5" s="170" t="s">
        <v>254</v>
      </c>
      <c r="Z5" s="171" t="s">
        <v>255</v>
      </c>
      <c r="AA5" s="159" t="s">
        <v>252</v>
      </c>
      <c r="AB5" s="159" t="s">
        <v>253</v>
      </c>
      <c r="AC5" s="1815"/>
      <c r="AD5" s="172" t="s">
        <v>254</v>
      </c>
      <c r="AE5" s="1" t="s">
        <v>869</v>
      </c>
      <c r="AF5" s="159" t="s">
        <v>256</v>
      </c>
      <c r="AG5" s="170" t="s">
        <v>257</v>
      </c>
      <c r="AH5" s="1815" t="s">
        <v>2324</v>
      </c>
      <c r="AI5" s="171" t="s">
        <v>2293</v>
      </c>
      <c r="AJ5" s="171" t="s">
        <v>258</v>
      </c>
      <c r="AK5" s="159" t="s">
        <v>259</v>
      </c>
      <c r="AL5" s="159" t="s">
        <v>260</v>
      </c>
      <c r="AM5" s="172" t="s">
        <v>261</v>
      </c>
      <c r="AN5" s="2411"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5" customFormat="1" ht="14.4">
      <c r="A6" s="2298" t="str">
        <f>'数据-汇总表'!C19</f>
        <v>高层</v>
      </c>
      <c r="B6" s="2333" t="str">
        <f>IF(A6=0,"","经营性")</f>
        <v>经营性</v>
      </c>
      <c r="C6" s="173" t="s">
        <v>922</v>
      </c>
      <c r="D6" s="2304">
        <f>SUMIF(项目基本情况!D$15:I$15,C6,项目基本情况!D$18:I$18)</f>
        <v>70</v>
      </c>
      <c r="E6" s="2305">
        <f>IF(B6="","",SUMIF(项目基本情况!D$15:I$15,C6,项目基本情况!D$17:I$17))</f>
        <v>69074</v>
      </c>
      <c r="F6" s="174">
        <f>SUMIF(项目基本情况!D$15:I$15,C6,项目基本情况!D$19:I$19)</f>
        <v>70</v>
      </c>
      <c r="G6" s="175">
        <f>IF(ISERROR(ROUND(POWER(1+H6,D6-F6)*(POWER(1+H6,F6)-1)/(POWER(1+H6,D6)-1),3)),0,ROUND(POWER(1+H6,D6-F6)*(POWER(1+H6,F6)-1)/(POWER(1+H6,D6)-1),3))</f>
        <v>1</v>
      </c>
      <c r="H6" s="3046">
        <v>0.04</v>
      </c>
      <c r="I6" s="3046">
        <v>4.4999999999999998E-2</v>
      </c>
      <c r="J6" s="3204">
        <v>8.5000000000000006E-2</v>
      </c>
      <c r="K6" s="179">
        <f>SUMIF('数据-汇总表'!C$19:C$33,'数据-取费表'!A6,'数据-汇总表'!E$19:E$33)</f>
        <v>123052</v>
      </c>
      <c r="L6" s="3047">
        <v>3500</v>
      </c>
      <c r="M6" s="177">
        <f t="shared" ref="M6:M14" si="0">ROUND(K6*L6/10000,0)</f>
        <v>43068</v>
      </c>
      <c r="N6" s="3048">
        <v>0</v>
      </c>
      <c r="O6" s="177">
        <f>IF($N$5="成新度","——",ROUND(M6*N6,0))</f>
        <v>0</v>
      </c>
      <c r="P6" s="178">
        <f>IF($N$5="成新度","——",M6-O6)</f>
        <v>43068</v>
      </c>
      <c r="Q6" s="3049">
        <v>0.15</v>
      </c>
      <c r="R6" s="179">
        <f>SUMIF('数据-汇总表'!C$19:C$33,A6,'数据-汇总表'!R$19:R$33)</f>
        <v>33974.42</v>
      </c>
      <c r="S6" s="132">
        <f>IF('数据-汇总表'!$I$17="按面积比例",SUMIF('数据-汇总表'!C$19:C$33,A6,'数据-汇总表'!K$19:K$33),SUMIF('数据-汇总表'!C$19:C$33,A6,'数据-汇总表'!N$19:N$33))</f>
        <v>0</v>
      </c>
      <c r="T6" s="2230" t="str">
        <f>IF($T$4="按面积比例",IF(ISERROR(ROUND($M$14*S6/S$16,0)),"0",ROUND($M$14*S6/S$16,0)),"需自行计算录入")</f>
        <v>0</v>
      </c>
      <c r="U6" s="180"/>
      <c r="V6" s="181"/>
      <c r="W6" s="181"/>
      <c r="X6" s="2317"/>
      <c r="Y6" s="182"/>
      <c r="Z6" s="183"/>
      <c r="AA6" s="176"/>
      <c r="AB6" s="176"/>
      <c r="AC6" s="2320"/>
      <c r="AD6" s="184"/>
      <c r="AE6" s="971">
        <f ca="1">IF(AN6="",0,SUMIF(INDIRECT("'"&amp;AN6&amp;"'"&amp;"!E:E"),$AE$5,INDIRECT("'"&amp;AN6&amp;"'"&amp;"!F:F")))</f>
        <v>0</v>
      </c>
      <c r="AF6" s="141"/>
      <c r="AG6" s="1212">
        <f>IF(AF6="",0,AE6-AF6)</f>
        <v>0</v>
      </c>
      <c r="AH6" s="141"/>
      <c r="AI6" s="187"/>
      <c r="AJ6" s="188"/>
      <c r="AK6" s="189"/>
      <c r="AL6" s="190"/>
      <c r="AM6" s="3060"/>
      <c r="AN6" s="2412"/>
      <c r="AO6" s="1996"/>
      <c r="AP6" s="1203">
        <f>ROUND(1-1/(1+H6)^F6,3)</f>
        <v>0.93600000000000005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5" customFormat="1" ht="14.4">
      <c r="A7" s="2298" t="str">
        <f>'数据-汇总表'!C20</f>
        <v>洋房</v>
      </c>
      <c r="B7" s="2333" t="str">
        <f t="shared" ref="B7:B13" si="1">IF(A7=0,"","经营性")</f>
        <v>经营性</v>
      </c>
      <c r="C7" s="173" t="s">
        <v>922</v>
      </c>
      <c r="D7" s="2304">
        <f>SUMIF(项目基本情况!D$15:I$15,C7,项目基本情况!D$18:I$18)</f>
        <v>70</v>
      </c>
      <c r="E7" s="2305">
        <f>IF(B7="","",SUMIF(项目基本情况!D$15:I$15,C7,项目基本情况!D$17:I$17))</f>
        <v>69074</v>
      </c>
      <c r="F7" s="174">
        <f>SUMIF(项目基本情况!D$15:I$15,C7,项目基本情况!D$19:I$19)</f>
        <v>70</v>
      </c>
      <c r="G7" s="175">
        <f t="shared" ref="G7:G11" si="2">IF(ISERROR(ROUND(POWER(1+H7,D7-F7)*(POWER(1+H7,F7)-1)/(POWER(1+H7,D7)-1),3)),0,ROUND(POWER(1+H7,D7-F7)*(POWER(1+H7,F7)-1)/(POWER(1+H7,D7)-1),3))</f>
        <v>1</v>
      </c>
      <c r="H7" s="3046">
        <v>0.04</v>
      </c>
      <c r="I7" s="3046">
        <v>4.4999999999999998E-2</v>
      </c>
      <c r="J7" s="3204">
        <v>8.5000000000000006E-2</v>
      </c>
      <c r="K7" s="179">
        <f>SUMIF('数据-汇总表'!C$19:C$33,'数据-取费表'!A7,'数据-汇总表'!E$19:E$33)</f>
        <v>38016</v>
      </c>
      <c r="L7" s="3047">
        <v>3200</v>
      </c>
      <c r="M7" s="177">
        <f t="shared" si="0"/>
        <v>12165</v>
      </c>
      <c r="N7" s="3048">
        <v>0</v>
      </c>
      <c r="O7" s="177">
        <f t="shared" ref="O7:O14" si="3">IF($N$5="成新度","——",ROUND(M7*N7,0))</f>
        <v>0</v>
      </c>
      <c r="P7" s="178">
        <f t="shared" ref="P7:P14" si="4">IF($N$5="成新度","——",M7-O7)</f>
        <v>12165</v>
      </c>
      <c r="Q7" s="3049">
        <v>0.18</v>
      </c>
      <c r="R7" s="179">
        <f>SUMIF('数据-汇总表'!C$19:C$33,A7,'数据-汇总表'!R$19:R$33)</f>
        <v>10496.14</v>
      </c>
      <c r="S7" s="132">
        <f>IF('数据-汇总表'!$I$17="按面积比例",SUMIF('数据-汇总表'!C$19:C$33,A7,'数据-汇总表'!K$19:K$33),SUMIF('数据-汇总表'!C$19:C$33,A7,'数据-汇总表'!N$19:N$33))</f>
        <v>0</v>
      </c>
      <c r="T7" s="2230" t="str">
        <f t="shared" ref="T7:T13" si="5">IF($T$4="按面积比例",IF(ISERROR(ROUND($M$14*S7/S$16,0)),"0",ROUND($M$14*S7/S$16,0)),"需自行计算录入")</f>
        <v>0</v>
      </c>
      <c r="U7" s="180"/>
      <c r="V7" s="181"/>
      <c r="W7" s="181"/>
      <c r="X7" s="2317"/>
      <c r="Y7" s="182"/>
      <c r="Z7" s="183"/>
      <c r="AA7" s="176"/>
      <c r="AB7" s="176"/>
      <c r="AC7" s="2320"/>
      <c r="AD7" s="184"/>
      <c r="AE7" s="971">
        <f t="shared" ref="AE7:AE13" ca="1" si="6">IF(AN7="",0,SUMIF(INDIRECT("'"&amp;AN7&amp;"'"&amp;"!E:E"),$AE$5,INDIRECT("'"&amp;AN7&amp;"'"&amp;"!F:F")))</f>
        <v>0</v>
      </c>
      <c r="AF7" s="141"/>
      <c r="AG7" s="1212">
        <f t="shared" ref="AG7:AG13" si="7">IF(AF7="",0,AE7-AF7)</f>
        <v>0</v>
      </c>
      <c r="AH7" s="141"/>
      <c r="AI7" s="187"/>
      <c r="AJ7" s="188"/>
      <c r="AK7" s="189"/>
      <c r="AL7" s="190"/>
      <c r="AM7" s="2410"/>
      <c r="AN7" s="2412"/>
      <c r="AO7" s="1996"/>
      <c r="AP7" s="1203">
        <f t="shared" ref="AP7:AP13" si="8">ROUND(1-1/(1+H7)^F7,3)</f>
        <v>0.93600000000000005</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5" customFormat="1" ht="14.4">
      <c r="A8" s="2298" t="str">
        <f>'数据-汇总表'!C21</f>
        <v>商业</v>
      </c>
      <c r="B8" s="2333" t="str">
        <f t="shared" si="1"/>
        <v>经营性</v>
      </c>
      <c r="C8" s="173" t="s">
        <v>2985</v>
      </c>
      <c r="D8" s="2304">
        <f>SUMIF(项目基本情况!D$15:I$15,C8,项目基本情况!D$18:I$18)</f>
        <v>40</v>
      </c>
      <c r="E8" s="2305">
        <f>IF(B8="","",SUMIF(项目基本情况!D$15:I$15,C8,项目基本情况!D$17:I$17))</f>
        <v>58116</v>
      </c>
      <c r="F8" s="174">
        <f>SUMIF(项目基本情况!D$15:I$15,C8,项目基本情况!D$19:I$19)</f>
        <v>40</v>
      </c>
      <c r="G8" s="175">
        <f t="shared" si="2"/>
        <v>1</v>
      </c>
      <c r="H8" s="3046">
        <v>0.05</v>
      </c>
      <c r="I8" s="3046">
        <v>5.5E-2</v>
      </c>
      <c r="J8" s="3204">
        <v>8.5000000000000006E-2</v>
      </c>
      <c r="K8" s="179">
        <f>SUMIF('数据-汇总表'!C$19:C$33,'数据-取费表'!A8,'数据-汇总表'!E$19:E$33)</f>
        <v>17600</v>
      </c>
      <c r="L8" s="3047">
        <v>2800</v>
      </c>
      <c r="M8" s="177">
        <f>ROUND(K8*L8/10000,0)</f>
        <v>4928</v>
      </c>
      <c r="N8" s="3048">
        <f>N6</f>
        <v>0</v>
      </c>
      <c r="O8" s="177">
        <f t="shared" si="3"/>
        <v>0</v>
      </c>
      <c r="P8" s="178">
        <f t="shared" si="4"/>
        <v>4928</v>
      </c>
      <c r="Q8" s="3049">
        <v>0.2</v>
      </c>
      <c r="R8" s="179">
        <f>SUMIF('数据-汇总表'!C$19:C$33,A8,'数据-汇总表'!R$19:R$33)</f>
        <v>4859.33</v>
      </c>
      <c r="S8" s="132">
        <f>IF('数据-汇总表'!$I$17="按面积比例",SUMIF('数据-汇总表'!C$19:C$33,A8,'数据-汇总表'!K$19:K$33),SUMIF('数据-汇总表'!C$19:C$33,A8,'数据-汇总表'!N$19:N$33))</f>
        <v>0</v>
      </c>
      <c r="T8" s="2230" t="str">
        <f t="shared" si="5"/>
        <v>0</v>
      </c>
      <c r="U8" s="180">
        <v>4</v>
      </c>
      <c r="V8" s="181">
        <v>0.03</v>
      </c>
      <c r="W8" s="181">
        <v>0.1</v>
      </c>
      <c r="X8" s="2317"/>
      <c r="Y8" s="182">
        <v>1</v>
      </c>
      <c r="Z8" s="183"/>
      <c r="AA8" s="176"/>
      <c r="AB8" s="176"/>
      <c r="AC8" s="2320"/>
      <c r="AD8" s="184"/>
      <c r="AE8" s="971">
        <f t="shared" ca="1" si="6"/>
        <v>37</v>
      </c>
      <c r="AF8" s="141"/>
      <c r="AG8" s="1212">
        <f t="shared" si="7"/>
        <v>0</v>
      </c>
      <c r="AH8" s="141"/>
      <c r="AI8" s="187">
        <v>365</v>
      </c>
      <c r="AJ8" s="188"/>
      <c r="AK8" s="189">
        <v>1.4999999999999999E-2</v>
      </c>
      <c r="AL8" s="190">
        <v>1.5E-3</v>
      </c>
      <c r="AM8" s="2410">
        <v>1.4999999999999999E-2</v>
      </c>
      <c r="AN8" s="2412" t="s">
        <v>3356</v>
      </c>
      <c r="AO8" s="1996"/>
      <c r="AP8" s="1203">
        <f t="shared" si="8"/>
        <v>0.85799999999999998</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5" customFormat="1" ht="14.4">
      <c r="A9" s="2298" t="str">
        <f>'数据-汇总表'!C22</f>
        <v>车库</v>
      </c>
      <c r="B9" s="2333" t="str">
        <f t="shared" si="1"/>
        <v>经营性</v>
      </c>
      <c r="C9" s="173" t="s">
        <v>3136</v>
      </c>
      <c r="D9" s="2304">
        <f>SUMIF(项目基本情况!D$15:I$15,C9,项目基本情况!D$18:I$18)</f>
        <v>50</v>
      </c>
      <c r="E9" s="2305">
        <f>IF(B9="","",SUMIF(项目基本情况!D$15:I$15,C9,项目基本情况!D$17:I$17))</f>
        <v>61769</v>
      </c>
      <c r="F9" s="174">
        <f>SUMIF(项目基本情况!D$15:I$15,C9,项目基本情况!D$19:I$19)</f>
        <v>50</v>
      </c>
      <c r="G9" s="175">
        <f t="shared" si="2"/>
        <v>1</v>
      </c>
      <c r="H9" s="3204">
        <v>4.4999999999999998E-2</v>
      </c>
      <c r="I9" s="3204">
        <v>0.05</v>
      </c>
      <c r="J9" s="3204">
        <v>8.5000000000000006E-2</v>
      </c>
      <c r="K9" s="179">
        <f>SUMIF('数据-汇总表'!C$19:C$33,'数据-取费表'!A9,'数据-汇总表'!E$19:E$33)</f>
        <v>55060</v>
      </c>
      <c r="L9" s="3047">
        <v>2500</v>
      </c>
      <c r="M9" s="177">
        <f t="shared" si="0"/>
        <v>13765</v>
      </c>
      <c r="N9" s="3048">
        <f>N6</f>
        <v>0</v>
      </c>
      <c r="O9" s="3205">
        <f t="shared" si="3"/>
        <v>0</v>
      </c>
      <c r="P9" s="3206">
        <f t="shared" si="4"/>
        <v>13765</v>
      </c>
      <c r="Q9" s="3049">
        <v>0.05</v>
      </c>
      <c r="R9" s="179">
        <f>SUMIF('数据-汇总表'!C$19:C$33,A9,'数据-汇总表'!R$19:R$33)</f>
        <v>15201.96</v>
      </c>
      <c r="S9" s="132">
        <f>IF('数据-汇总表'!$I$17="按面积比例",SUMIF('数据-汇总表'!C$19:C$33,A9,'数据-汇总表'!K$19:K$33),SUMIF('数据-汇总表'!C$19:C$33,A9,'数据-汇总表'!N$19:N$33))</f>
        <v>0</v>
      </c>
      <c r="T9" s="2230" t="str">
        <f t="shared" si="5"/>
        <v>0</v>
      </c>
      <c r="U9" s="180">
        <v>500</v>
      </c>
      <c r="V9" s="181">
        <v>0.02</v>
      </c>
      <c r="W9" s="181">
        <v>0.1</v>
      </c>
      <c r="X9" s="2317"/>
      <c r="Y9" s="182">
        <v>1</v>
      </c>
      <c r="Z9" s="183"/>
      <c r="AA9" s="176"/>
      <c r="AB9" s="176"/>
      <c r="AC9" s="2320"/>
      <c r="AD9" s="184"/>
      <c r="AE9" s="971">
        <f t="shared" ca="1" si="6"/>
        <v>47</v>
      </c>
      <c r="AF9" s="141"/>
      <c r="AG9" s="1212">
        <f t="shared" si="7"/>
        <v>0</v>
      </c>
      <c r="AH9" s="141">
        <v>1473</v>
      </c>
      <c r="AI9" s="187">
        <v>12</v>
      </c>
      <c r="AJ9" s="188"/>
      <c r="AK9" s="189">
        <v>1.4999999999999999E-2</v>
      </c>
      <c r="AL9" s="190">
        <v>1.5E-3</v>
      </c>
      <c r="AM9" s="2410">
        <v>1.4999999999999999E-2</v>
      </c>
      <c r="AN9" s="2412" t="s">
        <v>3355</v>
      </c>
      <c r="AO9" s="1996"/>
      <c r="AP9" s="1203">
        <f t="shared" si="8"/>
        <v>0.88900000000000001</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5" customFormat="1" ht="14.4">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t="str">
        <f t="shared" si="5"/>
        <v>0</v>
      </c>
      <c r="U10" s="180"/>
      <c r="V10" s="181"/>
      <c r="W10" s="181"/>
      <c r="X10" s="2317"/>
      <c r="Y10" s="182"/>
      <c r="Z10" s="183"/>
      <c r="AA10" s="176"/>
      <c r="AB10" s="176"/>
      <c r="AC10" s="2320"/>
      <c r="AD10" s="184"/>
      <c r="AE10" s="971">
        <f t="shared" ca="1" si="6"/>
        <v>0</v>
      </c>
      <c r="AF10" s="141"/>
      <c r="AG10" s="1212">
        <f t="shared" si="7"/>
        <v>0</v>
      </c>
      <c r="AH10" s="141"/>
      <c r="AI10" s="187"/>
      <c r="AJ10" s="188"/>
      <c r="AK10" s="189"/>
      <c r="AL10" s="190"/>
      <c r="AM10" s="2410"/>
      <c r="AN10" s="2412"/>
      <c r="AO10" s="1996"/>
      <c r="AP10" s="1203">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5" customFormat="1" ht="14.4">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t="str">
        <f t="shared" si="5"/>
        <v>0</v>
      </c>
      <c r="U11" s="185"/>
      <c r="V11" s="176"/>
      <c r="W11" s="176"/>
      <c r="X11" s="2320"/>
      <c r="Y11" s="182"/>
      <c r="Z11" s="195"/>
      <c r="AA11" s="176"/>
      <c r="AB11" s="176"/>
      <c r="AC11" s="2320"/>
      <c r="AD11" s="184"/>
      <c r="AE11" s="971">
        <f t="shared" ca="1" si="6"/>
        <v>0</v>
      </c>
      <c r="AF11" s="141"/>
      <c r="AG11" s="1212">
        <f t="shared" si="7"/>
        <v>0</v>
      </c>
      <c r="AH11" s="141"/>
      <c r="AI11" s="187"/>
      <c r="AJ11" s="188"/>
      <c r="AK11" s="196"/>
      <c r="AL11" s="197"/>
      <c r="AM11" s="1813"/>
      <c r="AN11" s="2412"/>
      <c r="AO11" s="1996"/>
      <c r="AP11" s="1203">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5" customFormat="1" ht="14.4">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t="str">
        <f t="shared" si="5"/>
        <v>0</v>
      </c>
      <c r="U12" s="185"/>
      <c r="V12" s="176"/>
      <c r="W12" s="176"/>
      <c r="X12" s="2320"/>
      <c r="Y12" s="182"/>
      <c r="Z12" s="195"/>
      <c r="AA12" s="176"/>
      <c r="AB12" s="176"/>
      <c r="AC12" s="2320"/>
      <c r="AD12" s="184"/>
      <c r="AE12" s="971">
        <f t="shared" ca="1" si="6"/>
        <v>0</v>
      </c>
      <c r="AF12" s="141"/>
      <c r="AG12" s="1212">
        <f t="shared" si="7"/>
        <v>0</v>
      </c>
      <c r="AH12" s="141"/>
      <c r="AI12" s="187"/>
      <c r="AJ12" s="188"/>
      <c r="AK12" s="196"/>
      <c r="AL12" s="197"/>
      <c r="AM12" s="1813"/>
      <c r="AN12" s="2412"/>
      <c r="AO12" s="1996"/>
      <c r="AP12" s="1203">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5" customFormat="1" ht="14.4">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t="str">
        <f t="shared" si="5"/>
        <v>0</v>
      </c>
      <c r="U13" s="180"/>
      <c r="V13" s="181"/>
      <c r="W13" s="181"/>
      <c r="X13" s="2317"/>
      <c r="Y13" s="182"/>
      <c r="Z13" s="183"/>
      <c r="AA13" s="176"/>
      <c r="AB13" s="176"/>
      <c r="AC13" s="2320"/>
      <c r="AD13" s="184"/>
      <c r="AE13" s="971">
        <f t="shared" ca="1" si="6"/>
        <v>0</v>
      </c>
      <c r="AF13" s="141"/>
      <c r="AG13" s="1212">
        <f t="shared" si="7"/>
        <v>0</v>
      </c>
      <c r="AH13" s="141"/>
      <c r="AI13" s="187"/>
      <c r="AJ13" s="188"/>
      <c r="AK13" s="189"/>
      <c r="AL13" s="190"/>
      <c r="AM13" s="2410"/>
      <c r="AN13" s="2412"/>
      <c r="AO13" s="1996"/>
      <c r="AP13" s="1203">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5" customFormat="1" ht="13.8">
      <c r="A14" s="2299" t="s">
        <v>2315</v>
      </c>
      <c r="B14" s="2302" t="s">
        <v>1679</v>
      </c>
      <c r="C14" s="2303" t="s">
        <v>2315</v>
      </c>
      <c r="D14" s="2304"/>
      <c r="E14" s="2305"/>
      <c r="F14" s="174"/>
      <c r="G14" s="175"/>
      <c r="H14" s="2306"/>
      <c r="I14" s="2306"/>
      <c r="J14" s="2306"/>
      <c r="K14" s="179">
        <f>SUMIF('数据-汇总表'!C$19:C$33,'数据-取费表'!A14,'数据-汇总表'!E$19:E$33)</f>
        <v>0</v>
      </c>
      <c r="L14" s="193">
        <f>L9</f>
        <v>2500</v>
      </c>
      <c r="M14" s="177">
        <f t="shared" si="0"/>
        <v>0</v>
      </c>
      <c r="N14" s="194">
        <f>N7</f>
        <v>0</v>
      </c>
      <c r="O14" s="177">
        <f t="shared" si="3"/>
        <v>0</v>
      </c>
      <c r="P14" s="178">
        <f t="shared" si="4"/>
        <v>0</v>
      </c>
      <c r="Q14" s="2314"/>
      <c r="R14" s="179"/>
      <c r="S14" s="132"/>
      <c r="T14" s="2313"/>
      <c r="U14" s="973"/>
      <c r="V14" s="2316"/>
      <c r="W14" s="2316"/>
      <c r="X14" s="2317"/>
      <c r="Y14" s="2318"/>
      <c r="Z14" s="136"/>
      <c r="AA14" s="2319"/>
      <c r="AB14" s="2319"/>
      <c r="AC14" s="2320"/>
      <c r="AD14" s="2317"/>
      <c r="AE14" s="971"/>
      <c r="AF14" s="2292"/>
      <c r="AG14" s="1212"/>
      <c r="AH14" s="2292"/>
      <c r="AI14" s="1568"/>
      <c r="AJ14" s="1568"/>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5" customFormat="1" ht="28.8">
      <c r="A15" s="2308" t="s">
        <v>2317</v>
      </c>
      <c r="B15" s="2302" t="s">
        <v>1679</v>
      </c>
      <c r="C15" s="2303" t="s">
        <v>2316</v>
      </c>
      <c r="D15" s="2304"/>
      <c r="E15" s="2305"/>
      <c r="F15" s="174"/>
      <c r="G15" s="175"/>
      <c r="H15" s="2306"/>
      <c r="I15" s="2306"/>
      <c r="J15" s="2306"/>
      <c r="K15" s="179">
        <f>SUMIF('数据-汇总表'!C$19:C$33,'数据-取费表'!A15,'数据-汇总表'!E$19:E$33)</f>
        <v>3742</v>
      </c>
      <c r="L15" s="2312"/>
      <c r="M15" s="177"/>
      <c r="N15" s="2315"/>
      <c r="O15" s="177"/>
      <c r="P15" s="178"/>
      <c r="Q15" s="2314"/>
      <c r="R15" s="179"/>
      <c r="S15" s="132"/>
      <c r="T15" s="2313"/>
      <c r="U15" s="973"/>
      <c r="V15" s="2316"/>
      <c r="W15" s="2316"/>
      <c r="X15" s="2317"/>
      <c r="Y15" s="2318"/>
      <c r="Z15" s="136"/>
      <c r="AA15" s="2319"/>
      <c r="AB15" s="2319"/>
      <c r="AC15" s="2320"/>
      <c r="AD15" s="2317"/>
      <c r="AE15" s="971"/>
      <c r="AF15" s="2292"/>
      <c r="AG15" s="1212"/>
      <c r="AH15" s="2292"/>
      <c r="AI15" s="1568"/>
      <c r="AJ15" s="1568"/>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5" customFormat="1" ht="15" thickBot="1">
      <c r="A16" s="198" t="s">
        <v>262</v>
      </c>
      <c r="B16" s="199"/>
      <c r="C16" s="200"/>
      <c r="D16" s="201"/>
      <c r="E16" s="199"/>
      <c r="F16" s="199"/>
      <c r="G16" s="202">
        <f>ROUND(SUMPRODUCT(G6:G13,K6:K13)/SUMPRODUCT((G6:G13&gt;0)*(K6:K13)),3)</f>
        <v>1</v>
      </c>
      <c r="H16" s="203">
        <f>ROUND(SUMPRODUCT(H6:H13,K6:K13)/SUMPRODUCT((H6:H13&gt;0)*(K6:K13)),3)</f>
        <v>4.2000000000000003E-2</v>
      </c>
      <c r="I16" s="204"/>
      <c r="J16" s="204"/>
      <c r="K16" s="205">
        <f>SUM(K6:K15)</f>
        <v>237470</v>
      </c>
      <c r="L16" s="206">
        <f>ROUND(M16*10000/SUM(K6:K14),0)</f>
        <v>3163</v>
      </c>
      <c r="M16" s="206">
        <f>SUM(M6:M14)</f>
        <v>73926</v>
      </c>
      <c r="N16" s="207">
        <f>ROUND(SUMPRODUCT(M6:M14,N6:N14)/M16,3)</f>
        <v>0</v>
      </c>
      <c r="O16" s="206">
        <f>SUM(O6:O14)</f>
        <v>0</v>
      </c>
      <c r="P16" s="206">
        <f>SUM(P6:P14)</f>
        <v>73926</v>
      </c>
      <c r="Q16" s="208">
        <f>ROUND(SUMPRODUCT(Q6:Q13,K6:K13)/SUMPRODUCT((Q6:Q13&gt;0)*(K6:K13)),2)</f>
        <v>0.14000000000000001</v>
      </c>
      <c r="R16" s="2307">
        <f>SUM(R6:R13)</f>
        <v>64531.85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6"/>
      <c r="AO16" s="1996"/>
      <c r="AP16" s="1203">
        <f>ROUND(SUMPRODUCT(AP6:AP13,K6:K13)/SUMPRODUCT((AP6:AP13&gt;0)*(K6:K13)),3)</f>
        <v>0.91900000000000004</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8" thickBot="1">
      <c r="A17" s="1213"/>
      <c r="B17" s="1201"/>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3"/>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4">
      <c r="A19" s="217" t="s">
        <v>264</v>
      </c>
      <c r="B19" s="218">
        <v>0</v>
      </c>
      <c r="C19" s="2360" t="s">
        <v>2336</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4">
      <c r="A20" s="219" t="s">
        <v>265</v>
      </c>
      <c r="B20" s="220">
        <v>3</v>
      </c>
      <c r="C20" s="2360" t="s">
        <v>2335</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4">
      <c r="A21" s="221" t="s">
        <v>266</v>
      </c>
      <c r="B21" s="220">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4">
      <c r="A22" s="219" t="s">
        <v>267</v>
      </c>
      <c r="B22" s="222">
        <f>B19+B20</f>
        <v>3</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4">
      <c r="A23" s="221" t="s">
        <v>268</v>
      </c>
      <c r="B23" s="222">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3" t="s">
        <v>269</v>
      </c>
      <c r="B24" s="224">
        <f>B20-B21</f>
        <v>3</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4.4" thickBot="1">
      <c r="A25" s="1206"/>
      <c r="B25" s="1203"/>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5"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4" customFormat="1" ht="28.8">
      <c r="A27" s="226" t="s">
        <v>2338</v>
      </c>
      <c r="B27" s="227">
        <f>240</f>
        <v>240</v>
      </c>
      <c r="C27" s="3095" t="s">
        <v>3103</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4" customFormat="1" ht="28.8">
      <c r="A28" s="228" t="s">
        <v>2339</v>
      </c>
      <c r="B28" s="229">
        <f>240</f>
        <v>240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4" customFormat="1" ht="29.4" thickBot="1">
      <c r="A29" s="231" t="s">
        <v>2337</v>
      </c>
      <c r="B29" s="232">
        <v>0</v>
      </c>
      <c r="C29" s="1549" t="s">
        <v>2340</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4" customFormat="1" ht="28.8">
      <c r="A30" s="235" t="s">
        <v>273</v>
      </c>
      <c r="B30" s="977">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4" customFormat="1" ht="28.8">
      <c r="A31" s="228" t="s">
        <v>274</v>
      </c>
      <c r="B31" s="230">
        <f>B30-B32</f>
        <v>80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4" customFormat="1" ht="29.4" thickBot="1">
      <c r="A32" s="237" t="s">
        <v>275</v>
      </c>
      <c r="B32" s="3188">
        <v>120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4" customFormat="1" ht="14.4">
      <c r="A33" s="226" t="s">
        <v>278</v>
      </c>
      <c r="B33" s="1375">
        <v>0.03</v>
      </c>
      <c r="C33" s="2361" t="s">
        <v>2891</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4">
      <c r="A34" s="228" t="s">
        <v>279</v>
      </c>
      <c r="B34" s="233">
        <v>0.05</v>
      </c>
      <c r="C34" s="2361" t="s">
        <v>2892</v>
      </c>
      <c r="D34" s="1989" t="s">
        <v>870</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4">
      <c r="A35" s="228" t="s">
        <v>276</v>
      </c>
      <c r="B35" s="229">
        <v>200</v>
      </c>
      <c r="C35" s="2361" t="s">
        <v>2893</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1" t="s">
        <v>277</v>
      </c>
      <c r="B36" s="234">
        <v>1.4999999999999999E-2</v>
      </c>
      <c r="C36" s="2361" t="s">
        <v>2894</v>
      </c>
      <c r="D36" s="1986"/>
      <c r="E36" s="1201"/>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4">
      <c r="A37" s="235" t="s">
        <v>280</v>
      </c>
      <c r="B37" s="236">
        <v>1.4999999999999999E-2</v>
      </c>
      <c r="C37" s="2361" t="s">
        <v>2895</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4">
      <c r="A38" s="228" t="s">
        <v>281</v>
      </c>
      <c r="B38" s="233">
        <v>1.4999999999999999E-2</v>
      </c>
      <c r="C38" s="2361" t="s">
        <v>2895</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4">
      <c r="A39" s="2509" t="s">
        <v>2455</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2456</v>
      </c>
      <c r="B40" s="2501">
        <f ca="1">存贷款利率!E2</f>
        <v>4.7500000000000001E-2</v>
      </c>
      <c r="C40" s="2361" t="s">
        <v>2341</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4">
      <c r="A41" s="226" t="s">
        <v>282</v>
      </c>
      <c r="B41" s="238">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4">
      <c r="A42" s="978" t="s">
        <v>283</v>
      </c>
      <c r="B42" s="240">
        <v>0.05</v>
      </c>
      <c r="C42" s="3120">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4">
      <c r="A43" s="978" t="s">
        <v>284</v>
      </c>
      <c r="B43" s="241">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4">
      <c r="A44" s="239" t="s">
        <v>285</v>
      </c>
      <c r="B44" s="242">
        <v>7.0000000000000007E-2</v>
      </c>
      <c r="C44" s="2361" t="s">
        <v>2896</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4">
      <c r="A45" s="239" t="s">
        <v>286</v>
      </c>
      <c r="B45" s="240">
        <v>0.03</v>
      </c>
      <c r="C45" s="2363" t="s">
        <v>2897</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4">
      <c r="A46" s="239" t="s">
        <v>287</v>
      </c>
      <c r="B46" s="240">
        <v>0.02</v>
      </c>
      <c r="C46" s="2363" t="s">
        <v>2898</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3" t="s">
        <v>288</v>
      </c>
      <c r="B47" s="244"/>
      <c r="C47" s="3095" t="s">
        <v>2899</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4">
      <c r="A48" s="245" t="s">
        <v>289</v>
      </c>
      <c r="B48" s="246">
        <v>0.03</v>
      </c>
      <c r="C48" s="3096" t="s">
        <v>2900</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7" t="s">
        <v>290</v>
      </c>
      <c r="B49" s="240">
        <v>5.0000000000000001E-4</v>
      </c>
      <c r="C49" s="3096" t="s">
        <v>2901</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4">
      <c r="A50" s="247" t="s">
        <v>291</v>
      </c>
      <c r="B50" s="248">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1" t="s">
        <v>292</v>
      </c>
      <c r="B51" s="249">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4">
      <c r="A52" s="247" t="s">
        <v>293</v>
      </c>
      <c r="B52" s="250">
        <f>SUMIF(A54:A63,B53,B54:B63)</f>
        <v>10</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8.8">
      <c r="A53" s="228" t="s">
        <v>294</v>
      </c>
      <c r="B53" s="251" t="s">
        <v>1407</v>
      </c>
      <c r="C53" s="3097" t="s">
        <v>2902</v>
      </c>
      <c r="D53" s="3098" t="s">
        <v>2903</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4">
      <c r="A54" s="3100" t="s">
        <v>2904</v>
      </c>
      <c r="B54" s="186"/>
      <c r="C54" s="1990">
        <v>30</v>
      </c>
      <c r="D54" s="3099"/>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4">
      <c r="A55" s="3100" t="s">
        <v>2905</v>
      </c>
      <c r="B55" s="186"/>
      <c r="C55" s="1990">
        <v>24</v>
      </c>
      <c r="D55" s="3099"/>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4">
      <c r="A56" s="3100" t="s">
        <v>2906</v>
      </c>
      <c r="B56" s="186"/>
      <c r="C56" s="1990">
        <v>18</v>
      </c>
      <c r="D56" s="3099"/>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4">
      <c r="A57" s="3100" t="s">
        <v>2907</v>
      </c>
      <c r="B57" s="186">
        <v>16</v>
      </c>
      <c r="C57" s="1990">
        <v>12</v>
      </c>
      <c r="D57" s="3099"/>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4">
      <c r="A58" s="3100" t="s">
        <v>2908</v>
      </c>
      <c r="B58" s="186">
        <v>10</v>
      </c>
      <c r="C58" s="1990">
        <v>3</v>
      </c>
      <c r="D58" s="3099"/>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4">
      <c r="A59" s="3100" t="s">
        <v>2909</v>
      </c>
      <c r="B59" s="186"/>
      <c r="C59" s="1990">
        <v>1.5</v>
      </c>
      <c r="D59" s="3099"/>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4">
      <c r="A60" s="3100" t="s">
        <v>2910</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4">
      <c r="A61" s="3100" t="s">
        <v>2911</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4">
      <c r="A62" s="3100" t="s">
        <v>2912</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101" t="s">
        <v>2913</v>
      </c>
      <c r="B63" s="252"/>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3"/>
      <c r="D64" s="1995"/>
      <c r="K64" s="57"/>
      <c r="L64" s="57"/>
    </row>
    <row r="65" spans="1:12" s="1994" customFormat="1">
      <c r="A65" s="253"/>
      <c r="D65" s="1995"/>
      <c r="K65" s="57"/>
      <c r="L65" s="57"/>
    </row>
    <row r="66" spans="1:12" s="1994" customFormat="1">
      <c r="A66" s="253"/>
      <c r="D66" s="1995"/>
      <c r="K66" s="57"/>
      <c r="L66" s="57"/>
    </row>
    <row r="67" spans="1:12" s="1994" customFormat="1">
      <c r="A67" s="253"/>
      <c r="D67" s="1995"/>
      <c r="K67" s="57"/>
      <c r="L67" s="57"/>
    </row>
    <row r="68" spans="1:12" s="1994" customFormat="1">
      <c r="A68" s="253"/>
      <c r="D68" s="1995"/>
      <c r="K68" s="57"/>
      <c r="L68" s="57"/>
    </row>
    <row r="69" spans="1:12" s="1994" customFormat="1">
      <c r="A69" s="253"/>
      <c r="D69" s="1995"/>
      <c r="K69" s="57"/>
      <c r="L69" s="57"/>
    </row>
    <row r="70" spans="1:12" s="1994" customFormat="1">
      <c r="A70" s="253"/>
      <c r="D70" s="1995"/>
      <c r="K70" s="57"/>
      <c r="L70" s="57"/>
    </row>
    <row r="71" spans="1:12" s="1994" customFormat="1">
      <c r="A71" s="253"/>
      <c r="D71" s="1995"/>
      <c r="K71" s="57"/>
      <c r="L71" s="57"/>
    </row>
    <row r="72" spans="1:12" s="1994" customFormat="1">
      <c r="A72" s="253"/>
      <c r="D72" s="1995"/>
      <c r="K72" s="57"/>
      <c r="L72" s="57"/>
    </row>
    <row r="73" spans="1:12" s="1994" customFormat="1">
      <c r="A73" s="253"/>
      <c r="D73" s="1995"/>
      <c r="K73" s="57"/>
      <c r="L73" s="57"/>
    </row>
    <row r="74" spans="1:12" s="1994" customFormat="1">
      <c r="A74" s="253"/>
      <c r="D74" s="1995"/>
      <c r="K74" s="57"/>
      <c r="L74" s="57"/>
    </row>
    <row r="75" spans="1:12" s="1994" customFormat="1">
      <c r="A75" s="253"/>
      <c r="D75" s="1995"/>
      <c r="K75" s="57"/>
      <c r="L75" s="57"/>
    </row>
    <row r="76" spans="1:12" s="1994" customFormat="1">
      <c r="A76" s="253"/>
      <c r="D76" s="1995"/>
      <c r="K76" s="57"/>
      <c r="L76" s="57"/>
    </row>
    <row r="77" spans="1:12" s="1994" customFormat="1">
      <c r="A77" s="253"/>
      <c r="D77" s="1995"/>
      <c r="K77" s="57"/>
      <c r="L77" s="57"/>
    </row>
    <row r="78" spans="1:12" s="1994" customFormat="1">
      <c r="A78" s="253"/>
      <c r="D78" s="1995"/>
      <c r="K78" s="57"/>
      <c r="L78" s="57"/>
    </row>
    <row r="79" spans="1:12" s="1994" customFormat="1">
      <c r="A79" s="253"/>
      <c r="D79" s="1995"/>
      <c r="K79" s="57"/>
      <c r="L79" s="57"/>
    </row>
    <row r="80" spans="1:12" s="1994" customFormat="1">
      <c r="A80" s="253"/>
      <c r="D80" s="1995"/>
      <c r="K80" s="57"/>
      <c r="L80" s="57"/>
    </row>
    <row r="81" spans="1:12" s="1994" customFormat="1">
      <c r="A81" s="253"/>
      <c r="D81" s="1995"/>
      <c r="K81" s="57"/>
      <c r="L81" s="57"/>
    </row>
    <row r="82" spans="1:12" s="1994" customFormat="1">
      <c r="A82" s="253"/>
      <c r="D82" s="1995"/>
      <c r="K82" s="57"/>
      <c r="L82" s="57"/>
    </row>
    <row r="83" spans="1:12" s="1994" customFormat="1">
      <c r="A83" s="253"/>
      <c r="D83" s="1995"/>
      <c r="K83" s="57"/>
      <c r="L83" s="57"/>
    </row>
    <row r="84" spans="1:12" s="1994" customFormat="1">
      <c r="A84" s="253"/>
      <c r="D84" s="1995"/>
      <c r="K84" s="57"/>
      <c r="L84" s="57"/>
    </row>
    <row r="85" spans="1:12" s="1994" customFormat="1">
      <c r="A85" s="253"/>
      <c r="D85" s="1995"/>
      <c r="K85" s="57"/>
      <c r="L85" s="57"/>
    </row>
    <row r="86" spans="1:12" s="1994" customFormat="1">
      <c r="A86" s="253"/>
      <c r="D86" s="1995"/>
      <c r="K86" s="57"/>
      <c r="L86" s="57"/>
    </row>
    <row r="87" spans="1:12" s="1994" customFormat="1">
      <c r="A87" s="253"/>
      <c r="D87" s="1995"/>
      <c r="K87" s="57"/>
      <c r="L87" s="57"/>
    </row>
    <row r="88" spans="1:12" s="1994" customFormat="1">
      <c r="A88" s="253"/>
      <c r="D88" s="1995"/>
      <c r="K88" s="57"/>
      <c r="L88" s="57"/>
    </row>
    <row r="89" spans="1:12" s="1994" customFormat="1">
      <c r="A89" s="253"/>
      <c r="D89" s="1995"/>
      <c r="K89" s="57"/>
      <c r="L89" s="57"/>
    </row>
    <row r="90" spans="1:12" s="1994" customFormat="1">
      <c r="A90" s="253"/>
      <c r="D90" s="1995"/>
      <c r="K90" s="57"/>
      <c r="L90" s="57"/>
    </row>
    <row r="91" spans="1:12" s="1994" customFormat="1">
      <c r="A91" s="253"/>
      <c r="D91" s="1995"/>
      <c r="K91" s="57"/>
      <c r="L91" s="57"/>
    </row>
    <row r="92" spans="1:12" s="1994" customFormat="1">
      <c r="A92" s="253"/>
      <c r="D92" s="1995"/>
      <c r="K92" s="57"/>
      <c r="L92" s="57"/>
    </row>
    <row r="93" spans="1:12" s="1994" customFormat="1">
      <c r="A93" s="253"/>
      <c r="D93" s="1995"/>
      <c r="K93" s="57"/>
      <c r="L93" s="57"/>
    </row>
    <row r="94" spans="1:12" s="1994" customFormat="1">
      <c r="A94" s="253"/>
      <c r="D94" s="1995"/>
      <c r="K94" s="57"/>
      <c r="L94" s="57"/>
    </row>
    <row r="95" spans="1:12" s="1994" customFormat="1">
      <c r="A95" s="253"/>
      <c r="D95" s="1995"/>
      <c r="K95" s="57"/>
      <c r="L95" s="57"/>
    </row>
    <row r="96" spans="1:12" s="1994" customFormat="1">
      <c r="A96" s="253"/>
      <c r="D96" s="1995"/>
      <c r="K96" s="57"/>
      <c r="L96" s="57"/>
    </row>
    <row r="97" spans="1:12" s="1994" customFormat="1">
      <c r="A97" s="253"/>
      <c r="D97" s="1995"/>
      <c r="K97" s="57"/>
      <c r="L97" s="57"/>
    </row>
    <row r="98" spans="1:12" s="1994" customFormat="1">
      <c r="A98" s="253"/>
      <c r="D98" s="1995"/>
      <c r="K98" s="57"/>
      <c r="L98" s="57"/>
    </row>
    <row r="99" spans="1:12" s="1994" customFormat="1">
      <c r="A99" s="253"/>
      <c r="D99" s="1995"/>
      <c r="K99" s="57"/>
      <c r="L99" s="57"/>
    </row>
    <row r="100" spans="1:12" s="1994" customFormat="1">
      <c r="A100" s="253"/>
      <c r="D100" s="1995"/>
      <c r="K100" s="57"/>
      <c r="L100" s="57"/>
    </row>
    <row r="101" spans="1:12" s="1994" customFormat="1">
      <c r="A101" s="253"/>
      <c r="D101" s="1995"/>
      <c r="K101" s="57"/>
      <c r="L101" s="57"/>
    </row>
    <row r="102" spans="1:12" s="1994" customFormat="1">
      <c r="A102" s="253"/>
      <c r="D102" s="1995"/>
      <c r="K102" s="57"/>
      <c r="L102" s="57"/>
    </row>
    <row r="103" spans="1:12" s="1994" customFormat="1">
      <c r="A103" s="253"/>
      <c r="D103" s="1995"/>
      <c r="K103" s="57"/>
      <c r="L103" s="57"/>
    </row>
    <row r="104" spans="1:12" s="1994" customFormat="1">
      <c r="A104" s="253"/>
      <c r="D104" s="1995"/>
      <c r="K104" s="57"/>
      <c r="L104" s="57"/>
    </row>
    <row r="105" spans="1:12" s="1994" customFormat="1">
      <c r="A105" s="253"/>
      <c r="D105" s="1995"/>
      <c r="K105" s="57"/>
      <c r="L105" s="57"/>
    </row>
    <row r="106" spans="1:12" s="1994" customFormat="1">
      <c r="A106" s="253"/>
      <c r="D106" s="1995"/>
      <c r="K106" s="57"/>
      <c r="L106" s="57"/>
    </row>
    <row r="107" spans="1:12" s="1994" customFormat="1">
      <c r="A107" s="253"/>
      <c r="D107" s="1995"/>
      <c r="K107" s="57"/>
      <c r="L107" s="57"/>
    </row>
    <row r="108" spans="1:12" s="1994" customFormat="1">
      <c r="A108" s="253"/>
      <c r="D108" s="1995"/>
      <c r="K108" s="57"/>
      <c r="L108" s="57"/>
    </row>
    <row r="109" spans="1:12" s="1994" customFormat="1">
      <c r="A109" s="253"/>
      <c r="D109" s="1995"/>
      <c r="K109" s="57"/>
      <c r="L109" s="57"/>
    </row>
    <row r="110" spans="1:12" s="1994" customFormat="1">
      <c r="A110" s="253"/>
      <c r="D110" s="1995"/>
      <c r="K110" s="57"/>
      <c r="L110" s="57"/>
    </row>
    <row r="111" spans="1:12" s="1994" customFormat="1">
      <c r="A111" s="253"/>
      <c r="D111" s="1995"/>
      <c r="K111" s="57"/>
      <c r="L111" s="57"/>
    </row>
    <row r="112" spans="1:12" s="1994" customFormat="1">
      <c r="A112" s="253"/>
      <c r="D112" s="1995"/>
      <c r="K112" s="57"/>
      <c r="L112" s="57"/>
    </row>
    <row r="113" spans="1:12" s="1994" customFormat="1">
      <c r="A113" s="253"/>
      <c r="D113" s="1995"/>
      <c r="K113" s="57"/>
      <c r="L113" s="57"/>
    </row>
    <row r="114" spans="1:12" s="1994" customFormat="1">
      <c r="A114" s="253"/>
      <c r="D114" s="1995"/>
      <c r="K114" s="57"/>
      <c r="L114" s="57"/>
    </row>
    <row r="115" spans="1:12" s="1994" customFormat="1">
      <c r="A115" s="253"/>
      <c r="D115" s="1995"/>
      <c r="K115" s="57"/>
      <c r="L115" s="57"/>
    </row>
    <row r="116" spans="1:12" s="1994" customFormat="1">
      <c r="A116" s="253"/>
      <c r="D116" s="1995"/>
      <c r="K116" s="57"/>
      <c r="L116" s="57"/>
    </row>
    <row r="117" spans="1:12" s="1994" customFormat="1">
      <c r="A117" s="253"/>
      <c r="D117" s="1995"/>
      <c r="K117" s="57"/>
      <c r="L117" s="57"/>
    </row>
    <row r="118" spans="1:12" s="1994" customFormat="1">
      <c r="A118" s="253"/>
      <c r="D118" s="1995"/>
      <c r="K118" s="57"/>
      <c r="L118" s="57"/>
    </row>
    <row r="119" spans="1:12" s="1994" customFormat="1">
      <c r="A119" s="253"/>
      <c r="D119" s="1995"/>
      <c r="K119" s="57"/>
      <c r="L119" s="57"/>
    </row>
    <row r="120" spans="1:12" s="1994" customFormat="1">
      <c r="A120" s="253"/>
      <c r="D120" s="1995"/>
      <c r="K120" s="57"/>
      <c r="L120" s="57"/>
    </row>
    <row r="121" spans="1:12" s="1994" customFormat="1">
      <c r="A121" s="253"/>
      <c r="D121" s="1995"/>
      <c r="K121" s="57"/>
      <c r="L121" s="57"/>
    </row>
    <row r="122" spans="1:12" s="1994" customFormat="1">
      <c r="A122" s="253"/>
      <c r="D122" s="1995"/>
      <c r="K122" s="57"/>
      <c r="L122" s="57"/>
    </row>
    <row r="123" spans="1:12" s="1994" customFormat="1">
      <c r="A123" s="253"/>
      <c r="D123" s="1995"/>
      <c r="K123" s="57"/>
      <c r="L123" s="57"/>
    </row>
    <row r="124" spans="1:12" s="1994" customFormat="1">
      <c r="A124" s="253"/>
      <c r="D124" s="1995"/>
      <c r="K124" s="57"/>
      <c r="L124" s="57"/>
    </row>
    <row r="125" spans="1:12" s="1994" customFormat="1">
      <c r="A125" s="253"/>
      <c r="D125" s="1995"/>
      <c r="K125" s="57"/>
      <c r="L125" s="57"/>
    </row>
    <row r="126" spans="1:12" s="1994" customFormat="1">
      <c r="A126" s="253"/>
      <c r="D126" s="1995"/>
      <c r="K126" s="57"/>
      <c r="L126" s="57"/>
    </row>
    <row r="127" spans="1:12" s="1994" customFormat="1">
      <c r="A127" s="253"/>
      <c r="D127" s="1995"/>
      <c r="K127" s="57"/>
      <c r="L127" s="57"/>
    </row>
    <row r="128" spans="1:12" s="1994" customFormat="1">
      <c r="A128" s="253"/>
      <c r="D128" s="1995"/>
      <c r="K128" s="57"/>
      <c r="L128" s="57"/>
    </row>
    <row r="129" spans="1:12" s="1994" customFormat="1">
      <c r="A129" s="253"/>
      <c r="D129" s="1995"/>
      <c r="K129" s="57"/>
      <c r="L129" s="57"/>
    </row>
    <row r="130" spans="1:12" s="1994" customFormat="1">
      <c r="A130" s="253"/>
      <c r="D130" s="1995"/>
      <c r="K130" s="57"/>
      <c r="L130" s="57"/>
    </row>
    <row r="131" spans="1:12" s="1994" customFormat="1">
      <c r="A131" s="253"/>
      <c r="D131" s="1995"/>
      <c r="K131" s="57"/>
      <c r="L131" s="57"/>
    </row>
    <row r="132" spans="1:12" s="1994" customFormat="1">
      <c r="A132" s="253"/>
      <c r="D132" s="1995"/>
      <c r="K132" s="57"/>
      <c r="L132" s="57"/>
    </row>
    <row r="133" spans="1:12" s="1994" customFormat="1">
      <c r="A133" s="253"/>
      <c r="D133" s="1995"/>
      <c r="K133" s="57"/>
      <c r="L133" s="57"/>
    </row>
    <row r="134" spans="1:12" s="1994" customFormat="1">
      <c r="A134" s="253"/>
      <c r="D134" s="1995"/>
      <c r="K134" s="57"/>
      <c r="L134" s="57"/>
    </row>
    <row r="135" spans="1:12" s="1994" customFormat="1">
      <c r="A135" s="253"/>
      <c r="D135" s="1995"/>
      <c r="K135" s="57"/>
      <c r="L135" s="57"/>
    </row>
    <row r="136" spans="1:12" s="1994" customFormat="1">
      <c r="A136" s="253"/>
      <c r="D136" s="1995"/>
      <c r="K136" s="57"/>
      <c r="L136" s="57"/>
    </row>
    <row r="137" spans="1:12" s="1994" customFormat="1">
      <c r="A137" s="253"/>
      <c r="D137" s="1995"/>
      <c r="K137" s="57"/>
      <c r="L137" s="57"/>
    </row>
    <row r="138" spans="1:12" s="1994" customFormat="1">
      <c r="A138" s="253"/>
      <c r="D138" s="1995"/>
      <c r="K138" s="57"/>
      <c r="L138" s="57"/>
    </row>
    <row r="139" spans="1:12" s="1994" customFormat="1">
      <c r="A139" s="253"/>
      <c r="D139" s="1995"/>
      <c r="K139" s="57"/>
      <c r="L139" s="57"/>
    </row>
    <row r="140" spans="1:12" s="1994" customFormat="1">
      <c r="A140" s="253"/>
      <c r="D140" s="1995"/>
      <c r="K140" s="57"/>
      <c r="L140" s="57"/>
    </row>
    <row r="141" spans="1:12" s="1994" customFormat="1">
      <c r="A141" s="253"/>
      <c r="D141" s="1995"/>
      <c r="K141" s="57"/>
      <c r="L141" s="57"/>
    </row>
    <row r="142" spans="1:12" s="1994" customFormat="1">
      <c r="A142" s="253"/>
      <c r="D142" s="1995"/>
      <c r="K142" s="57"/>
      <c r="L142" s="57"/>
    </row>
    <row r="143" spans="1:12" s="1994" customFormat="1">
      <c r="A143" s="253"/>
      <c r="D143" s="1995"/>
      <c r="K143" s="57"/>
      <c r="L143" s="57"/>
    </row>
    <row r="144" spans="1:12" s="1994" customFormat="1">
      <c r="A144" s="253"/>
      <c r="D144" s="1995"/>
      <c r="K144" s="57"/>
      <c r="L144" s="57"/>
    </row>
    <row r="145" spans="1:12" s="1994" customFormat="1">
      <c r="A145" s="253"/>
      <c r="D145" s="1995"/>
      <c r="K145" s="57"/>
      <c r="L145" s="57"/>
    </row>
    <row r="146" spans="1:12" s="1994" customFormat="1">
      <c r="A146" s="253"/>
      <c r="D146" s="1995"/>
      <c r="K146" s="57"/>
      <c r="L146" s="57"/>
    </row>
    <row r="147" spans="1:12" s="1994" customFormat="1">
      <c r="A147" s="253"/>
      <c r="D147" s="1995"/>
      <c r="K147" s="57"/>
      <c r="L147" s="57"/>
    </row>
    <row r="148" spans="1:12" s="1994" customFormat="1">
      <c r="A148" s="253"/>
      <c r="D148" s="1995"/>
      <c r="K148" s="57"/>
      <c r="L148" s="57"/>
    </row>
    <row r="149" spans="1:12" s="1994" customFormat="1">
      <c r="A149" s="253"/>
      <c r="D149" s="1995"/>
      <c r="K149" s="57"/>
      <c r="L149" s="57"/>
    </row>
    <row r="150" spans="1:12" s="1994" customFormat="1">
      <c r="A150" s="253"/>
      <c r="D150" s="1995"/>
      <c r="K150" s="57"/>
      <c r="L150" s="57"/>
    </row>
    <row r="151" spans="1:12" s="1994" customFormat="1">
      <c r="A151" s="253"/>
      <c r="D151" s="1995"/>
      <c r="K151" s="57"/>
      <c r="L151" s="57"/>
    </row>
    <row r="152" spans="1:12" s="1994" customFormat="1">
      <c r="A152" s="253"/>
      <c r="D152" s="1995"/>
      <c r="K152" s="57"/>
      <c r="L152" s="57"/>
    </row>
    <row r="153" spans="1:12" s="1994" customFormat="1">
      <c r="A153" s="253"/>
      <c r="D153" s="1995"/>
      <c r="K153" s="57"/>
      <c r="L153" s="57"/>
    </row>
    <row r="154" spans="1:12" s="1994" customFormat="1">
      <c r="A154" s="253"/>
      <c r="D154" s="1995"/>
      <c r="K154" s="57"/>
      <c r="L154" s="57"/>
    </row>
    <row r="155" spans="1:12" s="1994" customFormat="1">
      <c r="A155" s="253"/>
      <c r="D155" s="1995"/>
      <c r="K155" s="57"/>
      <c r="L155" s="57"/>
    </row>
    <row r="156" spans="1:12" s="1994" customFormat="1">
      <c r="A156" s="253"/>
      <c r="D156" s="1995"/>
      <c r="K156" s="57"/>
      <c r="L156" s="57"/>
    </row>
    <row r="157" spans="1:12" s="1994" customFormat="1">
      <c r="A157" s="253"/>
      <c r="D157" s="1995"/>
      <c r="K157" s="57"/>
      <c r="L157" s="57"/>
    </row>
    <row r="158" spans="1:12" s="1994" customFormat="1">
      <c r="A158" s="253"/>
      <c r="D158" s="1995"/>
      <c r="K158" s="57"/>
      <c r="L158" s="57"/>
    </row>
    <row r="159" spans="1:12" s="1994" customFormat="1">
      <c r="A159" s="253"/>
      <c r="D159" s="1995"/>
      <c r="K159" s="57"/>
      <c r="L159" s="57"/>
    </row>
    <row r="160" spans="1:12" s="1994" customFormat="1">
      <c r="A160" s="253"/>
      <c r="D160" s="1995"/>
      <c r="K160" s="57"/>
      <c r="L160" s="57"/>
    </row>
    <row r="161" spans="1:12" s="1994" customFormat="1">
      <c r="A161" s="253"/>
      <c r="D161" s="1995"/>
      <c r="K161" s="57"/>
      <c r="L161" s="57"/>
    </row>
    <row r="162" spans="1:12" s="1994" customFormat="1">
      <c r="A162" s="253"/>
      <c r="D162" s="1995"/>
      <c r="K162" s="57"/>
      <c r="L162" s="57"/>
    </row>
    <row r="163" spans="1:12" s="1994" customFormat="1">
      <c r="A163" s="253"/>
      <c r="D163" s="1995"/>
      <c r="K163" s="57"/>
      <c r="L163" s="57"/>
    </row>
    <row r="164" spans="1:12" s="1994" customFormat="1">
      <c r="A164" s="253"/>
      <c r="D164" s="1995"/>
      <c r="K164" s="57"/>
      <c r="L164" s="57"/>
    </row>
    <row r="165" spans="1:12" s="1994" customFormat="1">
      <c r="A165" s="253"/>
      <c r="D165" s="1995"/>
      <c r="K165" s="57"/>
      <c r="L165" s="57"/>
    </row>
    <row r="166" spans="1:12" s="1994" customFormat="1">
      <c r="A166" s="253"/>
      <c r="D166" s="1995"/>
      <c r="K166" s="57"/>
      <c r="L166" s="57"/>
    </row>
    <row r="167" spans="1:12" s="1994" customFormat="1">
      <c r="A167" s="253"/>
      <c r="D167" s="1995"/>
      <c r="K167" s="57"/>
      <c r="L167" s="57"/>
    </row>
    <row r="168" spans="1:12" s="1994" customFormat="1">
      <c r="A168" s="253"/>
      <c r="D168" s="1995"/>
      <c r="K168" s="57"/>
      <c r="L168" s="57"/>
    </row>
    <row r="169" spans="1:12" s="1994" customFormat="1">
      <c r="A169" s="253"/>
      <c r="D169" s="1995"/>
      <c r="K169" s="57"/>
      <c r="L169" s="57"/>
    </row>
    <row r="170" spans="1:12" s="1994" customFormat="1">
      <c r="A170" s="253"/>
      <c r="D170" s="1995"/>
      <c r="K170" s="57"/>
      <c r="L170" s="57"/>
    </row>
    <row r="171" spans="1:12" s="1994" customFormat="1">
      <c r="A171" s="253"/>
      <c r="D171" s="1995"/>
      <c r="K171" s="57"/>
      <c r="L171" s="57"/>
    </row>
    <row r="172" spans="1:12" s="1994" customFormat="1">
      <c r="A172" s="253"/>
      <c r="D172" s="1995"/>
      <c r="K172" s="57"/>
      <c r="L172" s="57"/>
    </row>
    <row r="173" spans="1:12" s="1994" customFormat="1">
      <c r="A173" s="253"/>
      <c r="D173" s="1995"/>
      <c r="K173" s="57"/>
      <c r="L173" s="57"/>
    </row>
    <row r="174" spans="1:12" s="1994" customFormat="1">
      <c r="A174" s="253"/>
      <c r="D174" s="1995"/>
      <c r="K174" s="57"/>
      <c r="L174" s="57"/>
    </row>
    <row r="175" spans="1:12" s="1994" customFormat="1">
      <c r="A175" s="253"/>
      <c r="D175" s="1995"/>
      <c r="K175" s="57"/>
      <c r="L175" s="57"/>
    </row>
    <row r="176" spans="1:12" s="1994" customFormat="1">
      <c r="A176" s="253"/>
      <c r="D176" s="1995"/>
      <c r="K176" s="57"/>
      <c r="L176" s="57"/>
    </row>
    <row r="177" spans="1:12" s="1994" customFormat="1">
      <c r="A177" s="253"/>
      <c r="D177" s="1995"/>
      <c r="K177" s="57"/>
      <c r="L177" s="57"/>
    </row>
    <row r="178" spans="1:12" s="1994" customFormat="1">
      <c r="A178" s="253"/>
      <c r="D178" s="1995"/>
      <c r="K178" s="57"/>
      <c r="L178" s="57"/>
    </row>
    <row r="179" spans="1:12" s="1994" customFormat="1">
      <c r="A179" s="253"/>
      <c r="D179" s="1995"/>
      <c r="K179" s="57"/>
      <c r="L179" s="57"/>
    </row>
    <row r="180" spans="1:12" s="1994" customFormat="1">
      <c r="A180" s="253"/>
      <c r="D180" s="1995"/>
      <c r="K180" s="57"/>
      <c r="L180" s="57"/>
    </row>
    <row r="181" spans="1:12" s="1994" customFormat="1">
      <c r="A181" s="253"/>
      <c r="D181" s="1995"/>
      <c r="K181" s="57"/>
      <c r="L181" s="57"/>
    </row>
    <row r="182" spans="1:12" s="1994" customFormat="1">
      <c r="A182" s="253"/>
      <c r="D182" s="1995"/>
      <c r="K182" s="57"/>
      <c r="L182" s="57"/>
    </row>
    <row r="183" spans="1:12" s="1994" customFormat="1">
      <c r="A183" s="253"/>
      <c r="D183" s="1995"/>
      <c r="K183" s="57"/>
      <c r="L183" s="57"/>
    </row>
    <row r="184" spans="1:12" s="1994" customFormat="1">
      <c r="A184" s="253"/>
      <c r="D184" s="1995"/>
      <c r="K184" s="57"/>
      <c r="L184" s="57"/>
    </row>
    <row r="185" spans="1:12" s="1994" customFormat="1">
      <c r="A185" s="253"/>
      <c r="D185" s="1995"/>
      <c r="K185" s="57"/>
      <c r="L185" s="57"/>
    </row>
    <row r="186" spans="1:12" s="1994" customFormat="1">
      <c r="A186" s="253"/>
      <c r="D186" s="1995"/>
      <c r="K186" s="57"/>
      <c r="L186" s="57"/>
    </row>
    <row r="187" spans="1:12" s="1994" customFormat="1">
      <c r="A187" s="253"/>
      <c r="D187" s="1995"/>
      <c r="K187" s="57"/>
      <c r="L187" s="57"/>
    </row>
    <row r="188" spans="1:12" s="1994" customFormat="1">
      <c r="A188" s="253"/>
      <c r="D188" s="1995"/>
      <c r="K188" s="57"/>
      <c r="L188" s="57"/>
    </row>
    <row r="189" spans="1:12" s="1994" customFormat="1">
      <c r="A189" s="253"/>
      <c r="D189" s="1995"/>
      <c r="K189" s="57"/>
      <c r="L189" s="57"/>
    </row>
    <row r="190" spans="1:12" s="1994" customFormat="1">
      <c r="A190" s="253"/>
      <c r="D190" s="1995"/>
      <c r="K190" s="57"/>
      <c r="L190" s="57"/>
    </row>
    <row r="191" spans="1:12" s="1994" customFormat="1">
      <c r="A191" s="253"/>
      <c r="D191" s="1995"/>
      <c r="K191" s="57"/>
      <c r="L191" s="57"/>
    </row>
    <row r="192" spans="1:12" s="1994" customFormat="1">
      <c r="A192" s="253"/>
      <c r="D192" s="1995"/>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2" sqref="F12"/>
    </sheetView>
  </sheetViews>
  <sheetFormatPr defaultColWidth="9" defaultRowHeight="14.4"/>
  <cols>
    <col min="1" max="1" width="9.44140625" style="2004" customWidth="1"/>
    <col min="2" max="2" width="24.44140625" style="2019" customWidth="1"/>
    <col min="3" max="3" width="24.44140625" style="2021" customWidth="1"/>
    <col min="4" max="4" width="2.6640625" style="2021" customWidth="1"/>
    <col min="5" max="5" width="5.88671875" style="2021" customWidth="1"/>
    <col min="6" max="6" width="27" style="2019" customWidth="1"/>
    <col min="7" max="7" width="27" style="2020" customWidth="1"/>
    <col min="8" max="8" width="11.88671875" style="2019" customWidth="1"/>
    <col min="9" max="9" width="16.77734375" style="2020" customWidth="1"/>
    <col min="10" max="10" width="2.6640625" style="2021" customWidth="1"/>
    <col min="11" max="11" width="11.88671875" style="2019" customWidth="1"/>
    <col min="12" max="12" width="16.77734375" style="2020" customWidth="1"/>
    <col min="13" max="13" width="2.6640625" style="2021" customWidth="1"/>
    <col min="14" max="14" width="11.88671875" style="2019" customWidth="1"/>
    <col min="15" max="15" width="16.77734375" style="2020" customWidth="1"/>
    <col min="16" max="16" width="2.6640625" style="2021" customWidth="1"/>
    <col min="17" max="17" width="11.88671875" style="2019" customWidth="1"/>
    <col min="18" max="18" width="16.77734375" style="2022" customWidth="1"/>
    <col min="19" max="16384" width="9" style="2004"/>
  </cols>
  <sheetData>
    <row r="1" spans="1:18" s="2003" customFormat="1" ht="18" thickBot="1">
      <c r="A1" s="3306" t="s">
        <v>1663</v>
      </c>
      <c r="B1" s="3307"/>
      <c r="C1" s="3307"/>
      <c r="D1" s="3307"/>
      <c r="E1" s="3307"/>
      <c r="F1" s="3307"/>
      <c r="G1" s="3307"/>
      <c r="H1" s="1998"/>
      <c r="I1" s="1999"/>
      <c r="J1" s="2000"/>
      <c r="K1" s="1998"/>
      <c r="L1" s="1999"/>
      <c r="M1" s="2000"/>
      <c r="N1" s="1998"/>
      <c r="O1" s="1999"/>
      <c r="P1" s="2000"/>
      <c r="Q1" s="2001"/>
      <c r="R1" s="2002"/>
    </row>
    <row r="2" spans="1:18" ht="15" thickBot="1">
      <c r="A2" s="1220"/>
      <c r="B2" s="1221"/>
      <c r="C2" s="1222" t="s">
        <v>1664</v>
      </c>
      <c r="D2" s="1223"/>
      <c r="E2" s="1224"/>
      <c r="F2" s="1225"/>
      <c r="G2" s="1222" t="s">
        <v>1665</v>
      </c>
      <c r="H2" s="2004"/>
      <c r="I2" s="2004"/>
      <c r="J2" s="2004"/>
      <c r="K2" s="2004"/>
      <c r="L2" s="2004"/>
      <c r="M2" s="2004"/>
      <c r="N2" s="2004"/>
      <c r="O2" s="2004"/>
      <c r="P2" s="2004"/>
      <c r="Q2" s="2004"/>
      <c r="R2" s="2004"/>
    </row>
    <row r="3" spans="1:18" ht="57.6">
      <c r="A3" s="1226" t="s">
        <v>1666</v>
      </c>
      <c r="B3" s="1227" t="s">
        <v>1653</v>
      </c>
      <c r="C3" s="3208" t="s">
        <v>3348</v>
      </c>
      <c r="D3" s="2005"/>
      <c r="E3" s="1228" t="s">
        <v>1666</v>
      </c>
      <c r="F3" s="1229" t="s">
        <v>1654</v>
      </c>
      <c r="G3" s="3105" t="s">
        <v>2918</v>
      </c>
      <c r="H3" s="2004"/>
      <c r="I3" s="2004"/>
      <c r="J3" s="2004"/>
      <c r="K3" s="2004"/>
      <c r="L3" s="2004"/>
      <c r="M3" s="2004"/>
      <c r="N3" s="2004"/>
      <c r="O3" s="2004"/>
      <c r="P3" s="2004"/>
      <c r="Q3" s="2004"/>
      <c r="R3" s="2004"/>
    </row>
    <row r="4" spans="1:18" ht="43.2">
      <c r="A4" s="1228"/>
      <c r="B4" s="1230" t="s">
        <v>1667</v>
      </c>
      <c r="C4" s="3102" t="s">
        <v>3349</v>
      </c>
      <c r="D4" s="2005"/>
      <c r="E4" s="1231"/>
      <c r="F4" s="1232" t="s">
        <v>1668</v>
      </c>
      <c r="G4" s="3103" t="s">
        <v>2915</v>
      </c>
      <c r="H4" s="2004"/>
      <c r="I4" s="2004"/>
      <c r="J4" s="2004"/>
      <c r="K4" s="2004"/>
      <c r="L4" s="2004"/>
      <c r="M4" s="2004"/>
      <c r="N4" s="2004"/>
      <c r="O4" s="2004"/>
      <c r="P4" s="2004"/>
      <c r="Q4" s="2004"/>
      <c r="R4" s="2004"/>
    </row>
    <row r="5" spans="1:18" ht="43.2">
      <c r="A5" s="1228"/>
      <c r="B5" s="1230" t="s">
        <v>1669</v>
      </c>
      <c r="C5" s="3102" t="s">
        <v>2919</v>
      </c>
      <c r="D5" s="2005"/>
      <c r="E5" s="1231"/>
      <c r="F5" s="1230" t="s">
        <v>2545</v>
      </c>
      <c r="G5" s="3103" t="s">
        <v>2916</v>
      </c>
      <c r="H5" s="2004"/>
      <c r="I5" s="2004"/>
      <c r="J5" s="2004"/>
      <c r="K5" s="2004"/>
      <c r="L5" s="2004"/>
      <c r="M5" s="2004"/>
      <c r="N5" s="2004"/>
      <c r="O5" s="2004"/>
      <c r="P5" s="2004"/>
      <c r="Q5" s="2004"/>
      <c r="R5" s="2004"/>
    </row>
    <row r="6" spans="1:18" ht="57.6">
      <c r="A6" s="1228"/>
      <c r="B6" s="1230" t="s">
        <v>1655</v>
      </c>
      <c r="C6" s="3209" t="s">
        <v>3350</v>
      </c>
      <c r="D6" s="2005"/>
      <c r="E6" s="1231"/>
      <c r="F6" s="1230" t="s">
        <v>2546</v>
      </c>
      <c r="G6" s="3103" t="s">
        <v>2914</v>
      </c>
      <c r="H6" s="2004"/>
      <c r="I6" s="2004"/>
      <c r="J6" s="2004"/>
      <c r="K6" s="2004"/>
      <c r="L6" s="2004"/>
      <c r="M6" s="2004"/>
      <c r="N6" s="2004"/>
      <c r="O6" s="2004"/>
      <c r="P6" s="2004"/>
      <c r="Q6" s="2004"/>
      <c r="R6" s="2004"/>
    </row>
    <row r="7" spans="1:18" ht="43.8" thickBot="1">
      <c r="A7" s="1228"/>
      <c r="B7" s="1230" t="s">
        <v>2545</v>
      </c>
      <c r="C7" s="3103" t="s">
        <v>2916</v>
      </c>
      <c r="D7" s="2006"/>
      <c r="E7" s="1233"/>
      <c r="F7" s="1234" t="s">
        <v>1670</v>
      </c>
      <c r="G7" s="3106" t="s">
        <v>2917</v>
      </c>
      <c r="H7" s="2004"/>
      <c r="I7" s="2004"/>
      <c r="J7" s="2004"/>
      <c r="K7" s="2004"/>
      <c r="L7" s="2004"/>
      <c r="M7" s="2004"/>
      <c r="N7" s="2004"/>
      <c r="O7" s="2004"/>
      <c r="P7" s="2004"/>
      <c r="Q7" s="2004"/>
      <c r="R7" s="2004"/>
    </row>
    <row r="8" spans="1:18" ht="28.8">
      <c r="A8" s="1228"/>
      <c r="B8" s="1230" t="s">
        <v>2546</v>
      </c>
      <c r="C8" s="3103" t="s">
        <v>2914</v>
      </c>
      <c r="D8" s="2006"/>
      <c r="E8" s="2006"/>
      <c r="F8" s="1550"/>
      <c r="G8" s="1550"/>
      <c r="H8" s="2004"/>
      <c r="I8" s="2004"/>
      <c r="J8" s="2004"/>
      <c r="K8" s="2004"/>
      <c r="L8" s="2004"/>
      <c r="M8" s="2004"/>
      <c r="N8" s="2004"/>
      <c r="O8" s="2004"/>
      <c r="P8" s="2004"/>
      <c r="Q8" s="2004"/>
      <c r="R8" s="2004"/>
    </row>
    <row r="9" spans="1:18" ht="28.8">
      <c r="A9" s="1228"/>
      <c r="B9" s="1230" t="s">
        <v>1656</v>
      </c>
      <c r="C9" s="3211" t="s">
        <v>3358</v>
      </c>
      <c r="D9" s="2005"/>
      <c r="E9" s="2006"/>
      <c r="F9" s="1550"/>
      <c r="G9" s="1550"/>
      <c r="H9" s="2004"/>
      <c r="I9" s="2004"/>
      <c r="J9" s="2004"/>
      <c r="K9" s="2004"/>
      <c r="L9" s="2004"/>
      <c r="M9" s="2004"/>
      <c r="N9" s="2004"/>
      <c r="O9" s="2004"/>
      <c r="P9" s="2004"/>
      <c r="Q9" s="2004"/>
      <c r="R9" s="2004"/>
    </row>
    <row r="10" spans="1:18" s="2012" customFormat="1" ht="15" thickBot="1">
      <c r="A10" s="1235"/>
      <c r="B10" s="1236" t="s">
        <v>1671</v>
      </c>
      <c r="C10" s="3104"/>
      <c r="D10" s="2005"/>
      <c r="E10" s="2005"/>
      <c r="F10" s="1550"/>
      <c r="G10" s="1550"/>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7.399999999999999">
      <c r="A12" s="2007"/>
      <c r="B12" s="2006"/>
      <c r="C12" s="2005"/>
      <c r="D12" s="2598"/>
      <c r="E12" s="2005"/>
      <c r="F12" s="2006"/>
      <c r="G12" s="2008"/>
      <c r="H12" s="2013"/>
      <c r="I12" s="2014"/>
      <c r="J12" s="2013"/>
      <c r="K12" s="2013"/>
      <c r="L12" s="2015"/>
      <c r="M12" s="2013"/>
      <c r="N12" s="2016"/>
      <c r="O12" s="2017"/>
      <c r="P12" s="2018"/>
      <c r="Q12" s="2016"/>
      <c r="R12" s="2002"/>
    </row>
    <row r="13" spans="1:18" ht="18" thickBot="1">
      <c r="A13" s="2597" t="s">
        <v>1672</v>
      </c>
      <c r="B13" s="2598"/>
      <c r="C13" s="2598"/>
      <c r="D13" s="1223"/>
      <c r="E13" s="2598"/>
      <c r="F13" s="2598"/>
      <c r="G13" s="2598"/>
    </row>
    <row r="14" spans="1:18" ht="15" thickBot="1">
      <c r="A14" s="1237"/>
      <c r="B14" s="1238"/>
      <c r="C14" s="1239" t="s">
        <v>1664</v>
      </c>
      <c r="D14" s="2005"/>
      <c r="E14" s="1240"/>
      <c r="F14" s="1240"/>
      <c r="G14" s="1222" t="s">
        <v>1665</v>
      </c>
    </row>
    <row r="15" spans="1:18" ht="57.6">
      <c r="A15" s="2608" t="s">
        <v>1657</v>
      </c>
      <c r="B15" s="1241" t="s">
        <v>1653</v>
      </c>
      <c r="C15" s="1242" t="str">
        <f>C3</f>
        <v>估价对象周边居住用地比例、居住小区规模和社区发展完善程度，综合评价居住社区成熟度较好</v>
      </c>
      <c r="D15" s="2005"/>
      <c r="E15" s="2605" t="s">
        <v>1658</v>
      </c>
      <c r="F15" s="1241" t="s">
        <v>1673</v>
      </c>
      <c r="G15" s="1243" t="str">
        <f>G3</f>
        <v>估价对象位于XX开发区，园区建设成熟度XX，产业集聚程度XX</v>
      </c>
    </row>
    <row r="16" spans="1:18" ht="43.2">
      <c r="A16" s="2609"/>
      <c r="B16" s="1244" t="s">
        <v>1667</v>
      </c>
      <c r="C16" s="1245" t="str">
        <f>C4</f>
        <v>估价对象位于XX商圈，周边商业氛围成熟，人流量大，商业繁华度一般</v>
      </c>
      <c r="D16" s="2005"/>
      <c r="E16" s="2606"/>
      <c r="F16" s="1246" t="s">
        <v>1668</v>
      </c>
      <c r="G16" s="1004" t="str">
        <f>G4</f>
        <v>估价对象周边道路状况、公共交通通达情况、停车便捷程度，综合评价交通便捷度较好</v>
      </c>
    </row>
    <row r="17" spans="1:7" ht="43.2">
      <c r="A17" s="2609"/>
      <c r="B17" s="1244" t="s">
        <v>1669</v>
      </c>
      <c r="C17" s="1245" t="str">
        <f>C5</f>
        <v>估价对象位于XX商圈，周边办公楼项目较多，入驻率高，办公集聚程度较好</v>
      </c>
      <c r="D17" s="2006"/>
      <c r="E17" s="2606"/>
      <c r="F17" s="1246" t="s">
        <v>1674</v>
      </c>
      <c r="G17" s="2814"/>
    </row>
    <row r="18" spans="1:7" ht="57.6">
      <c r="A18" s="2609"/>
      <c r="B18" s="1246" t="s">
        <v>1655</v>
      </c>
      <c r="C18" s="1004" t="str">
        <f>C6</f>
        <v>估价对象周边道路状况、公共交通通达情况、停车便捷程度，综合评价交通便捷度较好</v>
      </c>
      <c r="D18" s="2006"/>
      <c r="E18" s="2606"/>
      <c r="F18" s="1246" t="s">
        <v>1670</v>
      </c>
      <c r="G18" s="1004" t="str">
        <f>G7</f>
        <v>该园区内是否有污染型企业，绿化情况，卫生条件，整体环境状况判断</v>
      </c>
    </row>
    <row r="19" spans="1:7" ht="28.8">
      <c r="A19" s="2609"/>
      <c r="B19" s="1246" t="s">
        <v>1659</v>
      </c>
      <c r="C19" s="2814"/>
      <c r="D19" s="2005"/>
      <c r="E19" s="2606"/>
      <c r="F19" s="1230" t="s">
        <v>2545</v>
      </c>
      <c r="G19" s="1004" t="str">
        <f>G5</f>
        <v>估价对象所在区域公共配套设施齐备情况</v>
      </c>
    </row>
    <row r="20" spans="1:7" ht="28.8">
      <c r="A20" s="2609"/>
      <c r="B20" s="1246" t="s">
        <v>1660</v>
      </c>
      <c r="C20" s="1245" t="str">
        <f>C9</f>
        <v>区域自然环境：；人文环境；综合评价好</v>
      </c>
      <c r="D20" s="2006"/>
      <c r="E20" s="2606"/>
      <c r="F20" s="1230" t="s">
        <v>2546</v>
      </c>
      <c r="G20" s="1004" t="str">
        <f>G6</f>
        <v>估价对象所在区域基础设施水平</v>
      </c>
    </row>
    <row r="21" spans="1:7" ht="28.8">
      <c r="A21" s="2609"/>
      <c r="B21" s="1230" t="s">
        <v>2545</v>
      </c>
      <c r="C21" s="1004" t="str">
        <f>C7</f>
        <v>估价对象所在区域公共配套设施齐备情况</v>
      </c>
      <c r="D21" s="2005"/>
      <c r="E21" s="2606"/>
      <c r="F21" s="1246" t="s">
        <v>1661</v>
      </c>
      <c r="G21" s="3107"/>
    </row>
    <row r="22" spans="1:7" ht="28.8">
      <c r="A22" s="2609"/>
      <c r="B22" s="1230" t="s">
        <v>2546</v>
      </c>
      <c r="C22" s="1004" t="str">
        <f>C8</f>
        <v>估价对象所在区域基础设施水平</v>
      </c>
      <c r="D22" s="2005"/>
      <c r="E22" s="2606"/>
      <c r="F22" s="1246" t="s">
        <v>1671</v>
      </c>
      <c r="G22" s="2814"/>
    </row>
    <row r="23" spans="1:7" ht="15" thickBot="1">
      <c r="A23" s="2609"/>
      <c r="B23" s="1246" t="s">
        <v>1661</v>
      </c>
      <c r="C23" s="3107"/>
      <c r="E23" s="2607"/>
      <c r="F23" s="1247" t="s">
        <v>1675</v>
      </c>
      <c r="G23" s="3108"/>
    </row>
    <row r="24" spans="1:7" ht="15" thickBot="1">
      <c r="A24" s="2610"/>
      <c r="B24" s="1247" t="s">
        <v>1662</v>
      </c>
      <c r="C24" s="1248">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6" sqref="D26"/>
    </sheetView>
  </sheetViews>
  <sheetFormatPr defaultColWidth="14.6640625" defaultRowHeight="14.4"/>
  <cols>
    <col min="1" max="1" width="24.33203125" customWidth="1"/>
  </cols>
  <sheetData>
    <row r="1" spans="1:9" ht="15.6">
      <c r="A1" s="3066" t="s">
        <v>2842</v>
      </c>
      <c r="B1" s="3066">
        <f>SUM(B14:B23)</f>
        <v>237470</v>
      </c>
      <c r="C1" s="3067"/>
      <c r="D1" s="3067"/>
      <c r="E1" s="3067"/>
      <c r="F1" s="3067"/>
    </row>
    <row r="2" spans="1:9" ht="15.6">
      <c r="A2" s="3066" t="s">
        <v>2843</v>
      </c>
      <c r="B2" s="3066">
        <f>SUM(C14:C23)</f>
        <v>65565</v>
      </c>
      <c r="C2" s="3067"/>
      <c r="D2" s="3067"/>
      <c r="E2" s="3067"/>
      <c r="F2" s="3067"/>
    </row>
    <row r="3" spans="1:9" ht="15.6">
      <c r="A3" s="3066" t="s">
        <v>2844</v>
      </c>
      <c r="B3" s="3068">
        <f>项目基本情况!D3</f>
        <v>43507</v>
      </c>
      <c r="C3" s="3067"/>
      <c r="D3" s="3067"/>
      <c r="E3" s="3067"/>
      <c r="F3" s="3067"/>
    </row>
    <row r="4" spans="1:9" ht="31.2">
      <c r="A4" s="3066" t="s">
        <v>2845</v>
      </c>
      <c r="B4" s="3066" t="s">
        <v>2846</v>
      </c>
      <c r="C4" s="3066" t="s">
        <v>2847</v>
      </c>
      <c r="D4" s="3066" t="s">
        <v>2848</v>
      </c>
      <c r="E4" s="3067"/>
      <c r="F4" s="3067"/>
    </row>
    <row r="5" spans="1:9" ht="15.6">
      <c r="A5" s="3066" t="s">
        <v>2849</v>
      </c>
      <c r="B5" s="3066">
        <f ca="1">SUM(D14:D23)</f>
        <v>110578</v>
      </c>
      <c r="C5" s="3066">
        <f ca="1">ROUND(B5*10000/$B$1,0)</f>
        <v>4657</v>
      </c>
      <c r="D5" s="3066">
        <f ca="1">ROUND(B5*10000/$B$2,0)</f>
        <v>16865</v>
      </c>
      <c r="E5" s="3067"/>
      <c r="F5" s="3067"/>
    </row>
    <row r="6" spans="1:9" ht="15.6">
      <c r="A6" s="3066" t="s">
        <v>2850</v>
      </c>
      <c r="B6" s="3066">
        <f ca="1">SUM(G14:G23)</f>
        <v>110578</v>
      </c>
      <c r="C6" s="3066">
        <f t="shared" ref="C6:C8" ca="1" si="0">ROUND(B6*10000/$B$1,0)</f>
        <v>4657</v>
      </c>
      <c r="D6" s="3066">
        <f t="shared" ref="D6:D8" ca="1" si="1">ROUND(B6*10000/$B$2,0)</f>
        <v>16865</v>
      </c>
      <c r="E6" s="3067"/>
      <c r="F6" s="3067"/>
    </row>
    <row r="7" spans="1:9" ht="15.6">
      <c r="A7" s="3066" t="s">
        <v>2851</v>
      </c>
      <c r="B7" s="3066">
        <f>SUM(H14:H23)</f>
        <v>0</v>
      </c>
      <c r="C7" s="3066">
        <f t="shared" si="0"/>
        <v>0</v>
      </c>
      <c r="D7" s="3066">
        <f t="shared" si="1"/>
        <v>0</v>
      </c>
      <c r="E7" s="3067"/>
      <c r="F7" s="3067"/>
    </row>
    <row r="8" spans="1:9" ht="15.6">
      <c r="A8" s="3066" t="s">
        <v>2852</v>
      </c>
      <c r="B8" s="3066">
        <f>SUM(I14:I23)</f>
        <v>0</v>
      </c>
      <c r="C8" s="3066">
        <f t="shared" si="0"/>
        <v>0</v>
      </c>
      <c r="D8" s="3066">
        <f t="shared" si="1"/>
        <v>0</v>
      </c>
      <c r="E8" s="3067"/>
      <c r="F8" s="3067"/>
    </row>
    <row r="9" spans="1:9" ht="15.6">
      <c r="A9" s="3066" t="s">
        <v>2853</v>
      </c>
      <c r="B9" s="3069"/>
      <c r="C9" s="3067"/>
      <c r="D9" s="3067"/>
      <c r="E9" s="3067"/>
      <c r="F9" s="3067"/>
    </row>
    <row r="10" spans="1:9" ht="15.6">
      <c r="A10" s="3066" t="s">
        <v>2854</v>
      </c>
      <c r="B10" s="3069"/>
      <c r="C10" s="3067"/>
      <c r="D10" s="3067"/>
      <c r="E10" s="3067"/>
      <c r="F10" s="3067"/>
    </row>
    <row r="11" spans="1:9" ht="15.6">
      <c r="A11" s="3066" t="s">
        <v>2871</v>
      </c>
      <c r="B11" s="3069"/>
      <c r="C11" s="3067"/>
      <c r="D11" s="3067"/>
      <c r="E11" s="3067"/>
      <c r="F11" s="3067"/>
    </row>
    <row r="12" spans="1:9" ht="15.6">
      <c r="A12" s="3067"/>
      <c r="B12" s="3067"/>
      <c r="C12" s="3067"/>
      <c r="D12" s="3067"/>
      <c r="E12" s="3067"/>
      <c r="F12" s="3067"/>
    </row>
    <row r="13" spans="1:9" ht="31.2">
      <c r="A13" s="3072" t="s">
        <v>2870</v>
      </c>
      <c r="B13" s="3070" t="s">
        <v>2842</v>
      </c>
      <c r="C13" s="3070" t="s">
        <v>2843</v>
      </c>
      <c r="D13" s="3070" t="s">
        <v>2855</v>
      </c>
      <c r="E13" s="3066" t="s">
        <v>2869</v>
      </c>
      <c r="F13" s="3066" t="s">
        <v>2848</v>
      </c>
      <c r="G13" s="3070" t="s">
        <v>2856</v>
      </c>
      <c r="H13" s="3070" t="s">
        <v>2857</v>
      </c>
      <c r="I13" s="3070" t="s">
        <v>2858</v>
      </c>
    </row>
    <row r="14" spans="1:9" ht="15.6">
      <c r="A14" s="3073" t="s">
        <v>2868</v>
      </c>
      <c r="B14" s="3070">
        <f>结果表!L38</f>
        <v>237470</v>
      </c>
      <c r="C14" s="3070">
        <f>结果表!K38</f>
        <v>65565</v>
      </c>
      <c r="D14" s="3070">
        <f ca="1">结果表!C42</f>
        <v>110578</v>
      </c>
      <c r="E14" s="3070">
        <f ca="1">ROUND(D14*10000/B14,0)</f>
        <v>4657</v>
      </c>
      <c r="F14" s="3070">
        <f ca="1">ROUND(D14*10000/C14,0)</f>
        <v>16865</v>
      </c>
      <c r="G14" s="3070">
        <f ca="1">结果表!C44</f>
        <v>110578</v>
      </c>
      <c r="H14" s="3070" t="str">
        <f>结果表!C45</f>
        <v>——</v>
      </c>
      <c r="I14" s="3070" t="str">
        <f>结果表!C46</f>
        <v>——</v>
      </c>
    </row>
    <row r="15" spans="1:9" ht="15.6">
      <c r="A15" s="3073" t="s">
        <v>2859</v>
      </c>
      <c r="B15" s="3074"/>
      <c r="C15" s="3074"/>
      <c r="D15" s="3074"/>
      <c r="E15" s="3070" t="e">
        <f t="shared" ref="E15:E23" si="2">ROUND(D15*10000/B15,0)</f>
        <v>#DIV/0!</v>
      </c>
      <c r="F15" s="3070" t="e">
        <f t="shared" ref="F15:F23" si="3">ROUND(D15*10000/C15,0)</f>
        <v>#DIV/0!</v>
      </c>
      <c r="G15" s="3071"/>
      <c r="H15" s="3071"/>
      <c r="I15" s="3074"/>
    </row>
    <row r="16" spans="1:9" ht="15.6">
      <c r="A16" s="3073" t="s">
        <v>2860</v>
      </c>
      <c r="B16" s="3074"/>
      <c r="C16" s="3074"/>
      <c r="D16" s="3074"/>
      <c r="E16" s="3070" t="e">
        <f t="shared" si="2"/>
        <v>#DIV/0!</v>
      </c>
      <c r="F16" s="3070" t="e">
        <f t="shared" si="3"/>
        <v>#DIV/0!</v>
      </c>
      <c r="G16" s="3071"/>
      <c r="H16" s="3071"/>
      <c r="I16" s="3074"/>
    </row>
    <row r="17" spans="1:9" ht="15.6">
      <c r="A17" s="3073" t="s">
        <v>2861</v>
      </c>
      <c r="B17" s="3074"/>
      <c r="C17" s="3074"/>
      <c r="D17" s="3074"/>
      <c r="E17" s="3070" t="e">
        <f t="shared" si="2"/>
        <v>#DIV/0!</v>
      </c>
      <c r="F17" s="3070" t="e">
        <f t="shared" si="3"/>
        <v>#DIV/0!</v>
      </c>
      <c r="G17" s="3071"/>
      <c r="H17" s="3071"/>
      <c r="I17" s="3074"/>
    </row>
    <row r="18" spans="1:9" ht="15.6">
      <c r="A18" s="3073" t="s">
        <v>2862</v>
      </c>
      <c r="B18" s="3074"/>
      <c r="C18" s="3074"/>
      <c r="D18" s="3074"/>
      <c r="E18" s="3070" t="e">
        <f t="shared" si="2"/>
        <v>#DIV/0!</v>
      </c>
      <c r="F18" s="3070" t="e">
        <f t="shared" si="3"/>
        <v>#DIV/0!</v>
      </c>
      <c r="G18" s="3074"/>
      <c r="H18" s="3074"/>
      <c r="I18" s="3074"/>
    </row>
    <row r="19" spans="1:9" ht="15.6">
      <c r="A19" s="3073" t="s">
        <v>2863</v>
      </c>
      <c r="B19" s="3074"/>
      <c r="C19" s="3074"/>
      <c r="D19" s="3074"/>
      <c r="E19" s="3070" t="e">
        <f t="shared" si="2"/>
        <v>#DIV/0!</v>
      </c>
      <c r="F19" s="3070" t="e">
        <f t="shared" si="3"/>
        <v>#DIV/0!</v>
      </c>
      <c r="G19" s="3074"/>
      <c r="H19" s="3074"/>
      <c r="I19" s="3074"/>
    </row>
    <row r="20" spans="1:9" ht="15.6">
      <c r="A20" s="3073" t="s">
        <v>2864</v>
      </c>
      <c r="B20" s="3074"/>
      <c r="C20" s="3074"/>
      <c r="D20" s="3074"/>
      <c r="E20" s="3070" t="e">
        <f t="shared" si="2"/>
        <v>#DIV/0!</v>
      </c>
      <c r="F20" s="3070" t="e">
        <f t="shared" si="3"/>
        <v>#DIV/0!</v>
      </c>
      <c r="G20" s="3074"/>
      <c r="H20" s="3074"/>
      <c r="I20" s="3074"/>
    </row>
    <row r="21" spans="1:9" ht="15.6">
      <c r="A21" s="3073" t="s">
        <v>2865</v>
      </c>
      <c r="B21" s="3074"/>
      <c r="C21" s="3074"/>
      <c r="D21" s="3074"/>
      <c r="E21" s="3070" t="e">
        <f t="shared" si="2"/>
        <v>#DIV/0!</v>
      </c>
      <c r="F21" s="3070" t="e">
        <f t="shared" si="3"/>
        <v>#DIV/0!</v>
      </c>
      <c r="G21" s="3074"/>
      <c r="H21" s="3074"/>
      <c r="I21" s="3074"/>
    </row>
    <row r="22" spans="1:9" ht="15.6">
      <c r="A22" s="3073" t="s">
        <v>2866</v>
      </c>
      <c r="B22" s="3074"/>
      <c r="C22" s="3074"/>
      <c r="D22" s="3074"/>
      <c r="E22" s="3070" t="e">
        <f t="shared" si="2"/>
        <v>#DIV/0!</v>
      </c>
      <c r="F22" s="3070" t="e">
        <f t="shared" si="3"/>
        <v>#DIV/0!</v>
      </c>
      <c r="G22" s="3074"/>
      <c r="H22" s="3074"/>
      <c r="I22" s="3074"/>
    </row>
    <row r="23" spans="1:9" ht="15.6">
      <c r="A23" s="3073" t="s">
        <v>2867</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52" zoomScale="85" zoomScaleNormal="100" zoomScaleSheetLayoutView="85" zoomScalePageLayoutView="80" workbookViewId="0">
      <selection activeCell="D71" sqref="D71"/>
    </sheetView>
  </sheetViews>
  <sheetFormatPr defaultColWidth="12.6640625" defaultRowHeight="21.75" customHeight="1"/>
  <cols>
    <col min="1" max="2" width="12.77734375" style="1249" bestFit="1" customWidth="1"/>
    <col min="3" max="4" width="12.6640625" style="1249" customWidth="1"/>
    <col min="5" max="9" width="12.77734375" style="1249"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9"/>
  </cols>
  <sheetData>
    <row r="1" spans="1:22" ht="21.75" customHeight="1" thickBot="1">
      <c r="A1" s="1772" t="s">
        <v>2056</v>
      </c>
      <c r="B1" s="1773"/>
      <c r="C1" s="1801" t="s">
        <v>2057</v>
      </c>
      <c r="D1" s="1802" t="s">
        <v>2994</v>
      </c>
      <c r="E1" s="1801" t="s">
        <v>2058</v>
      </c>
      <c r="F1" s="1803" t="s">
        <v>2995</v>
      </c>
      <c r="G1" s="311"/>
      <c r="H1" s="311"/>
      <c r="I1" s="311"/>
      <c r="J1" s="2025"/>
      <c r="K1" s="2025"/>
      <c r="L1" s="2025"/>
      <c r="M1" s="2025"/>
      <c r="N1" s="2025"/>
      <c r="O1" s="2025"/>
      <c r="P1" s="2025"/>
      <c r="Q1" s="2025"/>
      <c r="R1" s="2025"/>
      <c r="S1" s="2025"/>
      <c r="T1" s="2025"/>
      <c r="U1" s="2025"/>
      <c r="V1" s="2025"/>
    </row>
    <row r="2" spans="1:22" ht="21.75" customHeight="1" thickBot="1">
      <c r="A2" s="3344" t="str">
        <f>项目基本情况!K2</f>
        <v>陕西省西安市新城区“东方宸院”项目出让国有建设用地使用权</v>
      </c>
      <c r="B2" s="3345"/>
      <c r="C2" s="3346"/>
      <c r="D2" s="3346"/>
      <c r="E2" s="3346"/>
      <c r="F2" s="3346"/>
      <c r="G2" s="3345"/>
      <c r="H2" s="3345"/>
      <c r="I2" s="3347"/>
      <c r="J2" s="2026"/>
      <c r="K2" s="2025"/>
      <c r="L2" s="2025"/>
      <c r="M2" s="2025"/>
      <c r="N2" s="2025"/>
      <c r="O2" s="2025"/>
      <c r="P2" s="2025"/>
      <c r="Q2" s="2025"/>
      <c r="R2" s="2025"/>
      <c r="S2" s="2025"/>
      <c r="T2" s="2025"/>
      <c r="U2" s="2025"/>
      <c r="V2" s="2025"/>
    </row>
    <row r="3" spans="1:22" ht="13.8">
      <c r="A3" s="3337" t="s">
        <v>298</v>
      </c>
      <c r="B3" s="3338"/>
      <c r="C3" s="3338"/>
      <c r="D3" s="3338"/>
      <c r="E3" s="3338"/>
      <c r="F3" s="3338"/>
      <c r="G3" s="3338"/>
      <c r="H3" s="3338"/>
      <c r="I3" s="3338"/>
      <c r="J3" s="2026"/>
      <c r="K3" s="2025"/>
      <c r="L3" s="2025"/>
      <c r="M3" s="2025"/>
      <c r="N3" s="2025"/>
      <c r="O3" s="2025"/>
      <c r="P3" s="2025"/>
      <c r="Q3" s="2025"/>
      <c r="R3" s="2025"/>
      <c r="S3" s="2025"/>
      <c r="T3" s="2025"/>
      <c r="U3" s="2025"/>
      <c r="V3" s="2025"/>
    </row>
    <row r="4" spans="1:22" ht="14.4">
      <c r="A4" s="258" t="s">
        <v>299</v>
      </c>
      <c r="B4" s="259" t="s">
        <v>300</v>
      </c>
      <c r="C4" s="260" t="s">
        <v>2996</v>
      </c>
      <c r="D4" s="260" t="s">
        <v>2997</v>
      </c>
      <c r="E4" s="3309" t="s">
        <v>301</v>
      </c>
      <c r="F4" s="3310"/>
      <c r="G4" s="3310"/>
      <c r="H4" s="3310"/>
      <c r="I4" s="3339"/>
      <c r="J4" s="2026"/>
      <c r="K4" s="2025"/>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3.8">
      <c r="A5" s="3308" t="s">
        <v>302</v>
      </c>
      <c r="B5" s="3334">
        <v>25</v>
      </c>
      <c r="C5" s="3332"/>
      <c r="D5" s="3336"/>
      <c r="E5" s="261" t="s">
        <v>303</v>
      </c>
      <c r="F5" s="262"/>
      <c r="G5" s="262"/>
      <c r="H5" s="262"/>
      <c r="I5" s="263"/>
      <c r="J5" s="2026"/>
      <c r="K5" s="2025"/>
      <c r="L5" s="2025"/>
      <c r="M5" s="2025"/>
      <c r="N5" s="2025"/>
      <c r="O5" s="2025"/>
      <c r="P5" s="2025"/>
      <c r="Q5" s="2025"/>
      <c r="R5" s="2025"/>
      <c r="S5" s="2025"/>
      <c r="T5" s="2025"/>
      <c r="U5" s="2025"/>
      <c r="V5" s="2025"/>
    </row>
    <row r="6" spans="1:22" ht="13.8">
      <c r="A6" s="3308"/>
      <c r="B6" s="3334"/>
      <c r="C6" s="3335"/>
      <c r="D6" s="3336"/>
      <c r="E6" s="261" t="s">
        <v>304</v>
      </c>
      <c r="F6" s="262"/>
      <c r="G6" s="262"/>
      <c r="H6" s="262"/>
      <c r="I6" s="263"/>
      <c r="J6" s="2026"/>
      <c r="K6" s="2025"/>
      <c r="L6" s="2025"/>
      <c r="M6" s="2025"/>
      <c r="N6" s="2025"/>
      <c r="O6" s="2025"/>
      <c r="P6" s="2025"/>
      <c r="Q6" s="2025"/>
      <c r="R6" s="2025"/>
      <c r="S6" s="2025"/>
      <c r="T6" s="2025"/>
      <c r="U6" s="2025"/>
      <c r="V6" s="2025"/>
    </row>
    <row r="7" spans="1:22" ht="13.8">
      <c r="A7" s="3308"/>
      <c r="B7" s="3334"/>
      <c r="C7" s="3333"/>
      <c r="D7" s="3336"/>
      <c r="E7" s="261" t="s">
        <v>305</v>
      </c>
      <c r="F7" s="262"/>
      <c r="G7" s="262"/>
      <c r="H7" s="262"/>
      <c r="I7" s="263"/>
      <c r="J7" s="2026"/>
      <c r="K7" s="2025"/>
      <c r="L7" s="2025"/>
      <c r="M7" s="2025"/>
      <c r="N7" s="2025"/>
      <c r="O7" s="2025"/>
      <c r="P7" s="2025"/>
      <c r="Q7" s="2025"/>
      <c r="R7" s="2025"/>
      <c r="S7" s="2025"/>
      <c r="T7" s="2025"/>
      <c r="U7" s="2025"/>
      <c r="V7" s="2025"/>
    </row>
    <row r="8" spans="1:22" ht="13.8">
      <c r="A8" s="3308" t="s">
        <v>306</v>
      </c>
      <c r="B8" s="3334">
        <v>15</v>
      </c>
      <c r="C8" s="3332"/>
      <c r="D8" s="3336"/>
      <c r="E8" s="261" t="s">
        <v>307</v>
      </c>
      <c r="F8" s="262"/>
      <c r="G8" s="262"/>
      <c r="H8" s="262"/>
      <c r="I8" s="263"/>
      <c r="J8" s="2026"/>
      <c r="K8" s="2025"/>
      <c r="L8" s="2025"/>
      <c r="M8" s="2025"/>
      <c r="N8" s="2025"/>
      <c r="O8" s="2025"/>
      <c r="P8" s="2025"/>
      <c r="Q8" s="2025"/>
      <c r="R8" s="2025"/>
      <c r="S8" s="2025"/>
      <c r="T8" s="2025"/>
      <c r="U8" s="2025"/>
      <c r="V8" s="2025"/>
    </row>
    <row r="9" spans="1:22" ht="13.8">
      <c r="A9" s="3308"/>
      <c r="B9" s="3334"/>
      <c r="C9" s="3333"/>
      <c r="D9" s="3336"/>
      <c r="E9" s="261" t="s">
        <v>308</v>
      </c>
      <c r="F9" s="262"/>
      <c r="G9" s="262"/>
      <c r="H9" s="262"/>
      <c r="I9" s="263"/>
      <c r="J9" s="2026"/>
      <c r="K9" s="2025"/>
      <c r="L9" s="2025"/>
      <c r="M9" s="2025"/>
      <c r="N9" s="2025"/>
      <c r="O9" s="2025"/>
      <c r="P9" s="2025"/>
      <c r="Q9" s="2025"/>
      <c r="R9" s="2025"/>
      <c r="S9" s="2025"/>
      <c r="T9" s="2025"/>
      <c r="U9" s="2025"/>
      <c r="V9" s="2025"/>
    </row>
    <row r="10" spans="1:22" ht="13.8">
      <c r="A10" s="3308" t="s">
        <v>309</v>
      </c>
      <c r="B10" s="3334">
        <v>15</v>
      </c>
      <c r="C10" s="3332"/>
      <c r="D10" s="3336"/>
      <c r="E10" s="261" t="s">
        <v>310</v>
      </c>
      <c r="F10" s="262"/>
      <c r="G10" s="262"/>
      <c r="H10" s="262"/>
      <c r="I10" s="263"/>
      <c r="J10" s="2026"/>
      <c r="K10" s="2025"/>
      <c r="L10" s="2025"/>
      <c r="M10" s="2025"/>
      <c r="N10" s="2025"/>
      <c r="O10" s="2025"/>
      <c r="P10" s="2025"/>
      <c r="Q10" s="2025"/>
      <c r="R10" s="2025"/>
      <c r="S10" s="2025"/>
      <c r="T10" s="2025"/>
      <c r="U10" s="2025"/>
      <c r="V10" s="2025"/>
    </row>
    <row r="11" spans="1:22" ht="13.8">
      <c r="A11" s="3308"/>
      <c r="B11" s="3334"/>
      <c r="C11" s="3333"/>
      <c r="D11" s="3336"/>
      <c r="E11" s="261" t="s">
        <v>311</v>
      </c>
      <c r="F11" s="262"/>
      <c r="G11" s="262"/>
      <c r="H11" s="262"/>
      <c r="I11" s="263"/>
      <c r="J11" s="2026"/>
      <c r="K11" s="2025"/>
      <c r="L11" s="2025"/>
      <c r="M11" s="2025"/>
      <c r="N11" s="2025"/>
      <c r="O11" s="2025"/>
      <c r="P11" s="2025"/>
      <c r="Q11" s="2025"/>
      <c r="R11" s="2025"/>
      <c r="S11" s="2025"/>
      <c r="T11" s="2025"/>
      <c r="U11" s="2025"/>
      <c r="V11" s="2025"/>
    </row>
    <row r="12" spans="1:22" ht="13.8">
      <c r="A12" s="3308" t="s">
        <v>312</v>
      </c>
      <c r="B12" s="3334">
        <v>15</v>
      </c>
      <c r="C12" s="3332"/>
      <c r="D12" s="3336"/>
      <c r="E12" s="261" t="s">
        <v>313</v>
      </c>
      <c r="F12" s="262"/>
      <c r="G12" s="262"/>
      <c r="H12" s="262"/>
      <c r="I12" s="263"/>
      <c r="J12" s="2026"/>
      <c r="K12" s="2025"/>
      <c r="L12" s="2025"/>
      <c r="M12" s="2025"/>
      <c r="N12" s="2025"/>
      <c r="O12" s="2025"/>
      <c r="P12" s="2025"/>
      <c r="Q12" s="2025"/>
      <c r="R12" s="2025"/>
      <c r="S12" s="2025"/>
      <c r="T12" s="2025"/>
      <c r="U12" s="2025"/>
      <c r="V12" s="2025"/>
    </row>
    <row r="13" spans="1:22" ht="13.8">
      <c r="A13" s="3308"/>
      <c r="B13" s="3334"/>
      <c r="C13" s="3333"/>
      <c r="D13" s="3336"/>
      <c r="E13" s="261" t="s">
        <v>314</v>
      </c>
      <c r="F13" s="262"/>
      <c r="G13" s="262"/>
      <c r="H13" s="262"/>
      <c r="I13" s="263"/>
      <c r="J13" s="2026"/>
      <c r="K13" s="2025"/>
      <c r="L13" s="2025"/>
      <c r="M13" s="2025"/>
      <c r="N13" s="2025"/>
      <c r="O13" s="2025"/>
      <c r="P13" s="2025"/>
      <c r="Q13" s="2025"/>
      <c r="R13" s="2025"/>
      <c r="S13" s="2025"/>
      <c r="T13" s="2025"/>
      <c r="U13" s="2025"/>
      <c r="V13" s="2025"/>
    </row>
    <row r="14" spans="1:22" ht="13.8">
      <c r="A14" s="3308" t="s">
        <v>315</v>
      </c>
      <c r="B14" s="3334">
        <v>30</v>
      </c>
      <c r="C14" s="3332">
        <v>40</v>
      </c>
      <c r="D14" s="3336">
        <v>60</v>
      </c>
      <c r="E14" s="261" t="s">
        <v>316</v>
      </c>
      <c r="F14" s="262"/>
      <c r="G14" s="262"/>
      <c r="H14" s="262"/>
      <c r="I14" s="263"/>
      <c r="J14" s="2026"/>
      <c r="K14" s="2025"/>
      <c r="L14" s="2025"/>
      <c r="M14" s="2025"/>
      <c r="N14" s="2025"/>
      <c r="O14" s="2025"/>
      <c r="P14" s="2025"/>
      <c r="Q14" s="2025"/>
      <c r="R14" s="2025"/>
      <c r="S14" s="2025"/>
      <c r="T14" s="2025"/>
      <c r="U14" s="2025"/>
      <c r="V14" s="2025"/>
    </row>
    <row r="15" spans="1:22" ht="13.8">
      <c r="A15" s="3308"/>
      <c r="B15" s="3334"/>
      <c r="C15" s="3335"/>
      <c r="D15" s="3336"/>
      <c r="E15" s="261" t="s">
        <v>317</v>
      </c>
      <c r="F15" s="262"/>
      <c r="G15" s="262"/>
      <c r="H15" s="262"/>
      <c r="I15" s="263"/>
      <c r="J15" s="2026"/>
      <c r="K15" s="2025"/>
      <c r="L15" s="2025"/>
      <c r="M15" s="2025"/>
      <c r="N15" s="2025"/>
      <c r="O15" s="2025"/>
      <c r="P15" s="2025"/>
      <c r="Q15" s="2025"/>
      <c r="R15" s="2025"/>
      <c r="S15" s="2025"/>
      <c r="T15" s="2025"/>
      <c r="U15" s="2025"/>
      <c r="V15" s="2025"/>
    </row>
    <row r="16" spans="1:22" ht="13.8">
      <c r="A16" s="3308"/>
      <c r="B16" s="3334"/>
      <c r="C16" s="3333"/>
      <c r="D16" s="3336"/>
      <c r="E16" s="261" t="s">
        <v>318</v>
      </c>
      <c r="F16" s="262"/>
      <c r="G16" s="262"/>
      <c r="H16" s="262"/>
      <c r="I16" s="263"/>
      <c r="J16" s="2026"/>
      <c r="K16" s="2025"/>
      <c r="L16" s="2025"/>
      <c r="M16" s="2025"/>
      <c r="N16" s="2025"/>
      <c r="O16" s="2025"/>
      <c r="P16" s="2025"/>
      <c r="Q16" s="2025"/>
      <c r="R16" s="2025"/>
      <c r="S16" s="2025"/>
      <c r="T16" s="2025"/>
      <c r="U16" s="2025"/>
      <c r="V16" s="2025"/>
    </row>
    <row r="17" spans="1:26" ht="14.4">
      <c r="A17" s="264" t="s">
        <v>319</v>
      </c>
      <c r="B17" s="144"/>
      <c r="C17" s="265">
        <f>SUM(C5:C16)</f>
        <v>40</v>
      </c>
      <c r="D17" s="265">
        <f>SUM(D5:D16)</f>
        <v>60</v>
      </c>
      <c r="E17" s="311"/>
      <c r="F17" s="311"/>
      <c r="G17" s="311"/>
      <c r="H17" s="311"/>
      <c r="I17" s="311"/>
      <c r="J17" s="2026"/>
      <c r="K17" s="2025"/>
      <c r="L17" s="2025"/>
      <c r="M17" s="2025"/>
      <c r="N17" s="2025"/>
      <c r="O17" s="2025"/>
      <c r="P17" s="2025"/>
      <c r="Q17" s="2025"/>
      <c r="R17" s="2025"/>
      <c r="S17" s="2025"/>
      <c r="T17" s="2025"/>
      <c r="U17" s="2025"/>
      <c r="V17" s="2025"/>
    </row>
    <row r="18" spans="1:26" ht="15" thickBot="1">
      <c r="A18" s="266" t="s">
        <v>320</v>
      </c>
      <c r="B18" s="105"/>
      <c r="C18" s="267">
        <f>ROUND(C17/SUM(C17:D17),2)</f>
        <v>0.4</v>
      </c>
      <c r="D18" s="267">
        <f>1-C18</f>
        <v>0.6</v>
      </c>
      <c r="E18" s="311"/>
      <c r="F18" s="311"/>
      <c r="G18" s="311"/>
      <c r="H18" s="311"/>
      <c r="I18" s="311"/>
      <c r="J18" s="2025"/>
      <c r="K18" s="2025"/>
      <c r="L18" s="2025"/>
      <c r="M18" s="2025"/>
      <c r="N18" s="2025"/>
      <c r="O18" s="2025"/>
      <c r="P18" s="2025"/>
      <c r="Q18" s="2025"/>
      <c r="R18" s="2025"/>
      <c r="S18" s="2025"/>
      <c r="T18" s="2025"/>
      <c r="U18" s="2025"/>
      <c r="V18" s="2025"/>
    </row>
    <row r="19" spans="1:26" ht="14.4">
      <c r="A19" s="268" t="s">
        <v>321</v>
      </c>
      <c r="B19" s="269" t="s">
        <v>322</v>
      </c>
      <c r="C19" s="270">
        <f ca="1">SUMIF(INDIRECT("'"&amp;C4&amp;"'"&amp;"!A:A"),结果表!B19,INDIRECT("'"&amp;C4&amp;"'"&amp;"!B:B"))</f>
        <v>92675</v>
      </c>
      <c r="D19" s="271">
        <f ca="1">SUMIF(INDIRECT("'"&amp;D4&amp;"'"&amp;"!A:A"),结果表!B19,INDIRECT("'"&amp;D4&amp;"'"&amp;"!B:B"))</f>
        <v>122513</v>
      </c>
      <c r="E19" s="268" t="s">
        <v>323</v>
      </c>
      <c r="F19" s="269" t="s">
        <v>322</v>
      </c>
      <c r="G19" s="272">
        <f ca="1">ROUND(C19*$C$18+D19*$D$18,0)</f>
        <v>110578</v>
      </c>
      <c r="H19" s="273" t="s">
        <v>324</v>
      </c>
      <c r="I19" s="311"/>
      <c r="J19" s="2025"/>
      <c r="K19" s="2025"/>
      <c r="L19" s="2025"/>
      <c r="M19" s="2025"/>
      <c r="N19" s="2025"/>
      <c r="O19" s="2025"/>
      <c r="P19" s="2025"/>
      <c r="Q19" s="2025"/>
      <c r="R19" s="2025"/>
      <c r="S19" s="2025"/>
      <c r="T19" s="2025"/>
      <c r="U19" s="2025"/>
      <c r="V19" s="2025"/>
    </row>
    <row r="20" spans="1:26" ht="14.4">
      <c r="A20" s="274"/>
      <c r="B20" s="275" t="s">
        <v>325</v>
      </c>
      <c r="C20" s="276">
        <f ca="1">SUMIF(INDIRECT("'"&amp;C4&amp;"'"&amp;"!A:A"),结果表!B20,INDIRECT("'"&amp;C4&amp;"'"&amp;"!B:B"))</f>
        <v>3903</v>
      </c>
      <c r="D20" s="277">
        <f ca="1">SUMIF(INDIRECT("'"&amp;D4&amp;"'"&amp;"!A:A"),结果表!B20,INDIRECT("'"&amp;D4&amp;"'"&amp;"!B:B"))</f>
        <v>5159</v>
      </c>
      <c r="E20" s="274"/>
      <c r="F20" s="275" t="s">
        <v>325</v>
      </c>
      <c r="G20" s="278">
        <f ca="1">ROUND(C20*$C$18+D20*$D$18,0)</f>
        <v>4657</v>
      </c>
      <c r="H20" s="279" t="s">
        <v>326</v>
      </c>
      <c r="I20" s="311"/>
      <c r="J20" s="2025"/>
      <c r="K20" s="2025"/>
      <c r="L20" s="2025"/>
      <c r="M20" s="2025"/>
      <c r="N20" s="2025"/>
      <c r="O20" s="2025"/>
      <c r="P20" s="2025"/>
      <c r="Q20" s="2025"/>
      <c r="R20" s="2025"/>
      <c r="S20" s="2025"/>
      <c r="T20" s="2025"/>
      <c r="U20" s="2025"/>
      <c r="V20" s="2025"/>
    </row>
    <row r="21" spans="1:26" ht="15" customHeight="1">
      <c r="A21" s="274"/>
      <c r="B21" s="280" t="s">
        <v>327</v>
      </c>
      <c r="C21" s="281">
        <f ca="1">SUMIF(INDIRECT("'"&amp;C4&amp;"'"&amp;"!A:A"),结果表!B21,INDIRECT("'"&amp;C4&amp;"'"&amp;"!B:B"))</f>
        <v>14135</v>
      </c>
      <c r="D21" s="151">
        <f ca="1">SUMIF(INDIRECT("'"&amp;D4&amp;"'"&amp;"!A:A"),结果表!B21,INDIRECT("'"&amp;D4&amp;"'"&amp;"!B:B"))</f>
        <v>18686</v>
      </c>
      <c r="E21" s="274"/>
      <c r="F21" s="280" t="s">
        <v>327</v>
      </c>
      <c r="G21" s="282">
        <f ca="1">ROUND(C21*$C$18+D21*$D$18,0)</f>
        <v>16866</v>
      </c>
      <c r="H21" s="1250" t="s">
        <v>326</v>
      </c>
      <c r="I21" s="311"/>
      <c r="J21" s="2025"/>
      <c r="K21" s="2025"/>
      <c r="L21" s="2025"/>
      <c r="M21" s="2025"/>
      <c r="N21" s="2025"/>
      <c r="O21" s="2025"/>
      <c r="P21" s="2025"/>
      <c r="Q21" s="2025"/>
      <c r="R21" s="2025"/>
      <c r="S21" s="2025"/>
      <c r="T21" s="2025"/>
      <c r="U21" s="2025"/>
      <c r="V21" s="2025"/>
    </row>
    <row r="22" spans="1:26" ht="15" thickBot="1">
      <c r="A22" s="126" t="s">
        <v>328</v>
      </c>
      <c r="B22" s="1251"/>
      <c r="C22" s="1252"/>
      <c r="D22" s="283">
        <f ca="1">IF(C19&lt;D19,D19/C19-1,C19/D19-1)</f>
        <v>0.32196385217156731</v>
      </c>
      <c r="E22" s="284"/>
      <c r="F22" s="285"/>
      <c r="G22" s="286">
        <f ca="1">ROUND(G19/('数据-汇总表'!D3/666.67),0)</f>
        <v>1124</v>
      </c>
      <c r="H22" s="287" t="s">
        <v>329</v>
      </c>
      <c r="I22" s="311"/>
      <c r="J22" s="2025"/>
      <c r="K22" s="2025"/>
      <c r="L22" s="2025"/>
      <c r="M22" s="2025"/>
      <c r="N22" s="2025"/>
      <c r="O22" s="2025"/>
      <c r="P22" s="2025"/>
      <c r="Q22" s="2025"/>
      <c r="R22" s="2025"/>
      <c r="S22" s="2025"/>
      <c r="T22" s="2025"/>
      <c r="U22" s="2025"/>
      <c r="V22" s="2025"/>
    </row>
    <row r="23" spans="1:26" ht="13.8" thickBot="1">
      <c r="A23" s="311"/>
      <c r="B23" s="311"/>
      <c r="C23" s="311"/>
      <c r="D23" s="311"/>
      <c r="E23" s="311"/>
      <c r="F23" s="311"/>
      <c r="G23" s="311"/>
      <c r="H23" s="311"/>
      <c r="I23" s="311"/>
      <c r="J23" s="2025"/>
      <c r="K23" s="2025"/>
      <c r="L23" s="2025"/>
      <c r="M23" s="2025"/>
      <c r="N23" s="2025"/>
      <c r="O23" s="2025"/>
      <c r="P23" s="2025"/>
      <c r="Q23" s="2025"/>
      <c r="R23" s="2025"/>
      <c r="S23" s="2025"/>
      <c r="T23" s="2025"/>
      <c r="U23" s="2025"/>
      <c r="V23" s="2025"/>
    </row>
    <row r="24" spans="1:26" ht="15" thickBot="1">
      <c r="A24" s="3314" t="s">
        <v>330</v>
      </c>
      <c r="B24" s="269" t="s">
        <v>322</v>
      </c>
      <c r="C24" s="288">
        <f>IF(B30=0,0,D30)</f>
        <v>0</v>
      </c>
      <c r="D24" s="289"/>
      <c r="E24" s="311"/>
      <c r="F24" s="311"/>
      <c r="G24" s="311"/>
      <c r="H24" s="311"/>
      <c r="I24" s="311"/>
      <c r="J24" s="2025"/>
      <c r="K24" s="2025"/>
      <c r="L24" s="2025"/>
      <c r="M24" s="2025"/>
      <c r="N24" s="2025"/>
      <c r="O24" s="2025"/>
      <c r="P24" s="2025"/>
      <c r="Q24" s="2025"/>
      <c r="R24" s="2025"/>
      <c r="S24" s="2025"/>
      <c r="T24" s="2025"/>
      <c r="U24" s="2025"/>
      <c r="V24" s="2025"/>
    </row>
    <row r="25" spans="1:26" ht="17.399999999999999">
      <c r="A25" s="3315"/>
      <c r="B25" s="1320" t="s">
        <v>331</v>
      </c>
      <c r="C25" s="290">
        <f>IF(B30=0,0,C30)</f>
        <v>0</v>
      </c>
      <c r="D25" s="291"/>
      <c r="E25" s="311"/>
      <c r="F25" s="311"/>
      <c r="G25" s="311"/>
      <c r="H25" s="311"/>
      <c r="I25" s="311"/>
      <c r="J25" s="2025"/>
      <c r="K25" s="1254" t="str">
        <f ca="1">项目基本情况!B16&amp;"国有建设用地使用权价格："&amp;O38&amp;"万元"</f>
        <v>出让国有建设用地使用权价格：110578万元</v>
      </c>
      <c r="L25" s="1255"/>
      <c r="M25" s="1255"/>
      <c r="N25" s="1255"/>
      <c r="O25" s="1256"/>
      <c r="P25" s="2025"/>
      <c r="Q25" s="2025"/>
      <c r="R25" s="2025"/>
      <c r="S25" s="2025"/>
      <c r="T25" s="2025"/>
      <c r="U25" s="2025"/>
      <c r="V25" s="2025"/>
    </row>
    <row r="26" spans="1:26" s="1253" customFormat="1" ht="17.399999999999999">
      <c r="A26" s="293" t="s">
        <v>332</v>
      </c>
      <c r="B26" s="294" t="s">
        <v>333</v>
      </c>
      <c r="C26" s="294" t="s">
        <v>334</v>
      </c>
      <c r="D26" s="295" t="s">
        <v>335</v>
      </c>
      <c r="E26" s="311"/>
      <c r="F26" s="311"/>
      <c r="G26" s="311"/>
      <c r="H26" s="311"/>
      <c r="I26" s="311"/>
      <c r="J26" s="2025"/>
      <c r="K26" s="1257" t="str">
        <f ca="1">"大写金额：人民币"&amp;NUMBERSTRING(INT(O38*10000),2)&amp;"元整"</f>
        <v>大写金额：人民币壹拾壹亿零伍佰柒拾捌万元整</v>
      </c>
      <c r="L26" s="1251"/>
      <c r="M26" s="1251"/>
      <c r="N26" s="1251"/>
      <c r="O26" s="1250"/>
      <c r="P26" s="2025"/>
      <c r="Q26" s="2025"/>
      <c r="R26" s="2025"/>
      <c r="S26" s="2025"/>
      <c r="T26" s="2025"/>
      <c r="U26" s="2025"/>
      <c r="V26" s="2025"/>
      <c r="W26" s="292"/>
      <c r="X26" s="292"/>
      <c r="Y26" s="292"/>
      <c r="Z26" s="292"/>
    </row>
    <row r="27" spans="1:26" ht="17.399999999999999">
      <c r="A27" s="3189"/>
      <c r="B27" s="307"/>
      <c r="C27" s="294"/>
      <c r="D27" s="295"/>
      <c r="E27" s="311"/>
      <c r="F27" s="311"/>
      <c r="G27" s="311"/>
      <c r="H27" s="311"/>
      <c r="I27" s="311"/>
      <c r="J27" s="2025"/>
      <c r="K27" s="1257" t="str">
        <f ca="1">"单位面积地价："&amp;M38&amp;"元/平方米"</f>
        <v>单位面积地价：16865元/平方米</v>
      </c>
      <c r="L27" s="1251"/>
      <c r="M27" s="1251"/>
      <c r="N27" s="1251"/>
      <c r="O27" s="1250"/>
      <c r="P27" s="2025"/>
      <c r="Q27" s="2025"/>
      <c r="R27" s="2025"/>
      <c r="S27" s="2025"/>
      <c r="T27" s="2025"/>
      <c r="U27" s="2025"/>
      <c r="V27" s="2025"/>
    </row>
    <row r="28" spans="1:26" ht="18.75" customHeight="1">
      <c r="A28" s="293"/>
      <c r="B28" s="294"/>
      <c r="C28" s="294"/>
      <c r="D28" s="295"/>
      <c r="E28" s="311"/>
      <c r="F28" s="311"/>
      <c r="G28" s="311"/>
      <c r="H28" s="311"/>
      <c r="I28" s="311"/>
      <c r="J28" s="2025"/>
      <c r="K28" s="1257" t="str">
        <f ca="1">"楼面地价："&amp;N38&amp;"元/平方米"</f>
        <v>楼面地价：4657元/平方米</v>
      </c>
      <c r="L28" s="1251"/>
      <c r="M28" s="1251"/>
      <c r="N28" s="1251"/>
      <c r="O28" s="1250"/>
      <c r="P28" s="2025"/>
      <c r="V28" s="2025"/>
    </row>
    <row r="29" spans="1:26" ht="17.399999999999999">
      <c r="A29" s="293"/>
      <c r="B29" s="294"/>
      <c r="C29" s="294"/>
      <c r="D29" s="295"/>
      <c r="E29" s="311"/>
      <c r="F29" s="311"/>
      <c r="G29" s="311"/>
      <c r="H29" s="311"/>
      <c r="I29" s="311"/>
      <c r="J29" s="2025"/>
      <c r="K29" s="1257" t="str">
        <f ca="1">IF(OR(项目基本情况!E8="抵押价格",项目基本情况!E8="已注销及未注销"),"抵押价格："&amp;O39&amp;"万元","——")</f>
        <v>抵押价格：110578万元</v>
      </c>
      <c r="L29" s="1251"/>
      <c r="M29" s="1251"/>
      <c r="N29" s="1251"/>
      <c r="O29" s="1250"/>
      <c r="P29" s="2025"/>
      <c r="V29" s="2025"/>
    </row>
    <row r="30" spans="1:26" ht="18" thickBot="1">
      <c r="A30" s="3156" t="s">
        <v>336</v>
      </c>
      <c r="B30" s="307"/>
      <c r="C30" s="294"/>
      <c r="D30" s="295"/>
      <c r="E30" s="3157" t="s">
        <v>2967</v>
      </c>
      <c r="F30" s="311"/>
      <c r="G30" s="311"/>
      <c r="H30" s="311"/>
      <c r="I30" s="311"/>
      <c r="J30" s="2025"/>
      <c r="K30" s="1257" t="str">
        <f ca="1">IF(K29="——","——","大写金额：人民币"&amp;NUMBERSTRING(INT(O39*10000),2)&amp;"元整")</f>
        <v>大写金额：人民币壹拾壹亿零伍佰柒拾捌万元整</v>
      </c>
      <c r="L30" s="1251"/>
      <c r="M30" s="1251"/>
      <c r="N30" s="1251"/>
      <c r="O30" s="1250"/>
      <c r="P30" s="2025"/>
      <c r="V30" s="2025"/>
    </row>
    <row r="31" spans="1:26" ht="24" customHeight="1" thickBot="1">
      <c r="A31" s="311"/>
      <c r="B31" s="311"/>
      <c r="C31" s="311"/>
      <c r="D31" s="311"/>
      <c r="E31" s="311"/>
      <c r="F31" s="311"/>
      <c r="G31" s="311"/>
      <c r="H31" s="311"/>
      <c r="I31" s="311"/>
      <c r="J31" s="2025"/>
      <c r="K31" s="2489" t="str">
        <f>IF(项目基本情况!E8="抵押价格","——","抵押担保权已注销时的抵押价格："&amp;O40&amp;"万元")</f>
        <v>——</v>
      </c>
      <c r="L31" s="2485"/>
      <c r="M31" s="2485"/>
      <c r="N31" s="2485"/>
      <c r="O31" s="2486"/>
      <c r="P31" s="2025"/>
      <c r="V31" s="2025"/>
    </row>
    <row r="32" spans="1:26" ht="18" thickBot="1">
      <c r="A32" s="268" t="s">
        <v>337</v>
      </c>
      <c r="B32" s="1378" t="s">
        <v>1688</v>
      </c>
      <c r="C32" s="1379">
        <f ca="1">G19-C24</f>
        <v>110578</v>
      </c>
      <c r="D32" s="1380" t="s">
        <v>1689</v>
      </c>
      <c r="E32" s="311"/>
      <c r="F32" s="311"/>
      <c r="G32" s="311"/>
      <c r="H32" s="311"/>
      <c r="I32" s="311"/>
      <c r="J32" s="2025"/>
      <c r="K32" s="2484" t="str">
        <f>IF(K31="——","——","大写金额：人民币"&amp;NUMBERSTRING(INT(O40*10000),2)&amp;"元整")</f>
        <v>——</v>
      </c>
      <c r="L32" s="2487"/>
      <c r="M32" s="2487"/>
      <c r="N32" s="2487"/>
      <c r="O32" s="2488"/>
      <c r="P32" s="2025"/>
      <c r="V32" s="2025"/>
    </row>
    <row r="33" spans="1:26" ht="18" thickBot="1">
      <c r="A33" s="298" t="s">
        <v>340</v>
      </c>
      <c r="B33" s="1381" t="s">
        <v>1690</v>
      </c>
      <c r="C33" s="264">
        <f ca="1">ROUND(C32*10000/'数据-汇总表'!E3,0)</f>
        <v>4657</v>
      </c>
      <c r="D33" s="1382" t="s">
        <v>1691</v>
      </c>
      <c r="E33" s="3314" t="s">
        <v>338</v>
      </c>
      <c r="F33" s="296" t="s">
        <v>339</v>
      </c>
      <c r="G33" s="297"/>
      <c r="H33" s="979"/>
      <c r="I33" s="1258"/>
      <c r="J33" s="2025"/>
      <c r="K33" s="1257" t="str">
        <f>IF(项目基本情况!E9="——","——","抵押净值："&amp;C46&amp;"万元")</f>
        <v>——</v>
      </c>
      <c r="L33" s="1251"/>
      <c r="M33" s="1251"/>
      <c r="N33" s="1251"/>
      <c r="O33" s="1250"/>
      <c r="P33" s="2025"/>
      <c r="V33" s="2025"/>
    </row>
    <row r="34" spans="1:26" s="1253" customFormat="1" ht="18" thickBot="1">
      <c r="A34" s="300"/>
      <c r="B34" s="1383" t="s">
        <v>1692</v>
      </c>
      <c r="C34" s="264">
        <f ca="1">ROUND(C32*10000/'数据-汇总表'!D3,0)</f>
        <v>16865</v>
      </c>
      <c r="D34" s="1384" t="s">
        <v>1691</v>
      </c>
      <c r="E34" s="3355"/>
      <c r="F34" s="127" t="s">
        <v>341</v>
      </c>
      <c r="G34" s="299"/>
      <c r="H34" s="105"/>
      <c r="I34" s="311"/>
      <c r="J34" s="2025"/>
      <c r="K34" s="1260" t="str">
        <f>IF(K33="——","——","大写金额：人民币"&amp;NUMBERSTRING(INT(O41*10000),2)&amp;"元整")</f>
        <v>——</v>
      </c>
      <c r="L34" s="1261"/>
      <c r="M34" s="1261"/>
      <c r="N34" s="1261"/>
      <c r="O34" s="1262"/>
      <c r="P34" s="2025"/>
      <c r="Q34" s="292"/>
      <c r="R34" s="292"/>
      <c r="S34" s="292"/>
      <c r="T34" s="292"/>
      <c r="U34" s="292"/>
      <c r="V34" s="2025"/>
      <c r="W34" s="292"/>
      <c r="X34" s="292"/>
      <c r="Y34" s="292"/>
      <c r="Z34" s="292"/>
    </row>
    <row r="35" spans="1:26" ht="15" thickBot="1">
      <c r="A35" s="284"/>
      <c r="B35" s="1385"/>
      <c r="C35" s="1386">
        <f ca="1">ROUND(C32/('数据-汇总表'!D3/666.67),0)</f>
        <v>1124</v>
      </c>
      <c r="D35" s="1387" t="s">
        <v>1693</v>
      </c>
      <c r="E35" s="3356"/>
      <c r="F35" s="301" t="s">
        <v>342</v>
      </c>
      <c r="G35" s="981"/>
      <c r="H35" s="980" t="s">
        <v>343</v>
      </c>
      <c r="I35" s="311"/>
      <c r="J35" s="2025"/>
      <c r="K35" s="3329" t="s">
        <v>350</v>
      </c>
      <c r="L35" s="3329" t="s">
        <v>351</v>
      </c>
      <c r="M35" s="1263" t="s">
        <v>352</v>
      </c>
      <c r="N35" s="3329" t="s">
        <v>353</v>
      </c>
      <c r="O35" s="3329" t="s">
        <v>354</v>
      </c>
      <c r="P35" s="2025"/>
      <c r="V35" s="2025"/>
    </row>
    <row r="36" spans="1:26" ht="16.5" customHeight="1">
      <c r="A36" s="303" t="s">
        <v>344</v>
      </c>
      <c r="B36" s="304" t="s">
        <v>333</v>
      </c>
      <c r="C36" s="305" t="s">
        <v>345</v>
      </c>
      <c r="D36" s="305" t="s">
        <v>346</v>
      </c>
      <c r="E36" s="306" t="s">
        <v>347</v>
      </c>
      <c r="F36" s="311"/>
      <c r="G36" s="311"/>
      <c r="H36" s="311"/>
      <c r="I36" s="311"/>
      <c r="J36" s="2027"/>
      <c r="K36" s="3330"/>
      <c r="L36" s="3330"/>
      <c r="M36" s="1265" t="s">
        <v>355</v>
      </c>
      <c r="N36" s="3330"/>
      <c r="O36" s="3330"/>
      <c r="P36" s="2025"/>
      <c r="V36" s="2025"/>
    </row>
    <row r="37" spans="1:26" ht="16.5" customHeight="1" thickBot="1">
      <c r="A37" s="1259" t="s">
        <v>348</v>
      </c>
      <c r="B37" s="307"/>
      <c r="C37" s="294"/>
      <c r="D37" s="294"/>
      <c r="E37" s="295"/>
      <c r="F37" s="311"/>
      <c r="G37" s="311"/>
      <c r="H37" s="311"/>
      <c r="I37" s="311"/>
      <c r="J37" s="2027"/>
      <c r="K37" s="3331"/>
      <c r="L37" s="3331"/>
      <c r="M37" s="1266"/>
      <c r="N37" s="3331"/>
      <c r="O37" s="3331"/>
      <c r="P37" s="2025"/>
      <c r="Q37" s="3213" t="s">
        <v>3362</v>
      </c>
      <c r="V37" s="2025"/>
    </row>
    <row r="38" spans="1:26" ht="16.5" customHeight="1" thickBot="1">
      <c r="A38" s="1259" t="s">
        <v>349</v>
      </c>
      <c r="B38" s="307"/>
      <c r="C38" s="294"/>
      <c r="D38" s="294"/>
      <c r="E38" s="295"/>
      <c r="F38" s="311"/>
      <c r="G38" s="311"/>
      <c r="H38" s="311"/>
      <c r="I38" s="311"/>
      <c r="J38" s="2027"/>
      <c r="K38" s="1267">
        <f>'数据-汇总表'!D3</f>
        <v>65565</v>
      </c>
      <c r="L38" s="1268">
        <f>'数据-汇总表'!E3</f>
        <v>237470</v>
      </c>
      <c r="M38" s="1268">
        <f ca="1">C34</f>
        <v>16865</v>
      </c>
      <c r="N38" s="1268">
        <f ca="1">C33</f>
        <v>4657</v>
      </c>
      <c r="O38" s="1269">
        <f ca="1">C32</f>
        <v>110578</v>
      </c>
      <c r="P38" s="2025"/>
      <c r="Q38" s="3213">
        <v>120993</v>
      </c>
      <c r="R38" s="257">
        <f ca="1">Q38-O38</f>
        <v>10415</v>
      </c>
      <c r="V38" s="2025"/>
    </row>
    <row r="39" spans="1:26" ht="16.5" customHeight="1" thickBot="1">
      <c r="A39" s="1264"/>
      <c r="B39" s="308"/>
      <c r="C39" s="309"/>
      <c r="D39" s="309"/>
      <c r="E39" s="310"/>
      <c r="F39" s="311"/>
      <c r="G39" s="311"/>
      <c r="H39" s="311"/>
      <c r="I39" s="311"/>
      <c r="J39" s="2027"/>
      <c r="K39" s="3374" t="str">
        <f>MID(A44,3,LEN(A44)-2)</f>
        <v>抵押价格</v>
      </c>
      <c r="L39" s="3375"/>
      <c r="M39" s="3375"/>
      <c r="N39" s="3376"/>
      <c r="O39" s="1389">
        <f ca="1">C44</f>
        <v>110578</v>
      </c>
      <c r="P39" s="2025"/>
      <c r="V39" s="2025"/>
    </row>
    <row r="40" spans="1:26" ht="18" thickBot="1">
      <c r="A40" s="104" t="s">
        <v>872</v>
      </c>
      <c r="B40" s="311"/>
      <c r="C40" s="311"/>
      <c r="D40" s="311"/>
      <c r="E40" s="311"/>
      <c r="F40" s="311"/>
      <c r="G40" s="311"/>
      <c r="H40" s="311"/>
      <c r="I40" s="311"/>
      <c r="J40" s="2027"/>
      <c r="K40" s="3374" t="str">
        <f t="shared" ref="K40:K41" si="0">MID(A45,3,LEN(A45)-2)</f>
        <v/>
      </c>
      <c r="L40" s="3375"/>
      <c r="M40" s="3375"/>
      <c r="N40" s="3376"/>
      <c r="O40" s="1389" t="str">
        <f>C45</f>
        <v>——</v>
      </c>
      <c r="P40" s="2025"/>
      <c r="V40" s="2025"/>
    </row>
    <row r="41" spans="1:26" ht="16.2" thickBot="1">
      <c r="A41" s="312" t="s">
        <v>356</v>
      </c>
      <c r="B41" s="313"/>
      <c r="C41" s="314" t="s">
        <v>357</v>
      </c>
      <c r="D41" s="315" t="s">
        <v>358</v>
      </c>
      <c r="E41" s="315" t="s">
        <v>359</v>
      </c>
      <c r="F41" s="316" t="s">
        <v>360</v>
      </c>
      <c r="G41" s="311"/>
      <c r="H41" s="311"/>
      <c r="I41" s="311"/>
      <c r="J41" s="2027"/>
      <c r="K41" s="3374" t="str">
        <f t="shared" si="0"/>
        <v/>
      </c>
      <c r="L41" s="3375"/>
      <c r="M41" s="3375"/>
      <c r="N41" s="3376"/>
      <c r="O41" s="1389" t="str">
        <f>C46</f>
        <v>——</v>
      </c>
      <c r="P41" s="2025"/>
      <c r="V41" s="2025"/>
    </row>
    <row r="42" spans="1:26" ht="31.2">
      <c r="A42" s="3316" t="s">
        <v>2068</v>
      </c>
      <c r="B42" s="3317"/>
      <c r="C42" s="264">
        <f ca="1">C32</f>
        <v>110578</v>
      </c>
      <c r="D42" s="317">
        <f ca="1">C33</f>
        <v>4657</v>
      </c>
      <c r="E42" s="317">
        <f ca="1">C34</f>
        <v>16865</v>
      </c>
      <c r="F42" s="318">
        <f ca="1">C35</f>
        <v>1124</v>
      </c>
      <c r="G42" s="311"/>
      <c r="H42" s="311"/>
      <c r="I42" s="319"/>
      <c r="J42" s="2027"/>
      <c r="K42" s="1270" t="s">
        <v>361</v>
      </c>
      <c r="L42" s="2044" t="s">
        <v>362</v>
      </c>
      <c r="M42" s="1271" t="s">
        <v>363</v>
      </c>
      <c r="N42" s="2045" t="s">
        <v>364</v>
      </c>
      <c r="O42" s="2046" t="s">
        <v>365</v>
      </c>
      <c r="P42" s="2025"/>
      <c r="V42" s="2025"/>
    </row>
    <row r="43" spans="1:26" ht="30">
      <c r="A43" s="3327" t="s">
        <v>2728</v>
      </c>
      <c r="B43" s="3328"/>
      <c r="C43" s="264">
        <f>IF(H33="正常操作",G33+G34+G35,G34+G35)</f>
        <v>0</v>
      </c>
      <c r="D43" s="317" t="s">
        <v>43</v>
      </c>
      <c r="E43" s="317" t="s">
        <v>44</v>
      </c>
      <c r="F43" s="318" t="s">
        <v>44</v>
      </c>
      <c r="G43" s="2887" t="s">
        <v>951</v>
      </c>
      <c r="H43" s="311"/>
      <c r="I43" s="319"/>
      <c r="J43" s="2027"/>
      <c r="K43" s="1272" t="str">
        <f>C4</f>
        <v>比较法-住宅、综合</v>
      </c>
      <c r="L43" s="1273">
        <f ca="1">IF(L42="估价结果/万元",C19,C20)</f>
        <v>92675</v>
      </c>
      <c r="M43" s="1274">
        <f>C18</f>
        <v>0.4</v>
      </c>
      <c r="N43" s="1275">
        <f ca="1">IF(N42="测算结果/万元",G19,G20)</f>
        <v>110578</v>
      </c>
      <c r="O43" s="1276">
        <f ca="1">IF(O42="最终结果/万元",C32,C33)</f>
        <v>110578</v>
      </c>
      <c r="P43" s="2025"/>
      <c r="V43" s="2025"/>
    </row>
    <row r="44" spans="1:26" ht="30.6" thickBot="1">
      <c r="A44" s="3316" t="str">
        <f>IF(OR(项目基本情况!E8="抵押价格",项目基本情况!E8="已注销及未注销"),"3.抵押价格","——")</f>
        <v>3.抵押价格</v>
      </c>
      <c r="B44" s="3317"/>
      <c r="C44" s="264">
        <f ca="1">IF(A44="——","——",C42-C43)</f>
        <v>110578</v>
      </c>
      <c r="D44" s="317">
        <f ca="1">ROUND(C44*10000/'数据-汇总表'!E3,0)</f>
        <v>4657</v>
      </c>
      <c r="E44" s="317">
        <f ca="1">ROUND(C44*10000/'数据-汇总表'!D3,0)</f>
        <v>16865</v>
      </c>
      <c r="F44" s="318">
        <f ca="1">ROUND(C44/('数据-汇总表'!D3/666.67),0)</f>
        <v>1124</v>
      </c>
      <c r="G44" s="311"/>
      <c r="H44" s="311"/>
      <c r="I44" s="319"/>
      <c r="J44" s="2027"/>
      <c r="K44" s="1277" t="str">
        <f>D4</f>
        <v>剩余法-待开发</v>
      </c>
      <c r="L44" s="1278">
        <f ca="1">IF(L42="估价结果/万元",D19,D20)</f>
        <v>122513</v>
      </c>
      <c r="M44" s="1279">
        <f>D18</f>
        <v>0.6</v>
      </c>
      <c r="N44" s="1280"/>
      <c r="O44" s="1281"/>
      <c r="P44" s="2025"/>
      <c r="V44" s="2025"/>
    </row>
    <row r="45" spans="1:26" ht="13.8">
      <c r="A45" s="3322" t="str">
        <f>IF(项目基本情况!E8="已注销及未注销","4.抵押担保权已注销时的抵押价格",IF(项目基本情况!E8="已注销","3.抵押担保权已注销时的抵押价格","——"))</f>
        <v>——</v>
      </c>
      <c r="B45" s="3323"/>
      <c r="C45" s="1800"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7"/>
      <c r="K45" s="2025"/>
      <c r="L45" s="2025"/>
      <c r="M45" s="2025"/>
      <c r="N45" s="2025"/>
      <c r="O45" s="2025"/>
      <c r="P45" s="2025"/>
      <c r="V45" s="2025"/>
    </row>
    <row r="46" spans="1:26" ht="14.4" thickBot="1">
      <c r="A46" s="3318" t="str">
        <f>IF(项目基本情况!E9="抵押净值",IF(A45="——","4.抵押净值","5.抵押净值"),"——")</f>
        <v>——</v>
      </c>
      <c r="B46" s="3319"/>
      <c r="C46" s="320" t="str">
        <f>IF(A46="——","——",O79)</f>
        <v>——</v>
      </c>
      <c r="D46" s="317" t="e">
        <f>ROUND(C46*10000/'数据-汇总表'!E3,0)</f>
        <v>#VALUE!</v>
      </c>
      <c r="E46" s="317" t="e">
        <f>ROUND(C46*10000/'数据-汇总表'!D3,0)</f>
        <v>#VALUE!</v>
      </c>
      <c r="F46" s="318" t="e">
        <f>ROUND(C46/('数据-汇总表'!D3/666.67),0)</f>
        <v>#VALUE!</v>
      </c>
      <c r="G46" s="311"/>
      <c r="H46" s="311"/>
      <c r="I46" s="319"/>
      <c r="J46" s="2027"/>
      <c r="K46" s="2025"/>
      <c r="L46" s="2025"/>
      <c r="M46" s="2025"/>
      <c r="N46" s="2025"/>
      <c r="O46" s="2025"/>
      <c r="P46" s="2025"/>
      <c r="Q46" s="2025"/>
      <c r="R46" s="2025"/>
      <c r="S46" s="2025"/>
      <c r="T46" s="2025"/>
      <c r="U46" s="2025"/>
      <c r="V46" s="2025"/>
    </row>
    <row r="47" spans="1:26" ht="15.6">
      <c r="A47" s="321" t="s">
        <v>366</v>
      </c>
      <c r="B47" s="1282"/>
      <c r="C47" s="322" t="s">
        <v>367</v>
      </c>
      <c r="D47" s="323"/>
      <c r="E47" s="323"/>
      <c r="F47" s="323"/>
      <c r="G47" s="324"/>
      <c r="H47" s="325"/>
      <c r="I47" s="326"/>
      <c r="J47" s="2027"/>
      <c r="K47" s="311"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3.2">
      <c r="A48" s="327">
        <v>1</v>
      </c>
      <c r="B48" s="328"/>
      <c r="C48" s="328"/>
      <c r="D48" s="323"/>
      <c r="E48" s="323"/>
      <c r="F48" s="323"/>
      <c r="G48" s="323"/>
      <c r="H48" s="329"/>
      <c r="I48" s="330"/>
      <c r="J48" s="2027"/>
      <c r="K48" s="2025"/>
      <c r="L48" s="2025"/>
      <c r="M48" s="2025"/>
      <c r="N48" s="2025"/>
      <c r="O48" s="2025"/>
      <c r="P48" s="2025"/>
      <c r="Q48" s="2025"/>
      <c r="R48" s="2025"/>
      <c r="S48" s="2025"/>
      <c r="T48" s="2025"/>
      <c r="U48" s="2025"/>
      <c r="V48" s="2025"/>
    </row>
    <row r="49" spans="1:22" ht="13.2">
      <c r="A49" s="327">
        <v>2</v>
      </c>
      <c r="B49" s="328"/>
      <c r="C49" s="328"/>
      <c r="D49" s="323"/>
      <c r="E49" s="323"/>
      <c r="F49" s="323"/>
      <c r="G49" s="323"/>
      <c r="H49" s="329"/>
      <c r="I49" s="330"/>
      <c r="J49" s="2028"/>
      <c r="K49" s="2025"/>
      <c r="L49" s="2025"/>
      <c r="M49" s="2025"/>
      <c r="N49" s="2025"/>
      <c r="O49" s="2025"/>
      <c r="P49" s="2025"/>
      <c r="Q49" s="2025"/>
      <c r="R49" s="2025"/>
      <c r="S49" s="2025"/>
      <c r="T49" s="2025"/>
      <c r="U49" s="2025"/>
      <c r="V49" s="2025"/>
    </row>
    <row r="50" spans="1:22" ht="13.2">
      <c r="A50" s="327">
        <v>3</v>
      </c>
      <c r="B50" s="328"/>
      <c r="C50" s="328"/>
      <c r="D50" s="323"/>
      <c r="E50" s="323"/>
      <c r="F50" s="323"/>
      <c r="G50" s="323"/>
      <c r="H50" s="329"/>
      <c r="I50" s="330"/>
      <c r="J50" s="2028"/>
      <c r="K50" s="2025"/>
      <c r="L50" s="2025"/>
      <c r="M50" s="2025"/>
      <c r="N50" s="2025"/>
      <c r="O50" s="2025"/>
      <c r="P50" s="2025"/>
      <c r="Q50" s="2025"/>
      <c r="R50" s="2025"/>
      <c r="S50" s="2025"/>
      <c r="T50" s="2025"/>
      <c r="U50" s="2025"/>
      <c r="V50" s="2025"/>
    </row>
    <row r="51" spans="1:22" ht="13.2">
      <c r="A51" s="331"/>
      <c r="B51" s="332"/>
      <c r="C51" s="332"/>
      <c r="D51" s="333"/>
      <c r="E51" s="333"/>
      <c r="F51" s="333"/>
      <c r="G51" s="333"/>
      <c r="H51" s="334"/>
      <c r="I51" s="335"/>
      <c r="J51" s="2028"/>
      <c r="K51" s="2025"/>
      <c r="L51" s="2025"/>
      <c r="M51" s="2025"/>
      <c r="N51" s="2025"/>
      <c r="O51" s="2025"/>
      <c r="P51" s="2025"/>
      <c r="Q51" s="2025"/>
      <c r="R51" s="2025"/>
      <c r="S51" s="2025"/>
      <c r="T51" s="2025"/>
      <c r="U51" s="2025"/>
      <c r="V51" s="2025"/>
    </row>
    <row r="52" spans="1:22" ht="13.2">
      <c r="A52" s="328"/>
      <c r="B52" s="328"/>
      <c r="C52" s="328"/>
      <c r="D52" s="323"/>
      <c r="E52" s="323"/>
      <c r="F52" s="323"/>
      <c r="G52" s="323"/>
      <c r="H52" s="329"/>
      <c r="I52" s="257"/>
      <c r="J52" s="2028"/>
      <c r="K52" s="2025"/>
      <c r="L52" s="2025"/>
      <c r="M52" s="2025"/>
      <c r="N52" s="2025"/>
      <c r="O52" s="2025"/>
      <c r="P52" s="2025"/>
      <c r="Q52" s="2025"/>
      <c r="R52" s="2025"/>
      <c r="S52" s="2025"/>
      <c r="T52" s="2025"/>
      <c r="U52" s="2025"/>
      <c r="V52" s="2025"/>
    </row>
    <row r="53" spans="1:22" ht="13.2">
      <c r="A53" s="257"/>
      <c r="B53" s="257"/>
      <c r="C53" s="257"/>
      <c r="D53" s="257"/>
      <c r="E53" s="257"/>
      <c r="F53" s="336" t="s">
        <v>368</v>
      </c>
      <c r="G53" s="337"/>
      <c r="H53" s="337"/>
      <c r="I53" s="338" t="s">
        <v>369</v>
      </c>
      <c r="J53" s="2028"/>
      <c r="K53" s="2025"/>
      <c r="L53" s="2025"/>
      <c r="M53" s="2025"/>
      <c r="N53" s="2025"/>
      <c r="O53" s="2025"/>
      <c r="P53" s="2025"/>
      <c r="Q53" s="2025"/>
      <c r="R53" s="2025"/>
      <c r="S53" s="2025"/>
      <c r="T53" s="2025"/>
      <c r="U53" s="2025"/>
      <c r="V53" s="2025"/>
    </row>
    <row r="54" spans="1:22" ht="13.2">
      <c r="A54" s="257"/>
      <c r="B54" s="339" t="s">
        <v>370</v>
      </c>
      <c r="C54" s="257"/>
      <c r="D54" s="257"/>
      <c r="E54" s="257"/>
      <c r="F54" s="257"/>
      <c r="G54" s="257"/>
      <c r="H54" s="257"/>
      <c r="I54" s="257"/>
      <c r="J54" s="2028"/>
      <c r="K54" s="2025"/>
      <c r="L54" s="2025"/>
      <c r="M54" s="2025"/>
      <c r="N54" s="2025"/>
      <c r="O54" s="2025"/>
      <c r="P54" s="2025"/>
      <c r="Q54" s="2025"/>
      <c r="R54" s="2025"/>
      <c r="S54" s="2025"/>
      <c r="T54" s="2025"/>
      <c r="U54" s="2025"/>
      <c r="V54" s="2025"/>
    </row>
    <row r="55" spans="1:22" ht="13.2">
      <c r="A55" s="257"/>
      <c r="B55" s="257"/>
      <c r="C55" s="257"/>
      <c r="D55" s="257"/>
      <c r="E55" s="257"/>
      <c r="F55" s="257"/>
      <c r="G55" s="257"/>
      <c r="H55" s="257"/>
      <c r="I55" s="257"/>
      <c r="J55" s="2028"/>
      <c r="K55" s="2025"/>
      <c r="L55" s="2025"/>
      <c r="M55" s="2025"/>
      <c r="N55" s="2025"/>
      <c r="O55" s="2025"/>
      <c r="P55" s="2025"/>
      <c r="Q55" s="2025"/>
      <c r="R55" s="2025"/>
      <c r="S55" s="2025"/>
      <c r="T55" s="2025"/>
      <c r="U55" s="2025"/>
      <c r="V55" s="2025"/>
    </row>
    <row r="56" spans="1:22" ht="13.2">
      <c r="A56" s="257"/>
      <c r="B56" s="337"/>
      <c r="C56" s="337"/>
      <c r="D56" s="337"/>
      <c r="E56" s="337"/>
      <c r="F56" s="337"/>
      <c r="G56" s="337"/>
      <c r="H56" s="337"/>
      <c r="I56" s="338" t="s">
        <v>371</v>
      </c>
      <c r="J56" s="2028"/>
      <c r="K56" s="2025"/>
      <c r="L56" s="2025"/>
      <c r="M56" s="2025"/>
      <c r="N56" s="2025"/>
      <c r="O56" s="2025"/>
      <c r="P56" s="2025"/>
      <c r="Q56" s="2025"/>
      <c r="R56" s="2025"/>
      <c r="S56" s="2025"/>
      <c r="T56" s="2025"/>
      <c r="U56" s="2025"/>
      <c r="V56" s="2025"/>
    </row>
    <row r="57" spans="1:22" ht="13.2">
      <c r="A57" s="257"/>
      <c r="B57" s="339" t="s">
        <v>372</v>
      </c>
      <c r="C57" s="257"/>
      <c r="D57" s="257"/>
      <c r="E57" s="257"/>
      <c r="F57" s="257"/>
      <c r="G57" s="257"/>
      <c r="H57" s="257"/>
      <c r="I57" s="257"/>
      <c r="J57" s="2028"/>
      <c r="K57" s="2025"/>
      <c r="L57" s="2025"/>
      <c r="M57" s="2025"/>
      <c r="N57" s="2025"/>
      <c r="O57" s="2025"/>
      <c r="P57" s="2025"/>
      <c r="Q57" s="2025"/>
      <c r="R57" s="2025"/>
      <c r="S57" s="2025"/>
      <c r="T57" s="2025"/>
      <c r="U57" s="2025"/>
      <c r="V57" s="2025"/>
    </row>
    <row r="58" spans="1:22" ht="13.2">
      <c r="A58" s="257"/>
      <c r="B58" s="339"/>
      <c r="C58" s="257"/>
      <c r="D58" s="257"/>
      <c r="E58" s="257"/>
      <c r="F58" s="257"/>
      <c r="G58" s="257"/>
      <c r="H58" s="257"/>
      <c r="I58" s="257"/>
      <c r="J58" s="2028"/>
      <c r="K58" s="2025"/>
      <c r="L58" s="2025"/>
      <c r="M58" s="2025"/>
      <c r="N58" s="2025"/>
      <c r="O58" s="2025"/>
      <c r="P58" s="2025"/>
      <c r="Q58" s="2025"/>
      <c r="R58" s="2025"/>
      <c r="S58" s="2025"/>
      <c r="T58" s="2025"/>
      <c r="U58" s="2025"/>
      <c r="V58" s="2025"/>
    </row>
    <row r="59" spans="1:22" ht="13.2">
      <c r="A59" s="257"/>
      <c r="B59" s="337"/>
      <c r="C59" s="337"/>
      <c r="D59" s="337"/>
      <c r="E59" s="337"/>
      <c r="F59" s="337"/>
      <c r="G59" s="337"/>
      <c r="H59" s="337"/>
      <c r="I59" s="338" t="s">
        <v>371</v>
      </c>
      <c r="J59" s="2028"/>
      <c r="K59" s="2025"/>
      <c r="L59" s="2025"/>
      <c r="M59" s="2025"/>
      <c r="N59" s="2025"/>
      <c r="O59" s="2025"/>
      <c r="P59" s="2025"/>
      <c r="Q59" s="2025"/>
      <c r="R59" s="2025"/>
      <c r="S59" s="2025"/>
      <c r="T59" s="2025"/>
      <c r="U59" s="2025"/>
      <c r="V59" s="2025"/>
    </row>
    <row r="60" spans="1:22" ht="13.2">
      <c r="A60" s="257"/>
      <c r="B60" s="257"/>
      <c r="C60" s="257"/>
      <c r="D60" s="257"/>
      <c r="E60" s="257"/>
      <c r="F60" s="257"/>
      <c r="G60" s="257"/>
      <c r="H60" s="257"/>
      <c r="I60" s="257"/>
      <c r="J60" s="2028"/>
      <c r="K60" s="2025"/>
      <c r="L60" s="2025"/>
      <c r="M60" s="2025"/>
      <c r="N60" s="2025"/>
      <c r="O60" s="2025"/>
      <c r="P60" s="2025"/>
      <c r="Q60" s="2025"/>
      <c r="R60" s="2025"/>
      <c r="S60" s="2025"/>
      <c r="T60" s="2025"/>
      <c r="U60" s="2025"/>
      <c r="V60" s="2025"/>
    </row>
    <row r="61" spans="1:22" ht="13.2">
      <c r="A61" s="257"/>
      <c r="B61" s="339"/>
      <c r="C61" s="340"/>
      <c r="D61" s="216"/>
      <c r="E61" s="216"/>
      <c r="F61" s="253"/>
      <c r="G61" s="257"/>
      <c r="H61" s="257"/>
      <c r="I61" s="257"/>
      <c r="J61" s="2028"/>
      <c r="K61" s="2025"/>
      <c r="L61" s="2025"/>
      <c r="M61" s="2025"/>
      <c r="N61" s="2025"/>
      <c r="O61" s="2025"/>
      <c r="P61" s="2025"/>
      <c r="Q61" s="2025"/>
      <c r="R61" s="2025"/>
      <c r="S61" s="2025"/>
      <c r="T61" s="2025"/>
      <c r="U61" s="2025"/>
      <c r="V61" s="2025"/>
    </row>
    <row r="62" spans="1:22" ht="17.399999999999999">
      <c r="A62" s="1283" t="s">
        <v>373</v>
      </c>
      <c r="B62" s="1284"/>
      <c r="C62" s="1284"/>
      <c r="D62" s="1285"/>
      <c r="E62" s="1285"/>
      <c r="F62" s="1286"/>
      <c r="G62" s="1286"/>
      <c r="H62" s="1286"/>
      <c r="I62" s="1286"/>
      <c r="J62" s="2029"/>
      <c r="K62" s="2025"/>
      <c r="L62" s="2025"/>
      <c r="M62" s="2025"/>
      <c r="N62" s="2025"/>
      <c r="O62" s="2025"/>
      <c r="P62" s="2025"/>
      <c r="Q62" s="2025"/>
      <c r="R62" s="2025"/>
      <c r="S62" s="2025"/>
      <c r="T62" s="2025"/>
      <c r="U62" s="2025"/>
      <c r="V62" s="2025"/>
    </row>
    <row r="63" spans="1:22" ht="14.25" customHeight="1" thickBot="1">
      <c r="A63" s="3363" t="s">
        <v>374</v>
      </c>
      <c r="B63" s="3364"/>
      <c r="C63" s="3365"/>
      <c r="D63" s="341">
        <f ca="1">ROUND(C42*F63,0)</f>
        <v>110578</v>
      </c>
      <c r="E63" s="302" t="s">
        <v>375</v>
      </c>
      <c r="F63" s="342">
        <v>1</v>
      </c>
      <c r="G63" s="343" t="s">
        <v>376</v>
      </c>
      <c r="H63" s="311"/>
      <c r="I63" s="311"/>
      <c r="J63" s="2025"/>
      <c r="K63" s="2025"/>
      <c r="L63" s="2025"/>
      <c r="M63" s="2025"/>
      <c r="N63" s="2025"/>
      <c r="O63" s="2025"/>
      <c r="P63" s="311"/>
      <c r="Q63" s="2025"/>
      <c r="R63" s="2025"/>
      <c r="S63" s="2025"/>
      <c r="T63" s="2025"/>
      <c r="U63" s="2025"/>
      <c r="V63" s="2025"/>
    </row>
    <row r="64" spans="1:22" ht="14.25" customHeight="1">
      <c r="A64" s="3324" t="s">
        <v>378</v>
      </c>
      <c r="B64" s="3325"/>
      <c r="C64" s="3325"/>
      <c r="D64" s="3325"/>
      <c r="E64" s="3325"/>
      <c r="F64" s="3325"/>
      <c r="G64" s="3326"/>
      <c r="H64" s="1287"/>
      <c r="I64" s="947"/>
      <c r="J64" s="1987"/>
      <c r="K64" s="1558" t="s">
        <v>377</v>
      </c>
      <c r="L64" s="11"/>
      <c r="M64" s="11"/>
      <c r="N64" s="11"/>
      <c r="O64" s="11"/>
      <c r="P64" s="311"/>
      <c r="Q64" s="2025"/>
      <c r="R64" s="2025"/>
      <c r="S64" s="2025"/>
      <c r="T64" s="2025"/>
      <c r="U64" s="2025"/>
      <c r="V64" s="2025"/>
    </row>
    <row r="65" spans="1:22" ht="12" customHeight="1">
      <c r="A65" s="344" t="s">
        <v>380</v>
      </c>
      <c r="B65" s="345"/>
      <c r="C65" s="346"/>
      <c r="D65" s="347" t="s">
        <v>381</v>
      </c>
      <c r="E65" s="53" t="s">
        <v>382</v>
      </c>
      <c r="F65" s="348" t="s">
        <v>383</v>
      </c>
      <c r="G65" s="349" t="s">
        <v>384</v>
      </c>
      <c r="H65" s="1287"/>
      <c r="I65" s="947"/>
      <c r="J65" s="1987"/>
      <c r="K65" s="1288"/>
      <c r="L65" s="1289"/>
      <c r="M65" s="1289"/>
      <c r="N65" s="1321" t="s">
        <v>379</v>
      </c>
      <c r="O65" s="1322"/>
      <c r="P65" s="1323"/>
      <c r="Q65" s="2025"/>
      <c r="R65" s="2025"/>
      <c r="S65" s="2025"/>
      <c r="T65" s="2025"/>
      <c r="U65" s="2025"/>
      <c r="V65" s="2025"/>
    </row>
    <row r="66" spans="1:22" ht="26.4">
      <c r="A66" s="3320" t="s">
        <v>386</v>
      </c>
      <c r="B66" s="3321"/>
      <c r="C66" s="3321"/>
      <c r="D66" s="261">
        <f ca="1">IF(H66="情况1",0,IF(H66="情况2",D70,IF(H66="情况3",D71,IF(H66="情况4",D72))))</f>
        <v>5897</v>
      </c>
      <c r="E66" s="992" t="str">
        <f>IF(H66="情况4","(销售额-原购置价)×税（费）率","销售额×税（费）率")</f>
        <v>销售额×税（费）率</v>
      </c>
      <c r="F66" s="350">
        <f>IF(H66="情况1","免征",'数据-取费表'!B41)</f>
        <v>5.6000000000000001E-2</v>
      </c>
      <c r="G66" s="351" t="s">
        <v>387</v>
      </c>
      <c r="H66" s="191" t="s">
        <v>388</v>
      </c>
      <c r="I66" s="1287"/>
      <c r="J66" s="2031"/>
      <c r="K66" s="1290">
        <v>1</v>
      </c>
      <c r="L66" s="3378" t="s">
        <v>385</v>
      </c>
      <c r="M66" s="3379"/>
      <c r="N66" s="2479"/>
      <c r="O66" s="2480"/>
      <c r="P66" s="2481"/>
      <c r="Q66" s="2025"/>
      <c r="R66" s="2025"/>
      <c r="S66" s="2025"/>
      <c r="T66" s="2025"/>
      <c r="U66" s="2025"/>
      <c r="V66" s="2025"/>
    </row>
    <row r="67" spans="1:22" ht="25.5" customHeight="1">
      <c r="A67" s="352" t="s">
        <v>390</v>
      </c>
      <c r="B67" s="3311" t="s">
        <v>391</v>
      </c>
      <c r="C67" s="3311"/>
      <c r="D67" s="353">
        <v>0</v>
      </c>
      <c r="E67" s="41" t="s">
        <v>392</v>
      </c>
      <c r="F67" s="62" t="s">
        <v>21</v>
      </c>
      <c r="G67" s="3366"/>
      <c r="H67" s="311"/>
      <c r="I67" s="1291"/>
      <c r="J67" s="2032"/>
      <c r="K67" s="1973">
        <v>2</v>
      </c>
      <c r="L67" s="3377" t="s">
        <v>389</v>
      </c>
      <c r="M67" s="3377"/>
      <c r="N67" s="1324">
        <f>'数据-取费表'!B2</f>
        <v>43507</v>
      </c>
      <c r="O67" s="1324"/>
      <c r="P67" s="1324"/>
      <c r="Q67" s="2025"/>
      <c r="R67" s="2025"/>
      <c r="S67" s="2025"/>
      <c r="T67" s="2025"/>
      <c r="U67" s="2025"/>
      <c r="V67" s="2025"/>
    </row>
    <row r="68" spans="1:22" ht="25.5" customHeight="1">
      <c r="A68" s="354"/>
      <c r="B68" s="3311" t="s">
        <v>394</v>
      </c>
      <c r="C68" s="3311"/>
      <c r="D68" s="355"/>
      <c r="E68" s="77"/>
      <c r="F68" s="356"/>
      <c r="G68" s="3367"/>
      <c r="H68" s="311"/>
      <c r="I68" s="1291"/>
      <c r="J68" s="2032"/>
      <c r="K68" s="1973">
        <v>3</v>
      </c>
      <c r="L68" s="3377" t="s">
        <v>393</v>
      </c>
      <c r="M68" s="3377"/>
      <c r="N68" s="1292">
        <f ca="1">C42</f>
        <v>110578</v>
      </c>
      <c r="O68" s="1292"/>
      <c r="P68" s="1292"/>
      <c r="Q68" s="2025"/>
      <c r="R68" s="2025"/>
      <c r="S68" s="2025"/>
      <c r="T68" s="2025"/>
      <c r="U68" s="2025"/>
      <c r="V68" s="2025"/>
    </row>
    <row r="69" spans="1:22" ht="12" customHeight="1">
      <c r="A69" s="357"/>
      <c r="B69" s="3311" t="s">
        <v>395</v>
      </c>
      <c r="C69" s="3311"/>
      <c r="D69" s="358"/>
      <c r="E69" s="73"/>
      <c r="F69" s="356"/>
      <c r="G69" s="3368"/>
      <c r="H69" s="311"/>
      <c r="I69" s="1291"/>
      <c r="J69" s="2032"/>
      <c r="K69" s="1293">
        <v>4</v>
      </c>
      <c r="L69" s="3382" t="s">
        <v>2881</v>
      </c>
      <c r="M69" s="3383"/>
      <c r="N69" s="1294">
        <f ca="1">C44</f>
        <v>110578</v>
      </c>
      <c r="O69" s="1294"/>
      <c r="P69" s="1294"/>
      <c r="Q69" s="2025"/>
      <c r="R69" s="2025"/>
      <c r="S69" s="2025"/>
      <c r="T69" s="2025"/>
      <c r="U69" s="2025"/>
      <c r="V69" s="2025"/>
    </row>
    <row r="70" spans="1:22" ht="24" customHeight="1">
      <c r="A70" s="359" t="s">
        <v>396</v>
      </c>
      <c r="B70" s="3311" t="s">
        <v>397</v>
      </c>
      <c r="C70" s="3311"/>
      <c r="D70" s="358">
        <f ca="1">ROUND(D63*'数据-取费表'!B41/(1+'数据-取费表'!C42),0)</f>
        <v>5897</v>
      </c>
      <c r="E70" s="17" t="s">
        <v>398</v>
      </c>
      <c r="F70" s="360">
        <f>'数据-取费表'!B41</f>
        <v>5.6000000000000001E-2</v>
      </c>
      <c r="G70" s="361"/>
      <c r="H70" s="311"/>
      <c r="I70" s="1291"/>
      <c r="J70" s="2032"/>
      <c r="K70" s="3083"/>
      <c r="L70" s="3084"/>
      <c r="M70" s="3084"/>
      <c r="N70" s="3085" t="s">
        <v>2886</v>
      </c>
      <c r="O70" s="3084"/>
      <c r="P70" s="3086"/>
      <c r="Q70" s="2025"/>
      <c r="R70" s="2025"/>
      <c r="S70" s="2025"/>
      <c r="T70" s="2025"/>
      <c r="U70" s="2025"/>
      <c r="V70" s="2025"/>
    </row>
    <row r="71" spans="1:22" ht="12" customHeight="1">
      <c r="A71" s="359" t="s">
        <v>404</v>
      </c>
      <c r="B71" s="3312" t="s">
        <v>405</v>
      </c>
      <c r="C71" s="3313"/>
      <c r="D71" s="358">
        <f ca="1">ROUND(D63*'数据-取费表'!B41/(1+'数据-取费表'!C42),0)</f>
        <v>5897</v>
      </c>
      <c r="E71" s="17" t="s">
        <v>398</v>
      </c>
      <c r="F71" s="360">
        <f>'数据-取费表'!B41</f>
        <v>5.6000000000000001E-2</v>
      </c>
      <c r="G71" s="361"/>
      <c r="H71" s="311"/>
      <c r="I71" s="1291"/>
      <c r="J71" s="2032"/>
      <c r="K71" s="3082" t="s">
        <v>399</v>
      </c>
      <c r="L71" s="3384" t="s">
        <v>400</v>
      </c>
      <c r="M71" s="3384"/>
      <c r="N71" s="3082" t="s">
        <v>401</v>
      </c>
      <c r="O71" s="3082" t="s">
        <v>402</v>
      </c>
      <c r="P71" s="3082" t="s">
        <v>403</v>
      </c>
      <c r="Q71" s="2025"/>
      <c r="R71" s="2025"/>
      <c r="S71" s="2025"/>
      <c r="T71" s="2025"/>
      <c r="U71" s="2025"/>
      <c r="V71" s="2025"/>
    </row>
    <row r="72" spans="1:22" ht="12" customHeight="1">
      <c r="A72" s="359" t="s">
        <v>407</v>
      </c>
      <c r="B72" s="3312" t="s">
        <v>408</v>
      </c>
      <c r="C72" s="3313"/>
      <c r="D72" s="358">
        <f ca="1">C86</f>
        <v>5785</v>
      </c>
      <c r="E72" s="73" t="s">
        <v>409</v>
      </c>
      <c r="F72" s="360">
        <f>'数据-取费表'!B41</f>
        <v>5.6000000000000001E-2</v>
      </c>
      <c r="G72" s="361"/>
      <c r="H72" s="1297"/>
      <c r="I72" s="1291"/>
      <c r="J72" s="2032"/>
      <c r="K72" s="1973">
        <v>1</v>
      </c>
      <c r="L72" s="3359" t="s">
        <v>406</v>
      </c>
      <c r="M72" s="3359"/>
      <c r="N72" s="1295">
        <f ca="1">D66</f>
        <v>5897</v>
      </c>
      <c r="O72" s="1856" t="str">
        <f>E66</f>
        <v>销售额×税（费）率</v>
      </c>
      <c r="P72" s="1296">
        <f>F66</f>
        <v>5.6000000000000001E-2</v>
      </c>
      <c r="Q72" s="2025"/>
      <c r="R72" s="2025"/>
      <c r="S72" s="2025"/>
      <c r="T72" s="2025"/>
      <c r="U72" s="2025"/>
      <c r="V72" s="2025"/>
    </row>
    <row r="73" spans="1:22" ht="24" customHeight="1">
      <c r="A73" s="3353" t="s">
        <v>411</v>
      </c>
      <c r="B73" s="3321"/>
      <c r="C73" s="3321"/>
      <c r="D73" s="362">
        <f ca="1">IF(H73="个人住宅",0,ROUND(D63*I73,0))</f>
        <v>55</v>
      </c>
      <c r="E73" s="17" t="s">
        <v>412</v>
      </c>
      <c r="F73" s="360">
        <f>IF(H73="正常",I73,"免征")</f>
        <v>5.0000000000000001E-4</v>
      </c>
      <c r="G73" s="361"/>
      <c r="H73" s="191" t="s">
        <v>3120</v>
      </c>
      <c r="I73" s="360">
        <f>'数据-取费表'!B49</f>
        <v>5.0000000000000001E-4</v>
      </c>
      <c r="J73" s="2032"/>
      <c r="K73" s="1973">
        <v>2</v>
      </c>
      <c r="L73" s="3359" t="s">
        <v>410</v>
      </c>
      <c r="M73" s="3359"/>
      <c r="N73" s="1295">
        <f t="shared" ref="N73:P74" ca="1" si="1">D73</f>
        <v>55</v>
      </c>
      <c r="O73" s="1856" t="str">
        <f t="shared" si="1"/>
        <v>销售额×税（费）率</v>
      </c>
      <c r="P73" s="1296">
        <f t="shared" si="1"/>
        <v>5.0000000000000001E-4</v>
      </c>
      <c r="Q73" s="2025"/>
      <c r="R73" s="2025"/>
      <c r="S73" s="2025"/>
      <c r="T73" s="2025"/>
      <c r="U73" s="2025"/>
      <c r="V73" s="2025"/>
    </row>
    <row r="74" spans="1:22" ht="25.2">
      <c r="A74" s="3353" t="s">
        <v>414</v>
      </c>
      <c r="B74" s="3321"/>
      <c r="C74" s="3321"/>
      <c r="D74" s="362">
        <f ca="1">IF(H74="个人住宅",D75,D76)</f>
        <v>25709</v>
      </c>
      <c r="E74" s="17" t="s">
        <v>415</v>
      </c>
      <c r="F74" s="360" t="str">
        <f>IF(H74="正常",F76,"免征")</f>
        <v>——</v>
      </c>
      <c r="G74" s="982" t="s">
        <v>416</v>
      </c>
      <c r="H74" s="363" t="s">
        <v>3120</v>
      </c>
      <c r="I74" s="42"/>
      <c r="J74" s="2032"/>
      <c r="K74" s="1973">
        <v>3</v>
      </c>
      <c r="L74" s="3359" t="s">
        <v>413</v>
      </c>
      <c r="M74" s="3359"/>
      <c r="N74" s="1295">
        <f t="shared" ca="1" si="1"/>
        <v>25709</v>
      </c>
      <c r="O74" s="1856" t="str">
        <f t="shared" si="1"/>
        <v>增值额×税（费）率</v>
      </c>
      <c r="P74" s="1298" t="str">
        <f t="shared" si="1"/>
        <v>——</v>
      </c>
      <c r="Q74" s="2025"/>
      <c r="R74" s="2025"/>
      <c r="S74" s="2025"/>
      <c r="T74" s="2025"/>
      <c r="U74" s="2025"/>
      <c r="V74" s="2025"/>
    </row>
    <row r="75" spans="1:22" ht="24">
      <c r="A75" s="359" t="s">
        <v>417</v>
      </c>
      <c r="B75" s="3309" t="s">
        <v>418</v>
      </c>
      <c r="C75" s="3339"/>
      <c r="D75" s="364">
        <v>0</v>
      </c>
      <c r="E75" s="41" t="s">
        <v>419</v>
      </c>
      <c r="F75" s="365"/>
      <c r="G75" s="361"/>
      <c r="H75" s="42"/>
      <c r="I75" s="42"/>
      <c r="J75" s="2032"/>
      <c r="K75" s="3075">
        <f>IF(H77="非个人房产","",4)</f>
        <v>4</v>
      </c>
      <c r="L75" s="3359" t="str">
        <f>IF(H77="非个人房产","——","个人所得税")</f>
        <v>个人所得税</v>
      </c>
      <c r="M75" s="3359"/>
      <c r="N75" s="1299">
        <f ca="1">D77</f>
        <v>1106</v>
      </c>
      <c r="O75" s="1869" t="str">
        <f>E77</f>
        <v>销售额×税（费）率</v>
      </c>
      <c r="P75" s="1300">
        <f>F77</f>
        <v>0.01</v>
      </c>
      <c r="Q75" s="2025"/>
      <c r="R75" s="2025"/>
      <c r="S75" s="2025"/>
      <c r="T75" s="2025"/>
      <c r="U75" s="2025"/>
      <c r="V75" s="2025"/>
    </row>
    <row r="76" spans="1:22" ht="25.2">
      <c r="A76" s="359" t="s">
        <v>396</v>
      </c>
      <c r="B76" s="3309" t="s">
        <v>421</v>
      </c>
      <c r="C76" s="3310"/>
      <c r="D76" s="362">
        <f ca="1">IF(H76="转让取得",C99,C115)</f>
        <v>25709</v>
      </c>
      <c r="E76" s="17" t="s">
        <v>422</v>
      </c>
      <c r="F76" s="53" t="s">
        <v>21</v>
      </c>
      <c r="G76" s="361"/>
      <c r="H76" s="363" t="s">
        <v>423</v>
      </c>
      <c r="I76" s="42"/>
      <c r="J76" s="2032"/>
      <c r="K76" s="3075" t="str">
        <f>IF(项目基本情况!K6="上海银行",IF(K75="",4,K75+1),"")</f>
        <v/>
      </c>
      <c r="L76" s="3370" t="str">
        <f>IF(项目基本情况!K6="上海银行","其他处置费用","")</f>
        <v/>
      </c>
      <c r="M76" s="3371"/>
      <c r="N76" s="1295" t="str">
        <f>IF(项目基本情况!K6="上海银行",N89,"")</f>
        <v/>
      </c>
      <c r="O76" s="3372" t="str">
        <f>IF(项目基本情况!K6="上海银行","包含处置中涉及的律师、诉讼、拍卖、评估等费用","")</f>
        <v/>
      </c>
      <c r="P76" s="3373"/>
      <c r="Q76" s="2025"/>
      <c r="R76" s="2025"/>
      <c r="S76" s="2025"/>
      <c r="T76" s="2025"/>
      <c r="U76" s="2025"/>
      <c r="V76" s="2025"/>
    </row>
    <row r="77" spans="1:22" ht="27" thickBot="1">
      <c r="A77" s="3361" t="s">
        <v>425</v>
      </c>
      <c r="B77" s="3362"/>
      <c r="C77" s="3362"/>
      <c r="D77" s="366">
        <f ca="1">IF(H77="非个人房产","——",IF(H77="个人住宅",0,ROUND(D63*I77,0)))</f>
        <v>1106</v>
      </c>
      <c r="E77" s="367" t="str">
        <f>IF(H77="非个人房产","——","销售额×税（费）率")</f>
        <v>销售额×税（费）率</v>
      </c>
      <c r="F77" s="368">
        <f>IF(H77="非个人房产","——",IF(H77="个人住宅","免征",I77))</f>
        <v>0.01</v>
      </c>
      <c r="G77" s="983" t="s">
        <v>416</v>
      </c>
      <c r="H77" s="363" t="s">
        <v>2882</v>
      </c>
      <c r="I77" s="369">
        <v>0.01</v>
      </c>
      <c r="J77" s="2032"/>
      <c r="K77" s="3360">
        <f>IF(AND(K75="",K76=""),4,IF(项目基本情况!K6="上海银行",K76+1,K75+1))</f>
        <v>5</v>
      </c>
      <c r="L77" s="3359" t="s">
        <v>2883</v>
      </c>
      <c r="M77" s="3081" t="s">
        <v>420</v>
      </c>
      <c r="N77" s="1301"/>
      <c r="O77" s="1302">
        <f ca="1">SUMIF(N72:N76,"&lt;9e307")</f>
        <v>32767</v>
      </c>
      <c r="P77" s="1303"/>
      <c r="Q77" s="3079">
        <f ca="1">O77/N69</f>
        <v>0.29632476622836368</v>
      </c>
      <c r="R77" s="2025"/>
      <c r="S77" s="2025"/>
      <c r="T77" s="2025"/>
      <c r="U77" s="2025"/>
      <c r="V77" s="2025"/>
    </row>
    <row r="78" spans="1:22" ht="12" customHeight="1">
      <c r="A78" s="1304"/>
      <c r="B78" s="311"/>
      <c r="C78" s="311"/>
      <c r="D78" s="311"/>
      <c r="E78" s="42"/>
      <c r="F78" s="42"/>
      <c r="G78" s="42"/>
      <c r="H78" s="1002"/>
      <c r="I78" s="311"/>
      <c r="J78" s="2032"/>
      <c r="K78" s="3360"/>
      <c r="L78" s="3359"/>
      <c r="M78" s="3081" t="s">
        <v>424</v>
      </c>
      <c r="N78" s="1301"/>
      <c r="O78" s="1302" t="str">
        <f ca="1">NUMBERSTRING(INT(O77*10000),2)&amp;"元整"</f>
        <v>叁亿贰仟柒佰陆拾柒万元整</v>
      </c>
      <c r="P78" s="1303"/>
      <c r="Q78" s="2025"/>
      <c r="R78" s="2025"/>
      <c r="S78" s="2025"/>
      <c r="T78" s="2025"/>
      <c r="U78" s="2025"/>
      <c r="V78" s="2025"/>
    </row>
    <row r="79" spans="1:22" ht="13.8" thickBot="1">
      <c r="A79" s="3354" t="s">
        <v>426</v>
      </c>
      <c r="B79" s="3354"/>
      <c r="C79" s="3354"/>
      <c r="D79" s="3354"/>
      <c r="E79" s="3354"/>
      <c r="F79" s="42"/>
      <c r="G79" s="42"/>
      <c r="H79" s="1002"/>
      <c r="I79" s="311"/>
      <c r="J79" s="2032"/>
      <c r="K79" s="3380">
        <f>K77+1</f>
        <v>6</v>
      </c>
      <c r="L79" s="3359" t="s">
        <v>2884</v>
      </c>
      <c r="M79" s="3081" t="s">
        <v>420</v>
      </c>
      <c r="N79" s="1301"/>
      <c r="O79" s="1302">
        <f ca="1">N69-O77</f>
        <v>77811</v>
      </c>
      <c r="P79" s="1303"/>
      <c r="Q79" s="2025"/>
      <c r="R79" s="2025"/>
      <c r="S79" s="2025"/>
      <c r="T79" s="2025"/>
      <c r="U79" s="2025"/>
      <c r="V79" s="2025"/>
    </row>
    <row r="80" spans="1:22" ht="26.4">
      <c r="A80" s="3349" t="s">
        <v>427</v>
      </c>
      <c r="B80" s="3350"/>
      <c r="C80" s="993"/>
      <c r="D80" s="993" t="s">
        <v>428</v>
      </c>
      <c r="E80" s="370" t="s">
        <v>429</v>
      </c>
      <c r="F80" s="42"/>
      <c r="G80" s="42"/>
      <c r="H80" s="1002"/>
      <c r="I80" s="311"/>
      <c r="J80" s="2025"/>
      <c r="K80" s="3381"/>
      <c r="L80" s="3359"/>
      <c r="M80" s="3081" t="s">
        <v>424</v>
      </c>
      <c r="N80" s="1301"/>
      <c r="O80" s="1302" t="str">
        <f ca="1">NUMBERSTRING(INT(O79*10000),2)&amp;"元整"</f>
        <v>柒亿柒仟捌佰壹拾壹万元整</v>
      </c>
      <c r="P80" s="1303"/>
      <c r="Q80" s="2025"/>
      <c r="R80" s="2025"/>
      <c r="S80" s="2025"/>
      <c r="T80" s="2025"/>
      <c r="U80" s="2025"/>
      <c r="V80" s="2025"/>
    </row>
    <row r="81" spans="1:26" ht="13.8" thickBot="1">
      <c r="A81" s="381" t="s">
        <v>1823</v>
      </c>
      <c r="B81" s="371" t="s">
        <v>430</v>
      </c>
      <c r="C81" s="372">
        <f ca="1">ROUND((C82+C83)/(1+'数据-取费表'!C42),0)</f>
        <v>105312</v>
      </c>
      <c r="D81" s="373"/>
      <c r="E81" s="374"/>
      <c r="F81" s="42"/>
      <c r="G81" s="42"/>
      <c r="H81" s="1002"/>
      <c r="I81" s="311"/>
      <c r="J81" s="2025"/>
      <c r="K81" s="3075">
        <f>K79+1</f>
        <v>7</v>
      </c>
      <c r="L81" s="3357" t="s">
        <v>2885</v>
      </c>
      <c r="M81" s="3358"/>
      <c r="N81" s="1305"/>
      <c r="O81" s="1306">
        <f ca="1">ROUND(O79*10000/'数据-汇总表'!E3,0)</f>
        <v>3277</v>
      </c>
      <c r="P81" s="1307"/>
      <c r="Q81" s="2025"/>
      <c r="R81" s="2025"/>
      <c r="S81" s="2025"/>
      <c r="T81" s="2025"/>
      <c r="U81" s="2025"/>
      <c r="V81" s="2025"/>
    </row>
    <row r="82" spans="1:26" ht="13.8" thickTop="1">
      <c r="A82" s="375" t="s">
        <v>1824</v>
      </c>
      <c r="B82" s="376" t="s">
        <v>431</v>
      </c>
      <c r="C82" s="377">
        <f ca="1">D63</f>
        <v>110578</v>
      </c>
      <c r="D82" s="378" t="s">
        <v>19</v>
      </c>
      <c r="E82" s="379"/>
      <c r="F82" s="42"/>
      <c r="G82" s="42"/>
      <c r="H82" s="1002"/>
      <c r="I82" s="311"/>
      <c r="J82" s="2025"/>
      <c r="K82" s="2025"/>
      <c r="L82" s="2025"/>
      <c r="M82" s="2025"/>
      <c r="N82" s="2025"/>
      <c r="O82" s="2025"/>
      <c r="P82" s="2025"/>
      <c r="Q82" s="2025"/>
      <c r="R82" s="2025"/>
      <c r="S82" s="2025"/>
      <c r="T82" s="2025"/>
      <c r="U82" s="2025"/>
      <c r="V82" s="2025"/>
    </row>
    <row r="83" spans="1:26" ht="13.2">
      <c r="A83" s="375" t="s">
        <v>1825</v>
      </c>
      <c r="B83" s="376" t="s">
        <v>432</v>
      </c>
      <c r="C83" s="380">
        <v>0</v>
      </c>
      <c r="D83" s="378"/>
      <c r="E83" s="379"/>
      <c r="F83" s="42"/>
      <c r="G83" s="42"/>
      <c r="H83" s="1002"/>
      <c r="I83" s="311"/>
      <c r="J83" s="2025"/>
      <c r="K83" s="3369" t="s">
        <v>2872</v>
      </c>
      <c r="L83" s="3087" t="s">
        <v>2873</v>
      </c>
      <c r="M83" s="3077">
        <f ca="1">IF(N69&gt;10000,N69*0.5%,IF(AND(N69&gt;1000,N69&lt;=10000),N69*1%,IF(AND(N69&gt;100,N69&lt;=1000),N69*3%,IF(AND(N69&gt;10,N69&lt;=100),N69*5%,N69*8%))))</f>
        <v>552.89</v>
      </c>
      <c r="N83" s="53">
        <f ca="1">ROUND(M83,1)</f>
        <v>552.9</v>
      </c>
      <c r="O83" s="3080"/>
      <c r="P83" s="2025"/>
      <c r="Q83" s="2025"/>
      <c r="R83" s="2025"/>
      <c r="S83" s="2025"/>
      <c r="T83" s="2025"/>
      <c r="U83" s="2025"/>
      <c r="V83" s="2025"/>
    </row>
    <row r="84" spans="1:26" ht="25.2">
      <c r="A84" s="381" t="s">
        <v>1826</v>
      </c>
      <c r="B84" s="382" t="s">
        <v>433</v>
      </c>
      <c r="C84" s="383">
        <v>2000</v>
      </c>
      <c r="D84" s="384" t="s">
        <v>19</v>
      </c>
      <c r="E84" s="3121" t="s">
        <v>2938</v>
      </c>
      <c r="F84" s="42"/>
      <c r="G84" s="42"/>
      <c r="H84" s="1002"/>
      <c r="I84" s="311"/>
      <c r="J84" s="2025"/>
      <c r="K84" s="3369"/>
      <c r="L84" s="3087" t="s">
        <v>2874</v>
      </c>
      <c r="M84" s="3077">
        <f ca="1">IF(N69&gt;2000,N69*0.5%,IF(AND(N69&gt;1000,N69&lt;=2000),N69*0.6%,IF(AND(N69&gt;500,N69&lt;=1000),N69*0.7%,IF(AND(N69&gt;200,N69&lt;=500),N69*0.8%,IF(AND(N69&gt;100,N69&lt;=200),N69*0.9%,IF(AND(N69&gt;50,N69&lt;=100),N69*1%,IF(AND(N69&gt;20,N69&lt;=50),N69*1.5%,IF(AND(N69&gt;10,N69&lt;=20),N69*2%,IF(AND(N69&gt;1,N69&lt;=10),N69*2.5%)))))))))</f>
        <v>552.89</v>
      </c>
      <c r="N84" s="53">
        <f t="shared" ref="N84:N85" ca="1" si="2">ROUND(M84,1)</f>
        <v>552.9</v>
      </c>
      <c r="O84" s="2025" t="s">
        <v>2875</v>
      </c>
      <c r="P84" s="2025"/>
      <c r="Q84" s="2025"/>
      <c r="R84" s="2025"/>
      <c r="S84" s="2025"/>
      <c r="T84" s="2025"/>
      <c r="U84" s="2025"/>
      <c r="V84" s="2025"/>
    </row>
    <row r="85" spans="1:26" ht="13.2">
      <c r="A85" s="381" t="s">
        <v>1827</v>
      </c>
      <c r="B85" s="382" t="s">
        <v>434</v>
      </c>
      <c r="C85" s="385">
        <f ca="1">C81-C84</f>
        <v>103312</v>
      </c>
      <c r="D85" s="378" t="s">
        <v>19</v>
      </c>
      <c r="E85" s="379"/>
      <c r="F85" s="42"/>
      <c r="G85" s="42"/>
      <c r="H85" s="1002"/>
      <c r="I85" s="311"/>
      <c r="J85" s="2025"/>
      <c r="K85" s="3369"/>
      <c r="L85" s="3087" t="s">
        <v>2876</v>
      </c>
      <c r="M85" s="3077">
        <f ca="1">IF(N69&gt;1000,N69*0.1%,IF(AND(N69&gt;500,N69&lt;=1000),N69*0.5%,IF(AND(N69&gt;50,N69&lt;=500),N69*1%,IF(AND(N69&gt;1,N69&lt;=50),N69*1.5%))))</f>
        <v>110.578</v>
      </c>
      <c r="N85" s="53">
        <f t="shared" ca="1" si="2"/>
        <v>110.6</v>
      </c>
      <c r="O85" s="2025" t="s">
        <v>2875</v>
      </c>
      <c r="P85" s="2025"/>
      <c r="Q85" s="2025"/>
      <c r="R85" s="2025"/>
      <c r="S85" s="2025"/>
      <c r="T85" s="2025"/>
      <c r="U85" s="2025"/>
      <c r="V85" s="2025"/>
    </row>
    <row r="86" spans="1:26" ht="13.8" thickBot="1">
      <c r="A86" s="386" t="s">
        <v>1828</v>
      </c>
      <c r="B86" s="387" t="s">
        <v>435</v>
      </c>
      <c r="C86" s="388">
        <f ca="1">IF(C85&lt;=0,0,ROUND(C85*D86,0))</f>
        <v>5785</v>
      </c>
      <c r="D86" s="389">
        <f>'数据-取费表'!B41</f>
        <v>5.6000000000000001E-2</v>
      </c>
      <c r="E86" s="390"/>
      <c r="F86" s="42"/>
      <c r="G86" s="42"/>
      <c r="H86" s="1002"/>
      <c r="I86" s="311"/>
      <c r="J86" s="2025"/>
      <c r="K86" s="3369"/>
      <c r="L86" s="3087" t="s">
        <v>2877</v>
      </c>
      <c r="M86" s="3077">
        <f ca="1">N69*0.5%</f>
        <v>552.89</v>
      </c>
      <c r="N86" s="53">
        <f ca="1">IF(M86&gt;0.5,0.5,ROUND(M86,0))</f>
        <v>0.5</v>
      </c>
      <c r="O86" s="2025" t="s">
        <v>2878</v>
      </c>
      <c r="P86" s="2025"/>
      <c r="Q86" s="2025"/>
      <c r="R86" s="2025"/>
      <c r="S86" s="2025"/>
      <c r="T86" s="2025"/>
      <c r="U86" s="2025"/>
      <c r="V86" s="2025"/>
    </row>
    <row r="87" spans="1:26" s="1253" customFormat="1" ht="14.25" customHeight="1">
      <c r="A87" s="1308"/>
      <c r="B87" s="1309"/>
      <c r="C87" s="1310"/>
      <c r="D87" s="1311"/>
      <c r="E87" s="1312"/>
      <c r="F87" s="42"/>
      <c r="G87" s="42"/>
      <c r="H87" s="1002"/>
      <c r="I87" s="311"/>
      <c r="J87" s="2025"/>
      <c r="K87" s="3369"/>
      <c r="L87" s="3087" t="s">
        <v>2879</v>
      </c>
      <c r="M87" s="3077">
        <f ca="1">IF(N69&gt;=10000,(8.25+(N69-10000)*0.01%),IF(AND(N69&gt;=8000,N69&lt;10000),(7.85+(N69-8000)*0.02%),IF(AND(N69&gt;=5000,N69&lt;8000),(6.65+(N69-5000)*0.04%),IF(AND(N69&gt;=2000,N69&lt;5000),(4.25+(PN69-2000)*0.08%),IF(AND(N69&gt;=1000,N69&lt;2000),(2.75+(N69-1000)*0.15%),IF(AND(N69&gt;=100,N69&lt;1000),(0.5+(N69-100)*0.25%),IF(AND(N69&gt;0,N69&lt;100),N69*0.5%)))))))</f>
        <v>18.3078</v>
      </c>
      <c r="N87" s="53">
        <f ca="1">ROUND(M87*0.9,1)</f>
        <v>16.5</v>
      </c>
      <c r="O87" s="3080"/>
      <c r="P87" s="311"/>
      <c r="Q87" s="2025"/>
      <c r="R87" s="2025"/>
      <c r="S87" s="2025"/>
      <c r="T87" s="2025"/>
      <c r="U87" s="2025"/>
      <c r="V87" s="2025"/>
      <c r="W87" s="292"/>
      <c r="X87" s="292"/>
      <c r="Y87" s="292"/>
      <c r="Z87" s="292"/>
    </row>
    <row r="88" spans="1:26" s="1313" customFormat="1" ht="14.4" thickBot="1">
      <c r="A88" s="3351" t="s">
        <v>436</v>
      </c>
      <c r="B88" s="3352"/>
      <c r="C88" s="3352"/>
      <c r="D88" s="3352"/>
      <c r="E88" s="3352"/>
      <c r="F88" s="3352"/>
      <c r="G88" s="3352"/>
      <c r="H88" s="3352"/>
      <c r="I88" s="1314"/>
      <c r="J88" s="2033"/>
      <c r="K88" s="3369"/>
      <c r="L88" s="3087" t="s">
        <v>2880</v>
      </c>
      <c r="M88" s="3077">
        <f ca="1">IF(N69&gt;10000,N69*0.5%,IF(AND(N69&gt;5000,N69&lt;=10000),N69*1%,IF(AND(N69&gt;1000,N69&lt;=5000),N69*2%,IF(AND(N69&gt;200,N69&lt;=1000),N69*3%,N69*5%))))</f>
        <v>552.89</v>
      </c>
      <c r="N88" s="53">
        <f ca="1">ROUND(M88,1)</f>
        <v>552.9</v>
      </c>
      <c r="O88" s="3080"/>
      <c r="P88" s="11"/>
      <c r="Q88" s="2030"/>
      <c r="R88" s="2030"/>
      <c r="S88" s="2030"/>
      <c r="T88" s="2030"/>
      <c r="U88" s="2030"/>
      <c r="V88" s="2030"/>
      <c r="W88" s="2034"/>
      <c r="X88" s="2034"/>
      <c r="Y88" s="2034"/>
      <c r="Z88" s="2034"/>
    </row>
    <row r="89" spans="1:26" s="1313" customFormat="1" ht="13.8">
      <c r="A89" s="3349" t="s">
        <v>427</v>
      </c>
      <c r="B89" s="3350"/>
      <c r="C89" s="993"/>
      <c r="D89" s="993" t="s">
        <v>428</v>
      </c>
      <c r="E89" s="391" t="s">
        <v>437</v>
      </c>
      <c r="F89" s="392"/>
      <c r="G89" s="392"/>
      <c r="H89" s="393"/>
      <c r="I89" s="1315"/>
      <c r="J89" s="2035"/>
      <c r="K89" s="3369"/>
      <c r="L89" s="3087" t="s">
        <v>27</v>
      </c>
      <c r="M89" s="3078"/>
      <c r="N89" s="53">
        <f ca="1">ROUND(SUM(N83:N88),0)</f>
        <v>1786</v>
      </c>
      <c r="O89" s="3088">
        <f ca="1">N89/N69</f>
        <v>1.6151494872397764E-2</v>
      </c>
      <c r="P89" s="2030"/>
      <c r="Q89" s="2030"/>
      <c r="R89" s="2030"/>
      <c r="S89" s="2030"/>
      <c r="T89" s="2030"/>
      <c r="U89" s="2030"/>
      <c r="V89" s="2030"/>
      <c r="W89" s="2034"/>
      <c r="X89" s="2034"/>
      <c r="Y89" s="2034"/>
      <c r="Z89" s="2034"/>
    </row>
    <row r="90" spans="1:26" s="1313" customFormat="1" ht="13.8">
      <c r="A90" s="381" t="s">
        <v>1823</v>
      </c>
      <c r="B90" s="382" t="s">
        <v>438</v>
      </c>
      <c r="C90" s="385">
        <f ca="1">ROUND(D63/(1+'数据-取费表'!C42),0)</f>
        <v>105312</v>
      </c>
      <c r="D90" s="378" t="s">
        <v>19</v>
      </c>
      <c r="E90" s="990"/>
      <c r="F90" s="989"/>
      <c r="G90" s="989"/>
      <c r="H90" s="394"/>
      <c r="I90" s="1315"/>
      <c r="J90" s="2035"/>
      <c r="K90" s="2030"/>
      <c r="L90" s="2030"/>
      <c r="M90" s="2030"/>
      <c r="N90" s="2030"/>
      <c r="O90" s="2030"/>
      <c r="P90" s="2030"/>
      <c r="Q90" s="2030"/>
      <c r="R90" s="2030"/>
      <c r="S90" s="2030"/>
      <c r="T90" s="2030"/>
      <c r="U90" s="2030"/>
      <c r="V90" s="2030"/>
      <c r="W90" s="2034"/>
      <c r="X90" s="2034"/>
      <c r="Y90" s="2034"/>
      <c r="Z90" s="2034"/>
    </row>
    <row r="91" spans="1:26" s="1313" customFormat="1" ht="13.8">
      <c r="A91" s="381" t="s">
        <v>1829</v>
      </c>
      <c r="B91" s="348" t="s">
        <v>439</v>
      </c>
      <c r="C91" s="385">
        <f ca="1">C92+C96</f>
        <v>3193</v>
      </c>
      <c r="D91" s="378" t="s">
        <v>19</v>
      </c>
      <c r="E91" s="990"/>
      <c r="F91" s="989"/>
      <c r="G91" s="989"/>
      <c r="H91" s="394"/>
      <c r="I91" s="1315"/>
      <c r="J91" s="2035"/>
      <c r="K91" s="2030"/>
      <c r="L91" s="2030"/>
      <c r="M91" s="2030"/>
      <c r="N91" s="2030"/>
      <c r="O91" s="2030"/>
      <c r="P91" s="2030"/>
      <c r="Q91" s="2030"/>
      <c r="R91" s="2030"/>
      <c r="S91" s="2030"/>
      <c r="T91" s="2030"/>
      <c r="U91" s="2030"/>
      <c r="V91" s="2030"/>
      <c r="W91" s="2034"/>
      <c r="X91" s="2034"/>
      <c r="Y91" s="2034"/>
      <c r="Z91" s="2034"/>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5"/>
      <c r="K92" s="2030"/>
      <c r="L92" s="2030"/>
      <c r="M92" s="2030"/>
      <c r="N92" s="2030"/>
      <c r="O92" s="2030"/>
      <c r="P92" s="2030"/>
      <c r="Q92" s="2030"/>
      <c r="R92" s="2030"/>
      <c r="S92" s="2030"/>
      <c r="T92" s="2030"/>
      <c r="U92" s="2030"/>
      <c r="V92" s="2030"/>
      <c r="W92" s="2034"/>
      <c r="X92" s="2034"/>
      <c r="Y92" s="2034"/>
      <c r="Z92" s="2034"/>
    </row>
    <row r="93" spans="1:26" s="1313" customFormat="1" ht="14.4">
      <c r="A93" s="395" t="s">
        <v>1831</v>
      </c>
      <c r="B93" s="376" t="s">
        <v>441</v>
      </c>
      <c r="C93" s="396">
        <v>2000</v>
      </c>
      <c r="D93" s="378" t="s">
        <v>19</v>
      </c>
      <c r="E93" s="397" t="s">
        <v>442</v>
      </c>
      <c r="F93" s="398" t="s">
        <v>443</v>
      </c>
      <c r="G93" s="397" t="s">
        <v>444</v>
      </c>
      <c r="H93" s="399">
        <v>5</v>
      </c>
      <c r="I93" s="11"/>
      <c r="J93" s="2030"/>
      <c r="K93" s="2030"/>
      <c r="L93" s="2030"/>
      <c r="M93" s="2030"/>
      <c r="N93" s="2030"/>
      <c r="O93" s="2030"/>
      <c r="P93" s="2030"/>
      <c r="Q93" s="2030"/>
      <c r="R93" s="2030"/>
      <c r="S93" s="2030"/>
      <c r="T93" s="2030"/>
      <c r="U93" s="2030"/>
      <c r="V93" s="2030"/>
      <c r="W93" s="2034"/>
      <c r="X93" s="2034"/>
      <c r="Y93" s="2034"/>
      <c r="Z93" s="2034"/>
    </row>
    <row r="94" spans="1:26" s="1313" customFormat="1" ht="24.75" customHeight="1">
      <c r="A94" s="395" t="s">
        <v>1832</v>
      </c>
      <c r="B94" s="400" t="s">
        <v>445</v>
      </c>
      <c r="C94" s="378">
        <f>IF(F93="购房发票",ROUND(C93*H93*5%,0),0)</f>
        <v>500</v>
      </c>
      <c r="D94" s="401">
        <v>0.05</v>
      </c>
      <c r="E94" s="3312" t="s">
        <v>446</v>
      </c>
      <c r="F94" s="3311"/>
      <c r="G94" s="3311"/>
      <c r="H94" s="3348"/>
      <c r="I94" s="1315"/>
      <c r="J94" s="2035"/>
      <c r="K94" s="2030"/>
      <c r="L94" s="2030"/>
      <c r="M94" s="2030"/>
      <c r="N94" s="2030"/>
      <c r="O94" s="2030"/>
      <c r="P94" s="2030"/>
      <c r="Q94" s="2030"/>
      <c r="R94" s="2030"/>
      <c r="S94" s="2030"/>
      <c r="T94" s="2030"/>
      <c r="U94" s="2030"/>
      <c r="V94" s="2030"/>
      <c r="W94" s="2034"/>
      <c r="X94" s="2034"/>
      <c r="Y94" s="2034"/>
      <c r="Z94" s="2034"/>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8" t="str">
        <f>IF(G95="个人买卖住房","免征印花税"," ")</f>
        <v xml:space="preserve"> </v>
      </c>
      <c r="I95" s="1315"/>
      <c r="J95" s="2035"/>
      <c r="K95" s="2030"/>
      <c r="L95" s="2030"/>
      <c r="M95" s="2030"/>
      <c r="N95" s="2030"/>
      <c r="O95" s="2030"/>
      <c r="P95" s="2030"/>
      <c r="Q95" s="2030"/>
      <c r="R95" s="2030"/>
      <c r="S95" s="2030"/>
      <c r="T95" s="2030"/>
      <c r="U95" s="2030"/>
      <c r="V95" s="2030"/>
      <c r="W95" s="2034"/>
      <c r="X95" s="2034"/>
      <c r="Y95" s="2034"/>
      <c r="Z95" s="2034"/>
    </row>
    <row r="96" spans="1:26" s="1313" customFormat="1" ht="24.75" customHeight="1">
      <c r="A96" s="395" t="s">
        <v>1834</v>
      </c>
      <c r="B96" s="376" t="s">
        <v>449</v>
      </c>
      <c r="C96" s="405">
        <f ca="1">ROUND(D63*D96/(1+'数据-取费表'!C42),0)</f>
        <v>632</v>
      </c>
      <c r="D96" s="406">
        <f>'数据-取费表'!B43</f>
        <v>6.000000000000001E-3</v>
      </c>
      <c r="E96" s="3340" t="s">
        <v>2428</v>
      </c>
      <c r="F96" s="3341"/>
      <c r="G96" s="3341"/>
      <c r="H96" s="3342"/>
      <c r="I96" s="1316"/>
      <c r="J96" s="2036"/>
      <c r="K96" s="2030"/>
      <c r="L96" s="2030"/>
      <c r="M96" s="2030"/>
      <c r="N96" s="2030"/>
      <c r="O96" s="2030"/>
      <c r="P96" s="2030"/>
      <c r="Q96" s="2030"/>
      <c r="R96" s="2030"/>
      <c r="S96" s="2030"/>
      <c r="T96" s="2030"/>
      <c r="U96" s="2030"/>
      <c r="V96" s="2030"/>
      <c r="W96" s="2034"/>
      <c r="X96" s="2034"/>
      <c r="Y96" s="2034"/>
      <c r="Z96" s="2034"/>
    </row>
    <row r="97" spans="1:26" s="1313" customFormat="1" ht="13.8">
      <c r="A97" s="1614" t="s">
        <v>1835</v>
      </c>
      <c r="B97" s="382" t="s">
        <v>450</v>
      </c>
      <c r="C97" s="385">
        <f ca="1">C90-C91</f>
        <v>102119</v>
      </c>
      <c r="D97" s="378" t="s">
        <v>19</v>
      </c>
      <c r="E97" s="990"/>
      <c r="F97" s="989"/>
      <c r="G97" s="989"/>
      <c r="H97" s="394"/>
      <c r="I97" s="1315"/>
      <c r="J97" s="2035"/>
      <c r="K97" s="2030"/>
      <c r="L97" s="2030"/>
      <c r="M97" s="2030"/>
      <c r="N97" s="2030"/>
      <c r="O97" s="2030"/>
      <c r="P97" s="2030"/>
      <c r="Q97" s="2030"/>
      <c r="R97" s="2030"/>
      <c r="S97" s="2030"/>
      <c r="T97" s="2030"/>
      <c r="U97" s="2030"/>
      <c r="V97" s="2030"/>
      <c r="W97" s="2034"/>
      <c r="X97" s="2034"/>
      <c r="Y97" s="2034"/>
      <c r="Z97" s="2034"/>
    </row>
    <row r="98" spans="1:26" s="1313" customFormat="1" ht="24">
      <c r="A98" s="1614" t="s">
        <v>1836</v>
      </c>
      <c r="B98" s="382" t="s">
        <v>451</v>
      </c>
      <c r="C98" s="407">
        <f ca="1">IF(C97&lt;=0,0,C97/C91)</f>
        <v>31.982148449733792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5"/>
      <c r="K98" s="2030"/>
      <c r="L98" s="2030"/>
      <c r="M98" s="2030"/>
      <c r="N98" s="2030"/>
      <c r="O98" s="2030"/>
      <c r="P98" s="2030"/>
      <c r="Q98" s="2030"/>
      <c r="R98" s="2030"/>
      <c r="S98" s="2030"/>
      <c r="T98" s="2030"/>
      <c r="U98" s="2030"/>
      <c r="V98" s="2030"/>
      <c r="W98" s="2034"/>
      <c r="X98" s="2034"/>
      <c r="Y98" s="2034"/>
      <c r="Z98" s="2034"/>
    </row>
    <row r="99" spans="1:26" s="1313" customFormat="1" ht="24.6" thickBot="1">
      <c r="A99" s="1615" t="s">
        <v>1837</v>
      </c>
      <c r="B99" s="387" t="s">
        <v>452</v>
      </c>
      <c r="C99" s="408">
        <f ca="1">ROUND(IF(C97&lt;=0,0,IF(C98&gt;=200%,C97*60%-C91*35%,IF(C98&gt;=100%,C97*50%-C91*15%,IF(C98&gt;=50%,C97*40%-C91*5%,IF(C98&lt;50%,C97*30%,0))))),0)</f>
        <v>60154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5"/>
      <c r="K99" s="2030"/>
      <c r="L99" s="2030"/>
      <c r="M99" s="2030"/>
      <c r="N99" s="2030"/>
      <c r="O99" s="2030"/>
      <c r="P99" s="2030"/>
      <c r="Q99" s="2030"/>
      <c r="R99" s="2030"/>
      <c r="S99" s="2030"/>
      <c r="T99" s="2030"/>
      <c r="U99" s="2030"/>
      <c r="V99" s="2030"/>
      <c r="W99" s="2034"/>
      <c r="X99" s="2034"/>
      <c r="Y99" s="2034"/>
      <c r="Z99" s="2034"/>
    </row>
    <row r="100" spans="1:26" s="1313" customFormat="1" ht="7.5" customHeight="1">
      <c r="A100" s="1317"/>
      <c r="B100" s="1318"/>
      <c r="C100" s="11"/>
      <c r="D100" s="11"/>
      <c r="E100" s="1318"/>
      <c r="F100" s="1318"/>
      <c r="G100" s="1318"/>
      <c r="H100" s="1319"/>
      <c r="I100" s="1316"/>
      <c r="J100" s="2036"/>
      <c r="K100" s="2030"/>
      <c r="L100" s="2030"/>
      <c r="M100" s="2030"/>
      <c r="N100" s="2030"/>
      <c r="O100" s="2030"/>
      <c r="P100" s="2030"/>
      <c r="Q100" s="2030"/>
      <c r="R100" s="2030"/>
      <c r="S100" s="2030"/>
      <c r="T100" s="2030"/>
      <c r="U100" s="2030"/>
      <c r="V100" s="2030"/>
      <c r="W100" s="2034"/>
      <c r="X100" s="2034"/>
      <c r="Y100" s="2034"/>
      <c r="Z100" s="2034"/>
    </row>
    <row r="101" spans="1:26" s="1313" customFormat="1" ht="14.4" thickBot="1">
      <c r="A101" s="3351" t="s">
        <v>453</v>
      </c>
      <c r="B101" s="3352"/>
      <c r="C101" s="3352"/>
      <c r="D101" s="3352"/>
      <c r="E101" s="3352"/>
      <c r="F101" s="3352"/>
      <c r="G101" s="3352"/>
      <c r="H101" s="3352"/>
      <c r="I101" s="11"/>
      <c r="J101" s="2030"/>
      <c r="K101" s="2030"/>
      <c r="L101" s="2030"/>
      <c r="M101" s="2030"/>
      <c r="N101" s="2030"/>
      <c r="O101" s="2030"/>
      <c r="P101" s="2030"/>
      <c r="Q101" s="2030"/>
      <c r="R101" s="2030"/>
      <c r="S101" s="2030"/>
      <c r="T101" s="2030"/>
      <c r="U101" s="2030"/>
      <c r="V101" s="2030"/>
      <c r="W101" s="2034"/>
      <c r="X101" s="2034"/>
      <c r="Y101" s="2034"/>
      <c r="Z101" s="2034"/>
    </row>
    <row r="102" spans="1:26" s="1313" customFormat="1" ht="13.8">
      <c r="A102" s="3349" t="s">
        <v>427</v>
      </c>
      <c r="B102" s="3350"/>
      <c r="C102" s="993"/>
      <c r="D102" s="993" t="s">
        <v>428</v>
      </c>
      <c r="E102" s="391" t="s">
        <v>437</v>
      </c>
      <c r="F102" s="392"/>
      <c r="G102" s="392"/>
      <c r="H102" s="413"/>
      <c r="I102" s="11"/>
      <c r="J102" s="2030"/>
      <c r="K102" s="2030"/>
      <c r="L102" s="2030"/>
      <c r="M102" s="2030"/>
      <c r="N102" s="2030"/>
      <c r="O102" s="2030"/>
      <c r="P102" s="2030"/>
      <c r="Q102" s="2030"/>
      <c r="R102" s="2030"/>
      <c r="S102" s="2030"/>
      <c r="T102" s="2030"/>
      <c r="U102" s="2030"/>
      <c r="V102" s="2030"/>
      <c r="W102" s="2034"/>
      <c r="X102" s="2034"/>
      <c r="Y102" s="2034"/>
      <c r="Z102" s="2034"/>
    </row>
    <row r="103" spans="1:26" s="1313" customFormat="1" ht="13.8">
      <c r="A103" s="381" t="s">
        <v>1823</v>
      </c>
      <c r="B103" s="382" t="s">
        <v>438</v>
      </c>
      <c r="C103" s="385">
        <f ca="1">ROUND(D63/(1+'数据-取费表'!C42),0)</f>
        <v>105312</v>
      </c>
      <c r="D103" s="378" t="s">
        <v>19</v>
      </c>
      <c r="E103" s="990"/>
      <c r="F103" s="989"/>
      <c r="G103" s="989"/>
      <c r="H103" s="414"/>
      <c r="I103" s="11"/>
      <c r="J103" s="2030"/>
      <c r="K103" s="2030"/>
      <c r="L103" s="2030"/>
      <c r="M103" s="2030"/>
      <c r="N103" s="2030"/>
      <c r="O103" s="2030"/>
      <c r="P103" s="2030"/>
      <c r="Q103" s="2030"/>
      <c r="R103" s="2030"/>
      <c r="S103" s="2030"/>
      <c r="T103" s="2030"/>
      <c r="U103" s="2030"/>
      <c r="V103" s="2030"/>
      <c r="W103" s="2034"/>
      <c r="X103" s="2034"/>
      <c r="Y103" s="2034"/>
      <c r="Z103" s="2034"/>
    </row>
    <row r="104" spans="1:26" s="1313" customFormat="1" ht="13.8">
      <c r="A104" s="381" t="s">
        <v>1829</v>
      </c>
      <c r="B104" s="348" t="s">
        <v>439</v>
      </c>
      <c r="C104" s="385">
        <f ca="1">IF(H106="仅含出让金",C105+C108+C109+C110+C111+C112,C105+C109+C110+C111+C112)</f>
        <v>41457</v>
      </c>
      <c r="D104" s="415"/>
      <c r="E104" s="990"/>
      <c r="F104" s="989"/>
      <c r="G104" s="989"/>
      <c r="H104" s="414"/>
      <c r="I104" s="11"/>
      <c r="J104" s="2030"/>
      <c r="K104" s="2030"/>
      <c r="L104" s="2030"/>
      <c r="M104" s="2030"/>
      <c r="N104" s="2030"/>
      <c r="O104" s="2030"/>
      <c r="P104" s="2030"/>
      <c r="Q104" s="2030"/>
      <c r="R104" s="2030"/>
      <c r="S104" s="2030"/>
      <c r="T104" s="2030"/>
      <c r="U104" s="2030"/>
      <c r="V104" s="2030"/>
      <c r="W104" s="2034"/>
      <c r="X104" s="2034"/>
      <c r="Y104" s="2034"/>
      <c r="Z104" s="2034"/>
    </row>
    <row r="105" spans="1:26" s="1313" customFormat="1" ht="13.8">
      <c r="A105" s="395" t="s">
        <v>1830</v>
      </c>
      <c r="B105" s="376" t="s">
        <v>454</v>
      </c>
      <c r="C105" s="405">
        <f>C106+C107</f>
        <v>37114</v>
      </c>
      <c r="D105" s="406"/>
      <c r="E105" s="984"/>
      <c r="F105" s="985"/>
      <c r="G105" s="985"/>
      <c r="H105" s="986"/>
      <c r="I105" s="11"/>
      <c r="J105" s="2030"/>
      <c r="K105" s="2030"/>
      <c r="L105" s="2030"/>
      <c r="M105" s="2030"/>
      <c r="N105" s="2030"/>
      <c r="O105" s="2030"/>
      <c r="P105" s="2030"/>
      <c r="Q105" s="2030"/>
      <c r="R105" s="2030"/>
      <c r="S105" s="2030"/>
      <c r="T105" s="2030"/>
      <c r="U105" s="2030"/>
      <c r="V105" s="2030"/>
      <c r="W105" s="2034"/>
      <c r="X105" s="2034"/>
      <c r="Y105" s="2034"/>
      <c r="Z105" s="2034"/>
    </row>
    <row r="106" spans="1:26" s="1313" customFormat="1" ht="26.4">
      <c r="A106" s="395" t="s">
        <v>1831</v>
      </c>
      <c r="B106" s="376" t="s">
        <v>455</v>
      </c>
      <c r="C106" s="416">
        <f>ROUND(93229.2/(93229.2+35213.86)*496200000/10000,0)</f>
        <v>36016</v>
      </c>
      <c r="D106" s="406"/>
      <c r="E106" s="417" t="s">
        <v>456</v>
      </c>
      <c r="F106" s="985"/>
      <c r="G106" s="418" t="s">
        <v>457</v>
      </c>
      <c r="H106" s="419"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3" customFormat="1" ht="13.8">
      <c r="A107" s="395" t="s">
        <v>1832</v>
      </c>
      <c r="B107" s="376" t="s">
        <v>447</v>
      </c>
      <c r="C107" s="405">
        <f>ROUND(C106*D107,0)</f>
        <v>1098</v>
      </c>
      <c r="D107" s="406">
        <f>'数据-取费表'!B48+'数据-取费表'!B49</f>
        <v>3.0499999999999999E-2</v>
      </c>
      <c r="E107" s="417" t="s">
        <v>458</v>
      </c>
      <c r="F107" s="985"/>
      <c r="G107" s="985"/>
      <c r="H107" s="986"/>
      <c r="I107" s="11"/>
      <c r="J107" s="2030"/>
      <c r="K107" s="2030"/>
      <c r="L107" s="2030"/>
      <c r="M107" s="2030"/>
      <c r="N107" s="2030"/>
      <c r="O107" s="2030"/>
      <c r="P107" s="2030"/>
      <c r="Q107" s="2030"/>
      <c r="R107" s="2030"/>
      <c r="S107" s="2030"/>
      <c r="T107" s="2030"/>
      <c r="U107" s="2030"/>
      <c r="V107" s="2030"/>
      <c r="W107" s="2034"/>
      <c r="X107" s="2034"/>
      <c r="Y107" s="2034"/>
      <c r="Z107" s="2034"/>
    </row>
    <row r="108" spans="1:26" s="1313" customFormat="1" ht="13.8">
      <c r="A108" s="395" t="s">
        <v>1834</v>
      </c>
      <c r="B108" s="376" t="s">
        <v>459</v>
      </c>
      <c r="C108" s="416"/>
      <c r="D108" s="406"/>
      <c r="E108" s="417" t="str">
        <f>IF(H106="-","土地取得成本中已包含该笔费用"," ")</f>
        <v xml:space="preserve"> </v>
      </c>
      <c r="F108" s="985"/>
      <c r="G108" s="985"/>
      <c r="H108" s="986"/>
      <c r="I108" s="11"/>
      <c r="J108" s="2030"/>
      <c r="K108" s="2030"/>
      <c r="L108" s="2030"/>
      <c r="M108" s="2030"/>
      <c r="N108" s="2030"/>
      <c r="O108" s="2030"/>
      <c r="P108" s="2030"/>
      <c r="Q108" s="2030"/>
      <c r="R108" s="2030"/>
      <c r="S108" s="2030"/>
      <c r="T108" s="2030"/>
      <c r="U108" s="2030"/>
      <c r="V108" s="2030"/>
      <c r="W108" s="2034"/>
      <c r="X108" s="2034"/>
      <c r="Y108" s="2034"/>
      <c r="Z108" s="2034"/>
    </row>
    <row r="109" spans="1:26" s="1313" customFormat="1" ht="24" customHeight="1">
      <c r="A109" s="1616" t="s">
        <v>1838</v>
      </c>
      <c r="B109" s="376" t="s">
        <v>460</v>
      </c>
      <c r="C109" s="405">
        <f>IF(H109="——",IF(F1="现房",'剩余法-现房'!C18,'剩余法-待开发'!C18),I109)</f>
        <v>0</v>
      </c>
      <c r="D109" s="406"/>
      <c r="E109" s="3343" t="s">
        <v>461</v>
      </c>
      <c r="F109" s="3341"/>
      <c r="G109" s="3341"/>
      <c r="H109" s="1938" t="s">
        <v>2280</v>
      </c>
      <c r="I109" s="1939">
        <v>0</v>
      </c>
      <c r="J109" s="2030"/>
      <c r="K109" s="2030"/>
      <c r="L109" s="2030"/>
      <c r="M109" s="2030"/>
      <c r="N109" s="2030"/>
      <c r="O109" s="2030"/>
      <c r="P109" s="2030"/>
      <c r="Q109" s="2030"/>
      <c r="R109" s="2030"/>
      <c r="S109" s="2030"/>
      <c r="T109" s="2030"/>
      <c r="U109" s="2030"/>
      <c r="V109" s="2030"/>
      <c r="W109" s="2034"/>
      <c r="X109" s="2034"/>
      <c r="Y109" s="2034"/>
      <c r="Z109" s="2034"/>
    </row>
    <row r="110" spans="1:26" s="1313" customFormat="1" ht="25.5" customHeight="1">
      <c r="A110" s="1616" t="s">
        <v>1839</v>
      </c>
      <c r="B110" s="376" t="s">
        <v>462</v>
      </c>
      <c r="C110" s="405">
        <f>ROUND((C105+C108+C109)*D110,0)</f>
        <v>3711</v>
      </c>
      <c r="D110" s="406">
        <v>0.1</v>
      </c>
      <c r="E110" s="3343" t="s">
        <v>463</v>
      </c>
      <c r="F110" s="3341"/>
      <c r="G110" s="3341"/>
      <c r="H110" s="3342"/>
      <c r="I110" s="11"/>
      <c r="J110" s="2030"/>
      <c r="K110" s="2030"/>
      <c r="L110" s="2030"/>
      <c r="M110" s="2030"/>
      <c r="N110" s="2030"/>
      <c r="O110" s="2030"/>
      <c r="P110" s="2030"/>
      <c r="Q110" s="2030"/>
      <c r="R110" s="2030"/>
      <c r="S110" s="2030"/>
      <c r="T110" s="2030"/>
      <c r="U110" s="2030"/>
      <c r="V110" s="2030"/>
      <c r="W110" s="2034"/>
      <c r="X110" s="2034"/>
      <c r="Y110" s="2034"/>
      <c r="Z110" s="2034"/>
    </row>
    <row r="111" spans="1:26" s="1313" customFormat="1" ht="25.5" customHeight="1">
      <c r="A111" s="1616" t="s">
        <v>1840</v>
      </c>
      <c r="B111" s="376" t="s">
        <v>449</v>
      </c>
      <c r="C111" s="405">
        <f ca="1">ROUND(D63*D111/(1+'数据-取费表'!C42),0)</f>
        <v>632</v>
      </c>
      <c r="D111" s="406">
        <f>'数据-取费表'!B43</f>
        <v>6.000000000000001E-3</v>
      </c>
      <c r="E111" s="3340" t="s">
        <v>2428</v>
      </c>
      <c r="F111" s="3341"/>
      <c r="G111" s="3341"/>
      <c r="H111" s="3342"/>
      <c r="I111" s="11"/>
      <c r="J111" s="2030"/>
      <c r="K111" s="2030"/>
      <c r="L111" s="2030"/>
      <c r="M111" s="2030"/>
      <c r="N111" s="2030"/>
      <c r="O111" s="2030"/>
      <c r="P111" s="2030"/>
      <c r="Q111" s="2030"/>
      <c r="R111" s="2030"/>
      <c r="S111" s="2030"/>
      <c r="T111" s="2030"/>
      <c r="U111" s="2030"/>
      <c r="V111" s="2030"/>
      <c r="W111" s="2034"/>
      <c r="X111" s="2034"/>
      <c r="Y111" s="2034"/>
      <c r="Z111" s="2034"/>
    </row>
    <row r="112" spans="1:26" s="1313" customFormat="1" ht="25.5" customHeight="1">
      <c r="A112" s="1616" t="s">
        <v>1841</v>
      </c>
      <c r="B112" s="376" t="s">
        <v>464</v>
      </c>
      <c r="C112" s="405">
        <f>ROUND(C108*D112,0)</f>
        <v>0</v>
      </c>
      <c r="D112" s="406">
        <v>0.2</v>
      </c>
      <c r="E112" s="3343" t="s">
        <v>2453</v>
      </c>
      <c r="F112" s="3341"/>
      <c r="G112" s="3341"/>
      <c r="H112" s="3342"/>
      <c r="I112" s="11"/>
      <c r="J112" s="2030"/>
      <c r="K112" s="2030"/>
      <c r="L112" s="2030"/>
      <c r="M112" s="2030"/>
      <c r="N112" s="2030"/>
      <c r="O112" s="2030"/>
      <c r="P112" s="2030"/>
      <c r="Q112" s="2030"/>
      <c r="R112" s="2030"/>
      <c r="S112" s="2030"/>
      <c r="T112" s="2030"/>
      <c r="U112" s="2030"/>
      <c r="V112" s="2030"/>
      <c r="W112" s="2034"/>
      <c r="X112" s="2034"/>
      <c r="Y112" s="2034"/>
      <c r="Z112" s="2034"/>
    </row>
    <row r="113" spans="1:26" s="1313" customFormat="1" ht="13.8">
      <c r="A113" s="1614" t="s">
        <v>1835</v>
      </c>
      <c r="B113" s="382" t="s">
        <v>450</v>
      </c>
      <c r="C113" s="385">
        <f ca="1">ROUND(C103-C104,0)</f>
        <v>63855</v>
      </c>
      <c r="D113" s="378" t="s">
        <v>19</v>
      </c>
      <c r="E113" s="990"/>
      <c r="F113" s="989"/>
      <c r="G113" s="989"/>
      <c r="H113" s="414"/>
      <c r="I113" s="11"/>
      <c r="J113" s="2030"/>
      <c r="K113" s="2030"/>
      <c r="L113" s="2030"/>
      <c r="M113" s="2030"/>
      <c r="N113" s="2030"/>
      <c r="O113" s="2030"/>
      <c r="P113" s="2030"/>
      <c r="Q113" s="2030"/>
      <c r="R113" s="2030"/>
      <c r="S113" s="2030"/>
      <c r="T113" s="2030"/>
      <c r="U113" s="2030"/>
      <c r="V113" s="2030"/>
      <c r="W113" s="2034"/>
      <c r="X113" s="2034"/>
      <c r="Y113" s="2034"/>
      <c r="Z113" s="2034"/>
    </row>
    <row r="114" spans="1:26" s="1313" customFormat="1" ht="24">
      <c r="A114" s="1614" t="s">
        <v>1836</v>
      </c>
      <c r="B114" s="382" t="s">
        <v>451</v>
      </c>
      <c r="C114" s="407">
        <f ca="1">IF(C113&lt;=0,0,C113/C104)</f>
        <v>1.5402706418698893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4"/>
      <c r="I114" s="11"/>
      <c r="J114" s="2030"/>
      <c r="K114" s="2030"/>
      <c r="L114" s="2030"/>
      <c r="M114" s="2030"/>
      <c r="N114" s="2030"/>
      <c r="O114" s="2030"/>
      <c r="P114" s="2030"/>
      <c r="Q114" s="2030"/>
      <c r="R114" s="2030"/>
      <c r="S114" s="2030"/>
      <c r="T114" s="2030"/>
      <c r="U114" s="2030"/>
      <c r="V114" s="2030"/>
      <c r="W114" s="2034"/>
      <c r="X114" s="2034"/>
      <c r="Y114" s="2034"/>
      <c r="Z114" s="2034"/>
    </row>
    <row r="115" spans="1:26" s="1313" customFormat="1" ht="24.6" thickBot="1">
      <c r="A115" s="1615" t="s">
        <v>1837</v>
      </c>
      <c r="B115" s="387" t="s">
        <v>452</v>
      </c>
      <c r="C115" s="408">
        <f ca="1">ROUND(IF(C113&lt;=0,0,IF(C114&gt;=200%,C113*60%-C104*35%,IF(C114&gt;=100%,C113*50%-C104*15%,IF(C114&gt;=50%,C113*40%-C104*5%,IF(C114&lt;50%,C113*30%,0))))),0)</f>
        <v>25709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7" customFormat="1" ht="21.75" customHeight="1">
      <c r="K185" s="2038"/>
      <c r="L185" s="2038"/>
      <c r="M185" s="2038"/>
      <c r="N185" s="2038"/>
      <c r="O185" s="203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5" zoomScaleNormal="95" zoomScaleSheetLayoutView="85" workbookViewId="0">
      <selection activeCell="C27" sqref="C27"/>
    </sheetView>
  </sheetViews>
  <sheetFormatPr defaultColWidth="9" defaultRowHeight="13.8"/>
  <cols>
    <col min="1" max="1" width="15.6640625" style="1336" customWidth="1"/>
    <col min="2" max="2" width="15.77734375" style="1336" customWidth="1"/>
    <col min="3" max="3" width="17.77734375" style="1336" customWidth="1"/>
    <col min="4" max="4" width="12.21875" style="1336" customWidth="1"/>
    <col min="5" max="5" width="16.109375" style="1336" customWidth="1"/>
    <col min="6" max="6" width="12.21875" style="1336" customWidth="1"/>
    <col min="7" max="7" width="15.6640625" style="1336" customWidth="1"/>
    <col min="8" max="8" width="12.21875" style="1336" customWidth="1"/>
    <col min="9" max="9" width="15.66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59"/>
      <c r="M1" s="1560"/>
      <c r="N1" s="1560"/>
      <c r="O1" s="1560"/>
      <c r="P1" s="1561"/>
      <c r="Q1" s="1561"/>
      <c r="R1" s="1561"/>
      <c r="S1" s="1561"/>
      <c r="T1" s="1561"/>
      <c r="U1" s="1561"/>
      <c r="V1" s="1561"/>
      <c r="W1" s="1561"/>
      <c r="X1" s="1561"/>
      <c r="Y1" s="1561"/>
      <c r="Z1" s="1561"/>
      <c r="AA1" s="1561"/>
      <c r="AB1" s="1561"/>
      <c r="AC1" s="1562"/>
      <c r="AD1" s="1334"/>
    </row>
    <row r="2" spans="1:30" s="1335" customFormat="1" ht="28.5" customHeight="1">
      <c r="A2" s="423" t="s">
        <v>466</v>
      </c>
      <c r="B2" s="508">
        <f>F68</f>
        <v>92675</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c r="AD2" s="1334"/>
    </row>
    <row r="3" spans="1:30" s="1335" customFormat="1" ht="28.5" customHeight="1">
      <c r="A3" s="1376" t="s">
        <v>1684</v>
      </c>
      <c r="B3" s="510">
        <f>ROUND(B2*10000/'数据-汇总表'!E3,0)</f>
        <v>3903</v>
      </c>
      <c r="C3" s="2058"/>
      <c r="D3" s="2591"/>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30" s="1335" customFormat="1" ht="28.5" customHeight="1">
      <c r="A4" s="511" t="s">
        <v>519</v>
      </c>
      <c r="B4" s="427">
        <f>IF(B48="单位面积地价",C50,ROUND(B2*10000/'数据-汇总表'!D3,0))</f>
        <v>14135</v>
      </c>
      <c r="C4" s="2058"/>
      <c r="D4" s="2591"/>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8"/>
    </row>
    <row r="5" spans="1:30" s="1335" customFormat="1" ht="28.5" customHeight="1" thickBot="1">
      <c r="A5" s="429"/>
      <c r="B5" s="430">
        <f>ROUND(B2/('数据-汇总表'!D3/666.67),0)</f>
        <v>942</v>
      </c>
      <c r="C5" s="431" t="s">
        <v>468</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1"/>
      <c r="AC5" s="428"/>
    </row>
    <row r="6" spans="1:30" ht="21">
      <c r="A6" s="512" t="s">
        <v>520</v>
      </c>
      <c r="B6" s="513"/>
      <c r="C6" s="3394" t="s">
        <v>521</v>
      </c>
      <c r="D6" s="3395"/>
      <c r="E6" s="3394" t="s">
        <v>522</v>
      </c>
      <c r="F6" s="3395"/>
      <c r="G6" s="3394" t="s">
        <v>523</v>
      </c>
      <c r="H6" s="3395"/>
      <c r="I6" s="3394" t="s">
        <v>524</v>
      </c>
      <c r="J6" s="3395"/>
      <c r="K6" s="514" t="s">
        <v>525</v>
      </c>
      <c r="L6" s="2130"/>
      <c r="M6" s="2129"/>
      <c r="N6" s="2129"/>
      <c r="O6" s="2131"/>
      <c r="P6" s="3396" t="s">
        <v>526</v>
      </c>
      <c r="Q6" s="3397"/>
      <c r="R6" s="3402" t="s">
        <v>522</v>
      </c>
      <c r="S6" s="3403"/>
      <c r="T6" s="3402" t="s">
        <v>523</v>
      </c>
      <c r="U6" s="3403"/>
      <c r="V6" s="3389" t="s">
        <v>524</v>
      </c>
      <c r="W6" s="3389"/>
      <c r="X6" s="1564"/>
      <c r="Y6" s="3402" t="s">
        <v>526</v>
      </c>
      <c r="Z6" s="3403"/>
      <c r="AA6" s="3391" t="s">
        <v>522</v>
      </c>
      <c r="AB6" s="3392" t="s">
        <v>523</v>
      </c>
      <c r="AC6" s="3391" t="s">
        <v>524</v>
      </c>
    </row>
    <row r="7" spans="1:30" ht="36" customHeight="1">
      <c r="A7" s="515"/>
      <c r="B7" s="516"/>
      <c r="C7" s="3412" t="str">
        <f>项目基本情况!F10</f>
        <v>新城区“东方宸院”项目</v>
      </c>
      <c r="D7" s="3411"/>
      <c r="E7" s="3410" t="str">
        <f>土地案例!F37</f>
        <v>雁塔区科技六路以北、经九路以东</v>
      </c>
      <c r="F7" s="3411"/>
      <c r="G7" s="3410" t="str">
        <f>土地案例!F40</f>
        <v>雁塔区科技五路以南、经九路以东</v>
      </c>
      <c r="H7" s="3411"/>
      <c r="I7" s="3410" t="str">
        <f>土地案例!F30</f>
        <v>未央区曹家庙村以南、代征路以西、代征绿地以北</v>
      </c>
      <c r="J7" s="3411"/>
      <c r="K7" s="514"/>
      <c r="L7" s="2130"/>
      <c r="M7" s="2129"/>
      <c r="N7" s="2129"/>
      <c r="O7" s="2131"/>
      <c r="P7" s="3398"/>
      <c r="Q7" s="3399"/>
      <c r="R7" s="3404"/>
      <c r="S7" s="3405"/>
      <c r="T7" s="3404"/>
      <c r="U7" s="3405"/>
      <c r="V7" s="3389"/>
      <c r="W7" s="3389"/>
      <c r="X7" s="1564"/>
      <c r="Y7" s="3404"/>
      <c r="Z7" s="3405"/>
      <c r="AA7" s="3392"/>
      <c r="AB7" s="3392"/>
      <c r="AC7" s="3392"/>
    </row>
    <row r="8" spans="1:30" ht="36" customHeight="1" thickBot="1">
      <c r="A8" s="515"/>
      <c r="B8" s="516"/>
      <c r="C8" s="3413" t="str">
        <f>C7</f>
        <v>新城区“东方宸院”项目</v>
      </c>
      <c r="D8" s="3414"/>
      <c r="E8" s="3415" t="s">
        <v>3345</v>
      </c>
      <c r="F8" s="3414"/>
      <c r="G8" s="3408" t="s">
        <v>3345</v>
      </c>
      <c r="H8" s="3409"/>
      <c r="I8" s="3408" t="s">
        <v>3346</v>
      </c>
      <c r="J8" s="3409"/>
      <c r="K8" s="514" t="s">
        <v>527</v>
      </c>
      <c r="L8" s="2130"/>
      <c r="M8" s="2129"/>
      <c r="N8" s="2129"/>
      <c r="O8" s="2131"/>
      <c r="P8" s="3400"/>
      <c r="Q8" s="3401"/>
      <c r="R8" s="3404"/>
      <c r="S8" s="3405"/>
      <c r="T8" s="3406"/>
      <c r="U8" s="3407"/>
      <c r="V8" s="3389"/>
      <c r="W8" s="3389"/>
      <c r="X8" s="1564"/>
      <c r="Y8" s="3406"/>
      <c r="Z8" s="3407"/>
      <c r="AA8" s="3393"/>
      <c r="AB8" s="3393"/>
      <c r="AC8" s="3393"/>
    </row>
    <row r="9" spans="1:30" s="1219" customFormat="1" ht="21.6" thickBot="1">
      <c r="A9" s="2933"/>
      <c r="B9" s="2940" t="s">
        <v>528</v>
      </c>
      <c r="C9" s="2932">
        <f>'数据-取费表'!B2</f>
        <v>43507</v>
      </c>
      <c r="D9" s="520">
        <v>100</v>
      </c>
      <c r="E9" s="521" t="str">
        <f>土地案例!AA37</f>
        <v>2017-03-03</v>
      </c>
      <c r="F9" s="522">
        <f>SUMIF(72:72,YEAR(E9)&amp;"-"&amp;INT((MONTH(E9)+2)/3),73:73)</f>
        <v>88</v>
      </c>
      <c r="G9" s="523" t="str">
        <f>土地案例!AA40</f>
        <v>2016-12-15</v>
      </c>
      <c r="H9" s="520">
        <f>SUMIF(72:72,YEAR(G9)&amp;"-"&amp;INT((MONTH(G9)+2)/3),73:73)</f>
        <v>86.5</v>
      </c>
      <c r="I9" s="523" t="str">
        <f>土地案例!AA30</f>
        <v>2017-07-18</v>
      </c>
      <c r="J9" s="520">
        <f>SUMIF(72:72,YEAR(I9)&amp;"-"&amp;INT((MONTH(I9)+2)/3),73:73)</f>
        <v>91</v>
      </c>
      <c r="K9" s="524"/>
      <c r="L9" s="2132"/>
      <c r="M9" s="2129"/>
      <c r="N9" s="2129"/>
      <c r="O9" s="2133"/>
      <c r="P9" s="3421" t="s">
        <v>529</v>
      </c>
      <c r="Q9" s="3423"/>
      <c r="R9" s="1565" t="s">
        <v>8</v>
      </c>
      <c r="S9" s="1566">
        <f t="shared" ref="S9:S17" si="0">F9</f>
        <v>88</v>
      </c>
      <c r="T9" s="1565" t="s">
        <v>8</v>
      </c>
      <c r="U9" s="1566">
        <f t="shared" ref="U9:U17" si="1">H9</f>
        <v>86.5</v>
      </c>
      <c r="V9" s="1565" t="s">
        <v>8</v>
      </c>
      <c r="W9" s="1566">
        <f t="shared" ref="W9:W17" si="2">J9</f>
        <v>91</v>
      </c>
      <c r="X9" s="1567"/>
      <c r="Y9" s="3421" t="s">
        <v>529</v>
      </c>
      <c r="Z9" s="3422"/>
      <c r="AA9" s="1568">
        <f>D9/F9</f>
        <v>1.1363636363636365</v>
      </c>
      <c r="AB9" s="1568">
        <f>D9/H9</f>
        <v>1.1560693641618498</v>
      </c>
      <c r="AC9" s="1568">
        <f>D9/J9</f>
        <v>1.098901098901099</v>
      </c>
    </row>
    <row r="10" spans="1:30" s="1219" customFormat="1" ht="21.6" thickBot="1">
      <c r="A10" s="2934"/>
      <c r="B10" s="2941" t="s">
        <v>530</v>
      </c>
      <c r="C10" s="855" t="s">
        <v>531</v>
      </c>
      <c r="D10" s="520">
        <v>100</v>
      </c>
      <c r="E10" s="855" t="s">
        <v>531</v>
      </c>
      <c r="F10" s="522">
        <f>SUMIF(75:75,E10,76:76)-SUMIF(75:75,C10,76:76)+100</f>
        <v>100</v>
      </c>
      <c r="G10" s="855" t="s">
        <v>531</v>
      </c>
      <c r="H10" s="520">
        <f>SUMIF(75:75,G10,76:76)-SUMIF(75:75,C10,76:76)+100</f>
        <v>100</v>
      </c>
      <c r="I10" s="855" t="s">
        <v>531</v>
      </c>
      <c r="J10" s="520">
        <f>SUMIF(75:75,I10,76:76)-SUMIF(75:75,C10,76:76)+100</f>
        <v>100</v>
      </c>
      <c r="K10" s="524"/>
      <c r="L10" s="2132"/>
      <c r="M10" s="2129"/>
      <c r="N10" s="2129"/>
      <c r="O10" s="2133"/>
      <c r="P10" s="3421" t="s">
        <v>532</v>
      </c>
      <c r="Q10" s="3422"/>
      <c r="R10" s="1565" t="s">
        <v>8</v>
      </c>
      <c r="S10" s="1566">
        <f t="shared" si="0"/>
        <v>100</v>
      </c>
      <c r="T10" s="1565" t="s">
        <v>8</v>
      </c>
      <c r="U10" s="1566">
        <f t="shared" si="1"/>
        <v>100</v>
      </c>
      <c r="V10" s="1565" t="s">
        <v>8</v>
      </c>
      <c r="W10" s="1566">
        <f t="shared" si="2"/>
        <v>100</v>
      </c>
      <c r="X10" s="1567"/>
      <c r="Y10" s="3421" t="s">
        <v>532</v>
      </c>
      <c r="Z10" s="3422"/>
      <c r="AA10" s="1568">
        <f t="shared" ref="AA10:AA47" si="3">D10/F10</f>
        <v>1</v>
      </c>
      <c r="AB10" s="1568">
        <f t="shared" ref="AB10:AB47" si="4">D10/H10</f>
        <v>1</v>
      </c>
      <c r="AC10" s="1568">
        <f t="shared" ref="AC10:AC47" si="5">D10/J10</f>
        <v>1</v>
      </c>
    </row>
    <row r="11" spans="1:30" s="1219" customFormat="1" ht="21">
      <c r="A11" s="2935"/>
      <c r="B11" s="2942" t="s">
        <v>2754</v>
      </c>
      <c r="C11" s="2929" t="s">
        <v>3045</v>
      </c>
      <c r="D11" s="254">
        <v>100</v>
      </c>
      <c r="E11" s="2929" t="s">
        <v>3045</v>
      </c>
      <c r="F11" s="254">
        <f>SUMIF(77:77,E11,78:78)-SUMIF(77:77,C11,78:78)+100</f>
        <v>100</v>
      </c>
      <c r="G11" s="2929" t="s">
        <v>3045</v>
      </c>
      <c r="H11" s="254">
        <f>SUMIF(77:77,G11,78:78)-SUMIF(77:77,C11,78:78)+100</f>
        <v>100</v>
      </c>
      <c r="I11" s="2929" t="s">
        <v>3045</v>
      </c>
      <c r="J11" s="254">
        <f>SUMIF(77:77,I11,78:78)-SUMIF(77:77,C11,78:78)+100</f>
        <v>100</v>
      </c>
      <c r="K11" s="524"/>
      <c r="L11" s="2132"/>
      <c r="M11" s="2129"/>
      <c r="N11" s="2129"/>
      <c r="O11" s="2134"/>
      <c r="P11" s="3388" t="s">
        <v>534</v>
      </c>
      <c r="Q11" s="1150" t="str">
        <f t="shared" ref="Q11:Q17" si="6">B11</f>
        <v>用途</v>
      </c>
      <c r="R11" s="1565" t="s">
        <v>8</v>
      </c>
      <c r="S11" s="1566">
        <f t="shared" si="0"/>
        <v>100</v>
      </c>
      <c r="T11" s="1565" t="s">
        <v>8</v>
      </c>
      <c r="U11" s="1566">
        <f t="shared" si="1"/>
        <v>100</v>
      </c>
      <c r="V11" s="1565" t="s">
        <v>8</v>
      </c>
      <c r="W11" s="1566">
        <f t="shared" si="2"/>
        <v>100</v>
      </c>
      <c r="X11" s="1567"/>
      <c r="Y11" s="3334" t="s">
        <v>535</v>
      </c>
      <c r="Z11" s="1149" t="str">
        <f t="shared" ref="Z11:Z17" si="7">Q11</f>
        <v>用途</v>
      </c>
      <c r="AA11" s="1568">
        <f t="shared" si="3"/>
        <v>1</v>
      </c>
      <c r="AB11" s="1568">
        <f t="shared" si="4"/>
        <v>1</v>
      </c>
      <c r="AC11" s="1568">
        <f t="shared" si="5"/>
        <v>1</v>
      </c>
    </row>
    <row r="12" spans="1:30" s="1337" customFormat="1" ht="28.8">
      <c r="A12" s="2936"/>
      <c r="B12" s="2941" t="s">
        <v>2755</v>
      </c>
      <c r="C12" s="909" t="s">
        <v>3149</v>
      </c>
      <c r="D12" s="255">
        <v>100</v>
      </c>
      <c r="E12" s="529" t="s">
        <v>3149</v>
      </c>
      <c r="F12" s="255">
        <f>ROUND(100/'数据-取费表'!G16,0)</f>
        <v>100</v>
      </c>
      <c r="G12" s="529" t="s">
        <v>3149</v>
      </c>
      <c r="H12" s="255">
        <f>ROUND(100/'数据-取费表'!G16,0)</f>
        <v>100</v>
      </c>
      <c r="I12" s="529" t="s">
        <v>3149</v>
      </c>
      <c r="J12" s="255">
        <f>ROUND(100/'数据-取费表'!G16,0)</f>
        <v>100</v>
      </c>
      <c r="K12" s="530"/>
      <c r="L12" s="2135"/>
      <c r="M12" s="2129"/>
      <c r="N12" s="2129"/>
      <c r="O12" s="2136"/>
      <c r="P12" s="3388"/>
      <c r="Q12" s="1150" t="str">
        <f t="shared" si="6"/>
        <v>土地使用年限（年）</v>
      </c>
      <c r="R12" s="1565" t="s">
        <v>8</v>
      </c>
      <c r="S12" s="1566">
        <f t="shared" si="0"/>
        <v>100</v>
      </c>
      <c r="T12" s="1565" t="s">
        <v>8</v>
      </c>
      <c r="U12" s="1566">
        <f t="shared" si="1"/>
        <v>100</v>
      </c>
      <c r="V12" s="1565" t="s">
        <v>8</v>
      </c>
      <c r="W12" s="1566">
        <f t="shared" si="2"/>
        <v>100</v>
      </c>
      <c r="X12" s="1567"/>
      <c r="Y12" s="3334"/>
      <c r="Z12" s="1149" t="str">
        <f t="shared" si="7"/>
        <v>土地使用年限（年）</v>
      </c>
      <c r="AA12" s="1568">
        <f t="shared" si="3"/>
        <v>1</v>
      </c>
      <c r="AB12" s="1568">
        <f t="shared" si="4"/>
        <v>1</v>
      </c>
      <c r="AC12" s="1568">
        <f t="shared" si="5"/>
        <v>1</v>
      </c>
    </row>
    <row r="13" spans="1:30" ht="21">
      <c r="A13" s="2937"/>
      <c r="B13" s="2941" t="s">
        <v>2756</v>
      </c>
      <c r="C13" s="533">
        <f>'数据-汇总表'!I6</f>
        <v>2.78</v>
      </c>
      <c r="D13" s="255">
        <v>100</v>
      </c>
      <c r="E13" s="532">
        <v>2.8</v>
      </c>
      <c r="F13" s="255">
        <f>LOOKUP(E13,82:82,83:83)-LOOKUP(C13,82:82,83:83)+100</f>
        <v>100</v>
      </c>
      <c r="G13" s="533">
        <v>3</v>
      </c>
      <c r="H13" s="255">
        <f>LOOKUP(G13,82:82,83:83)-LOOKUP(C13,82:82,83:83)+100</f>
        <v>98</v>
      </c>
      <c r="I13" s="532">
        <v>3.5</v>
      </c>
      <c r="J13" s="255">
        <f>LOOKUP(I13,82:82,83:83)-LOOKUP(C13,82:82,83:83)+100</f>
        <v>98</v>
      </c>
      <c r="K13" s="534">
        <v>2</v>
      </c>
      <c r="L13" s="2137"/>
      <c r="M13" s="2129"/>
      <c r="N13" s="2129"/>
      <c r="O13" s="2138"/>
      <c r="P13" s="3388"/>
      <c r="Q13" s="1150" t="str">
        <f t="shared" si="6"/>
        <v>容积率</v>
      </c>
      <c r="R13" s="1565" t="s">
        <v>8</v>
      </c>
      <c r="S13" s="1566">
        <f t="shared" si="0"/>
        <v>100</v>
      </c>
      <c r="T13" s="1565" t="s">
        <v>8</v>
      </c>
      <c r="U13" s="1566">
        <f t="shared" si="1"/>
        <v>98</v>
      </c>
      <c r="V13" s="1565" t="s">
        <v>8</v>
      </c>
      <c r="W13" s="1566">
        <f t="shared" si="2"/>
        <v>98</v>
      </c>
      <c r="X13" s="1567"/>
      <c r="Y13" s="3334"/>
      <c r="Z13" s="1149" t="str">
        <f t="shared" si="7"/>
        <v>容积率</v>
      </c>
      <c r="AA13" s="1568">
        <f t="shared" si="3"/>
        <v>1</v>
      </c>
      <c r="AB13" s="1568">
        <f t="shared" si="4"/>
        <v>1.0204081632653061</v>
      </c>
      <c r="AC13" s="1568">
        <f t="shared" si="5"/>
        <v>1.0204081632653061</v>
      </c>
    </row>
    <row r="14" spans="1:30" s="1219" customFormat="1" ht="21">
      <c r="A14" s="2934"/>
      <c r="B14" s="2943" t="s">
        <v>2757</v>
      </c>
      <c r="C14" s="2930"/>
      <c r="D14" s="537">
        <v>100</v>
      </c>
      <c r="E14" s="2930"/>
      <c r="F14" s="255">
        <f>SUMIF(84:84,E14,85:85)-SUMIF(84:84,C14,85:85)+100</f>
        <v>100</v>
      </c>
      <c r="G14" s="2930"/>
      <c r="H14" s="255">
        <f>SUMIF(84:84,G14,85:85)-SUMIF(84:84,C14,85:85)+100</f>
        <v>100</v>
      </c>
      <c r="I14" s="2930"/>
      <c r="J14" s="255">
        <f>SUMIF(84:84,I14,85:85)-SUMIF(84:84,C14,85:85)+100</f>
        <v>100</v>
      </c>
      <c r="K14" s="530"/>
      <c r="L14" s="2132"/>
      <c r="M14" s="2129"/>
      <c r="N14" s="2129"/>
      <c r="O14" s="2134"/>
      <c r="P14" s="3388"/>
      <c r="Q14" s="1150" t="str">
        <f t="shared" si="6"/>
        <v>配建</v>
      </c>
      <c r="R14" s="1565" t="s">
        <v>8</v>
      </c>
      <c r="S14" s="1566">
        <f t="shared" si="0"/>
        <v>100</v>
      </c>
      <c r="T14" s="1565" t="s">
        <v>8</v>
      </c>
      <c r="U14" s="1566">
        <f t="shared" si="1"/>
        <v>100</v>
      </c>
      <c r="V14" s="1565" t="s">
        <v>8</v>
      </c>
      <c r="W14" s="1566">
        <f t="shared" si="2"/>
        <v>100</v>
      </c>
      <c r="X14" s="1567"/>
      <c r="Y14" s="3334"/>
      <c r="Z14" s="1149" t="str">
        <f t="shared" si="7"/>
        <v>配建</v>
      </c>
      <c r="AA14" s="1568">
        <f>D14/F14</f>
        <v>1</v>
      </c>
      <c r="AB14" s="1568">
        <f>D14/H14</f>
        <v>1</v>
      </c>
      <c r="AC14" s="1568">
        <f>D14/J14</f>
        <v>1</v>
      </c>
    </row>
    <row r="15" spans="1:30" ht="21">
      <c r="A15" s="2938"/>
      <c r="B15" s="2944">
        <v>111</v>
      </c>
      <c r="C15" s="911"/>
      <c r="D15" s="539">
        <v>100</v>
      </c>
      <c r="E15" s="540"/>
      <c r="F15" s="255">
        <f>SUMIF(86:86,E15,87:87)-SUMIF(86:86,C15,87:87)+100</f>
        <v>100</v>
      </c>
      <c r="G15" s="541"/>
      <c r="H15" s="539">
        <f>SUMIF(86:86,G15,87:87)-SUMIF(86:86,C15,87:87)+100</f>
        <v>100</v>
      </c>
      <c r="I15" s="541"/>
      <c r="J15" s="539">
        <f>SUMIF(86:86,I15,87:87)-SUMIF(86:86,C15,87:87)+100</f>
        <v>100</v>
      </c>
      <c r="K15" s="530"/>
      <c r="L15" s="2139"/>
      <c r="M15" s="2129"/>
      <c r="N15" s="2129"/>
      <c r="O15" s="2138"/>
      <c r="P15" s="3388"/>
      <c r="Q15" s="1150">
        <f t="shared" si="6"/>
        <v>111</v>
      </c>
      <c r="R15" s="1565" t="s">
        <v>8</v>
      </c>
      <c r="S15" s="1566">
        <f t="shared" si="0"/>
        <v>100</v>
      </c>
      <c r="T15" s="1565" t="s">
        <v>8</v>
      </c>
      <c r="U15" s="1566">
        <f t="shared" si="1"/>
        <v>100</v>
      </c>
      <c r="V15" s="1565" t="s">
        <v>8</v>
      </c>
      <c r="W15" s="1566">
        <f t="shared" si="2"/>
        <v>100</v>
      </c>
      <c r="X15" s="1567"/>
      <c r="Y15" s="3334"/>
      <c r="Z15" s="1149">
        <f t="shared" si="7"/>
        <v>111</v>
      </c>
      <c r="AA15" s="1568">
        <f>D15/F15</f>
        <v>1</v>
      </c>
      <c r="AB15" s="1568">
        <f>D15/H15</f>
        <v>1</v>
      </c>
      <c r="AC15" s="1568">
        <f>D15/J15</f>
        <v>1</v>
      </c>
    </row>
    <row r="16" spans="1:30" ht="21.6" thickBot="1">
      <c r="A16" s="2939"/>
      <c r="B16" s="2945">
        <v>111</v>
      </c>
      <c r="C16" s="914"/>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388"/>
      <c r="Q16" s="1150">
        <f t="shared" si="6"/>
        <v>111</v>
      </c>
      <c r="R16" s="1565" t="s">
        <v>8</v>
      </c>
      <c r="S16" s="1566">
        <f t="shared" si="0"/>
        <v>100</v>
      </c>
      <c r="T16" s="1565" t="s">
        <v>8</v>
      </c>
      <c r="U16" s="1566">
        <f t="shared" si="1"/>
        <v>100</v>
      </c>
      <c r="V16" s="1565" t="s">
        <v>8</v>
      </c>
      <c r="W16" s="1566">
        <f t="shared" si="2"/>
        <v>100</v>
      </c>
      <c r="X16" s="1567"/>
      <c r="Y16" s="3334"/>
      <c r="Z16" s="1149">
        <f t="shared" si="7"/>
        <v>111</v>
      </c>
      <c r="AA16" s="1568">
        <f>D16/F16</f>
        <v>1</v>
      </c>
      <c r="AB16" s="1568">
        <f>D16/H16</f>
        <v>1</v>
      </c>
      <c r="AC16" s="1568">
        <f>D16/J16</f>
        <v>1</v>
      </c>
    </row>
    <row r="17" spans="1:29" ht="82.8">
      <c r="A17" s="2931" t="s">
        <v>2752</v>
      </c>
      <c r="B17" s="577" t="s">
        <v>295</v>
      </c>
      <c r="C17" s="547" t="str">
        <f>估价对象房地状况!C15</f>
        <v>估价对象周边居住用地比例、居住小区规模和社区发展完善程度，综合评价居住社区成熟度较好</v>
      </c>
      <c r="D17" s="550">
        <v>100</v>
      </c>
      <c r="E17" s="551"/>
      <c r="F17" s="548">
        <f>SUMIF(90:90,E18,91:91)-SUMIF(90:90,C18,91:91)+100</f>
        <v>100</v>
      </c>
      <c r="G17" s="549"/>
      <c r="H17" s="548">
        <f>SUMIF(90:90,G18,91:91)-SUMIF(90:90,C18,91:91)+100</f>
        <v>100</v>
      </c>
      <c r="I17" s="551"/>
      <c r="J17" s="548">
        <f>SUMIF(90:90,I18,91:91)-SUMIF(90:90,C18,91:91)+100</f>
        <v>100</v>
      </c>
      <c r="K17" s="534">
        <v>2</v>
      </c>
      <c r="L17" s="2139"/>
      <c r="M17" s="2129"/>
      <c r="N17" s="2129"/>
      <c r="O17" s="2138"/>
      <c r="P17" s="3424" t="s">
        <v>539</v>
      </c>
      <c r="Q17" s="1569" t="str">
        <f t="shared" si="6"/>
        <v>居住社区成熟度</v>
      </c>
      <c r="R17" s="1570" t="s">
        <v>8</v>
      </c>
      <c r="S17" s="1571">
        <f t="shared" si="0"/>
        <v>100</v>
      </c>
      <c r="T17" s="1570" t="s">
        <v>8</v>
      </c>
      <c r="U17" s="1571">
        <f t="shared" si="1"/>
        <v>100</v>
      </c>
      <c r="V17" s="1570" t="s">
        <v>8</v>
      </c>
      <c r="W17" s="1571">
        <f t="shared" si="2"/>
        <v>100</v>
      </c>
      <c r="X17" s="1564"/>
      <c r="Y17" s="3424" t="s">
        <v>539</v>
      </c>
      <c r="Z17" s="1572" t="str">
        <f t="shared" si="7"/>
        <v>居住社区成熟度</v>
      </c>
      <c r="AA17" s="1573">
        <f t="shared" si="3"/>
        <v>1</v>
      </c>
      <c r="AB17" s="1573">
        <f t="shared" si="4"/>
        <v>1</v>
      </c>
      <c r="AC17" s="1573">
        <f t="shared" si="5"/>
        <v>1</v>
      </c>
    </row>
    <row r="18" spans="1:29" ht="21">
      <c r="A18" s="531"/>
      <c r="B18" s="552"/>
      <c r="C18" s="566" t="s">
        <v>3087</v>
      </c>
      <c r="D18" s="556"/>
      <c r="E18" s="566" t="s">
        <v>3087</v>
      </c>
      <c r="F18" s="554"/>
      <c r="G18" s="566" t="s">
        <v>3087</v>
      </c>
      <c r="H18" s="558"/>
      <c r="I18" s="566" t="s">
        <v>3087</v>
      </c>
      <c r="J18" s="554"/>
      <c r="K18" s="530"/>
      <c r="L18" s="2139"/>
      <c r="M18" s="2129"/>
      <c r="N18" s="2129"/>
      <c r="O18" s="2138"/>
      <c r="P18" s="3425"/>
      <c r="Q18" s="1569"/>
      <c r="R18" s="1570"/>
      <c r="S18" s="1571"/>
      <c r="T18" s="1570"/>
      <c r="U18" s="1571"/>
      <c r="V18" s="1570"/>
      <c r="W18" s="1571"/>
      <c r="X18" s="1564"/>
      <c r="Y18" s="3425"/>
      <c r="Z18" s="1572"/>
      <c r="AA18" s="1573">
        <v>1</v>
      </c>
      <c r="AB18" s="1573">
        <v>1</v>
      </c>
      <c r="AC18" s="1573">
        <v>1</v>
      </c>
    </row>
    <row r="19" spans="1:29" ht="55.2">
      <c r="A19" s="531"/>
      <c r="B19" s="559" t="s">
        <v>540</v>
      </c>
      <c r="C19" s="560" t="str">
        <f>估价对象房地状况!C16</f>
        <v>估价对象位于XX商圈，周边商业氛围成熟，人流量大，商业繁华度一般</v>
      </c>
      <c r="D19" s="562">
        <v>100</v>
      </c>
      <c r="E19" s="563"/>
      <c r="F19" s="558">
        <f>SUMIF(92:92,E20,93:93)-SUMIF(92:92,C20,93:93)+100</f>
        <v>100</v>
      </c>
      <c r="G19" s="561"/>
      <c r="H19" s="564">
        <f>SUMIF(92:92,G20,93:93)-SUMIF(92:92,C20,93:93)+100</f>
        <v>100</v>
      </c>
      <c r="I19" s="563"/>
      <c r="J19" s="564">
        <f>SUMIF(92:92,I20,93:93)-SUMIF(92:92,C20,93:93)+100</f>
        <v>102</v>
      </c>
      <c r="K19" s="534">
        <v>2</v>
      </c>
      <c r="L19" s="2139"/>
      <c r="M19" s="2129"/>
      <c r="N19" s="2129"/>
      <c r="O19" s="2138"/>
      <c r="P19" s="3425"/>
      <c r="Q19" s="1569" t="str">
        <f>B19</f>
        <v>商业繁华度</v>
      </c>
      <c r="R19" s="1570" t="s">
        <v>8</v>
      </c>
      <c r="S19" s="1571">
        <f>F19</f>
        <v>100</v>
      </c>
      <c r="T19" s="1570" t="s">
        <v>8</v>
      </c>
      <c r="U19" s="1571">
        <f>H19</f>
        <v>100</v>
      </c>
      <c r="V19" s="1570" t="s">
        <v>8</v>
      </c>
      <c r="W19" s="1571">
        <f>J19</f>
        <v>102</v>
      </c>
      <c r="X19" s="1564"/>
      <c r="Y19" s="3425"/>
      <c r="Z19" s="1572" t="str">
        <f>Q19</f>
        <v>商业繁华度</v>
      </c>
      <c r="AA19" s="1573">
        <f t="shared" si="3"/>
        <v>1</v>
      </c>
      <c r="AB19" s="1573">
        <f t="shared" si="4"/>
        <v>1</v>
      </c>
      <c r="AC19" s="1573">
        <f t="shared" si="5"/>
        <v>0.98039215686274506</v>
      </c>
    </row>
    <row r="20" spans="1:29" ht="21">
      <c r="A20" s="531"/>
      <c r="B20" s="565"/>
      <c r="C20" s="566" t="s">
        <v>3089</v>
      </c>
      <c r="D20" s="562"/>
      <c r="E20" s="566" t="s">
        <v>3089</v>
      </c>
      <c r="F20" s="558"/>
      <c r="G20" s="566" t="s">
        <v>3089</v>
      </c>
      <c r="H20" s="554"/>
      <c r="I20" s="566" t="s">
        <v>3087</v>
      </c>
      <c r="J20" s="554"/>
      <c r="K20" s="530"/>
      <c r="L20" s="2139"/>
      <c r="M20" s="2129"/>
      <c r="N20" s="2129"/>
      <c r="O20" s="2138"/>
      <c r="P20" s="3425"/>
      <c r="Q20" s="1569"/>
      <c r="R20" s="1570"/>
      <c r="S20" s="1571"/>
      <c r="T20" s="1570"/>
      <c r="U20" s="1571"/>
      <c r="V20" s="1570"/>
      <c r="W20" s="1571"/>
      <c r="X20" s="1564"/>
      <c r="Y20" s="3425"/>
      <c r="Z20" s="1572"/>
      <c r="AA20" s="1573">
        <v>1</v>
      </c>
      <c r="AB20" s="1573">
        <v>1</v>
      </c>
      <c r="AC20" s="1573">
        <v>1</v>
      </c>
    </row>
    <row r="21" spans="1:29" ht="69">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425"/>
      <c r="Q21" s="1569" t="str">
        <f>B21</f>
        <v>办公集聚程度</v>
      </c>
      <c r="R21" s="1570" t="s">
        <v>8</v>
      </c>
      <c r="S21" s="1571">
        <f>F21</f>
        <v>100</v>
      </c>
      <c r="T21" s="1570" t="s">
        <v>8</v>
      </c>
      <c r="U21" s="1571">
        <f>H21</f>
        <v>100</v>
      </c>
      <c r="V21" s="1570" t="s">
        <v>8</v>
      </c>
      <c r="W21" s="1571">
        <f>J21</f>
        <v>100</v>
      </c>
      <c r="X21" s="1564"/>
      <c r="Y21" s="3425"/>
      <c r="Z21" s="1572" t="str">
        <f>Q21</f>
        <v>办公集聚程度</v>
      </c>
      <c r="AA21" s="1573">
        <f t="shared" si="3"/>
        <v>1</v>
      </c>
      <c r="AB21" s="1573">
        <f t="shared" si="4"/>
        <v>1</v>
      </c>
      <c r="AC21" s="1573">
        <f t="shared" si="5"/>
        <v>1</v>
      </c>
    </row>
    <row r="22" spans="1:29" ht="21">
      <c r="A22" s="531"/>
      <c r="B22" s="565"/>
      <c r="C22" s="553"/>
      <c r="D22" s="556"/>
      <c r="E22" s="557"/>
      <c r="F22" s="554"/>
      <c r="G22" s="555"/>
      <c r="H22" s="554"/>
      <c r="I22" s="557"/>
      <c r="J22" s="554"/>
      <c r="K22" s="530"/>
      <c r="L22" s="2139"/>
      <c r="M22" s="2129"/>
      <c r="N22" s="2129"/>
      <c r="O22" s="2138"/>
      <c r="P22" s="3425"/>
      <c r="Q22" s="1569"/>
      <c r="R22" s="1570"/>
      <c r="S22" s="1571"/>
      <c r="T22" s="1570"/>
      <c r="U22" s="1571"/>
      <c r="V22" s="1570"/>
      <c r="W22" s="1571"/>
      <c r="X22" s="1564"/>
      <c r="Y22" s="3425"/>
      <c r="Z22" s="1572"/>
      <c r="AA22" s="1573">
        <v>1</v>
      </c>
      <c r="AB22" s="1573">
        <v>1</v>
      </c>
      <c r="AC22" s="1573">
        <v>1</v>
      </c>
    </row>
    <row r="23" spans="1:29" ht="69">
      <c r="A23" s="531"/>
      <c r="B23" s="559" t="s">
        <v>542</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39"/>
      <c r="M23" s="2129"/>
      <c r="N23" s="2129"/>
      <c r="O23" s="2138"/>
      <c r="P23" s="3425"/>
      <c r="Q23" s="1569" t="str">
        <f>B23</f>
        <v>交通便捷度</v>
      </c>
      <c r="R23" s="1570" t="s">
        <v>8</v>
      </c>
      <c r="S23" s="1571">
        <f>F23</f>
        <v>100</v>
      </c>
      <c r="T23" s="1570" t="s">
        <v>8</v>
      </c>
      <c r="U23" s="1571">
        <f>H23</f>
        <v>100</v>
      </c>
      <c r="V23" s="1570" t="s">
        <v>8</v>
      </c>
      <c r="W23" s="1571">
        <f>J23</f>
        <v>100</v>
      </c>
      <c r="X23" s="1564"/>
      <c r="Y23" s="3425"/>
      <c r="Z23" s="1572" t="str">
        <f>Q23</f>
        <v>交通便捷度</v>
      </c>
      <c r="AA23" s="1573">
        <f t="shared" si="3"/>
        <v>1</v>
      </c>
      <c r="AB23" s="1573">
        <f t="shared" si="4"/>
        <v>1</v>
      </c>
      <c r="AC23" s="1573">
        <f t="shared" si="5"/>
        <v>1</v>
      </c>
    </row>
    <row r="24" spans="1:29" ht="21">
      <c r="A24" s="531"/>
      <c r="B24" s="577"/>
      <c r="C24" s="553" t="s">
        <v>3089</v>
      </c>
      <c r="D24" s="556"/>
      <c r="E24" s="557" t="s">
        <v>3089</v>
      </c>
      <c r="F24" s="554"/>
      <c r="G24" s="557" t="s">
        <v>3089</v>
      </c>
      <c r="H24" s="554"/>
      <c r="I24" s="553" t="s">
        <v>3089</v>
      </c>
      <c r="J24" s="554"/>
      <c r="K24" s="530"/>
      <c r="L24" s="2139"/>
      <c r="M24" s="2129"/>
      <c r="N24" s="2129"/>
      <c r="O24" s="2138"/>
      <c r="P24" s="3425"/>
      <c r="Q24" s="1569"/>
      <c r="R24" s="1570"/>
      <c r="S24" s="1571"/>
      <c r="T24" s="1570"/>
      <c r="U24" s="1571"/>
      <c r="V24" s="1570"/>
      <c r="W24" s="1571"/>
      <c r="X24" s="1564"/>
      <c r="Y24" s="3425"/>
      <c r="Z24" s="1572"/>
      <c r="AA24" s="1573">
        <v>1</v>
      </c>
      <c r="AB24" s="1573">
        <v>1</v>
      </c>
      <c r="AC24" s="1573">
        <v>1</v>
      </c>
    </row>
    <row r="25" spans="1:29" ht="28.8">
      <c r="A25" s="515"/>
      <c r="B25" s="259"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1</v>
      </c>
      <c r="L25" s="2139"/>
      <c r="M25" s="2129"/>
      <c r="N25" s="2129"/>
      <c r="O25" s="2138"/>
      <c r="P25" s="3425"/>
      <c r="Q25" s="1569" t="str">
        <f t="shared" ref="Q25:Q39" si="8">B25</f>
        <v>区域土地利用方向</v>
      </c>
      <c r="R25" s="1570" t="s">
        <v>8</v>
      </c>
      <c r="S25" s="1571">
        <f>F25</f>
        <v>100</v>
      </c>
      <c r="T25" s="1570" t="s">
        <v>8</v>
      </c>
      <c r="U25" s="1571">
        <f>H25</f>
        <v>100</v>
      </c>
      <c r="V25" s="1570" t="s">
        <v>8</v>
      </c>
      <c r="W25" s="1571">
        <f>J25</f>
        <v>100</v>
      </c>
      <c r="X25" s="1564"/>
      <c r="Y25" s="3425"/>
      <c r="Z25" s="1572" t="str">
        <f>Q25</f>
        <v>区域土地利用方向</v>
      </c>
      <c r="AA25" s="1573">
        <f t="shared" si="3"/>
        <v>1</v>
      </c>
      <c r="AB25" s="1573">
        <f t="shared" si="4"/>
        <v>1</v>
      </c>
      <c r="AC25" s="1573">
        <f t="shared" si="5"/>
        <v>1</v>
      </c>
    </row>
    <row r="26" spans="1:29" ht="21">
      <c r="A26" s="515"/>
      <c r="B26" s="1006"/>
      <c r="C26" s="553" t="s">
        <v>3087</v>
      </c>
      <c r="D26" s="556"/>
      <c r="E26" s="553" t="s">
        <v>3087</v>
      </c>
      <c r="F26" s="554"/>
      <c r="G26" s="553" t="s">
        <v>3087</v>
      </c>
      <c r="H26" s="554"/>
      <c r="I26" s="553" t="s">
        <v>3087</v>
      </c>
      <c r="J26" s="554"/>
      <c r="K26" s="530"/>
      <c r="L26" s="2139"/>
      <c r="M26" s="2129"/>
      <c r="N26" s="2129"/>
      <c r="O26" s="2138"/>
      <c r="P26" s="3425"/>
      <c r="Q26" s="1569"/>
      <c r="R26" s="1570"/>
      <c r="S26" s="1571"/>
      <c r="T26" s="1570"/>
      <c r="U26" s="1571"/>
      <c r="V26" s="1570"/>
      <c r="W26" s="1571"/>
      <c r="X26" s="1564"/>
      <c r="Y26" s="3425"/>
      <c r="Z26" s="1572"/>
      <c r="AA26" s="1573"/>
      <c r="AB26" s="1573"/>
      <c r="AC26" s="1573"/>
    </row>
    <row r="27" spans="1:29" ht="41.4">
      <c r="A27" s="515"/>
      <c r="B27" s="577" t="s">
        <v>544</v>
      </c>
      <c r="C27" s="560" t="str">
        <f>估价对象房地状况!C20</f>
        <v>区域自然环境：；人文环境；综合评价好</v>
      </c>
      <c r="D27" s="562">
        <v>100</v>
      </c>
      <c r="E27" s="563"/>
      <c r="F27" s="558">
        <f>SUMIF(100:100,E28,101:101)-SUMIF(100:100,C28,101:101)+100</f>
        <v>96</v>
      </c>
      <c r="G27" s="561"/>
      <c r="H27" s="558">
        <f>SUMIF(100:100,G28,101:101)-SUMIF(100:100,C28,101:101)+100</f>
        <v>96</v>
      </c>
      <c r="I27" s="563"/>
      <c r="J27" s="558">
        <f>SUMIF(100:100,I28,101:101)-SUMIF(100:100,C28,101:101)+100</f>
        <v>96</v>
      </c>
      <c r="K27" s="534">
        <v>2</v>
      </c>
      <c r="L27" s="2139"/>
      <c r="M27" s="2129"/>
      <c r="N27" s="2129"/>
      <c r="O27" s="2138"/>
      <c r="P27" s="3425"/>
      <c r="Q27" s="1569" t="str">
        <f t="shared" si="8"/>
        <v>自然及人文环境状况</v>
      </c>
      <c r="R27" s="1570" t="s">
        <v>8</v>
      </c>
      <c r="S27" s="1571">
        <f>F27</f>
        <v>96</v>
      </c>
      <c r="T27" s="1570" t="s">
        <v>8</v>
      </c>
      <c r="U27" s="1571">
        <f>H27</f>
        <v>96</v>
      </c>
      <c r="V27" s="1570" t="s">
        <v>8</v>
      </c>
      <c r="W27" s="1571">
        <f>J27</f>
        <v>96</v>
      </c>
      <c r="X27" s="1564"/>
      <c r="Y27" s="3425"/>
      <c r="Z27" s="1572" t="str">
        <f>Q27</f>
        <v>自然及人文环境状况</v>
      </c>
      <c r="AA27" s="1573">
        <f t="shared" si="3"/>
        <v>1.0416666666666667</v>
      </c>
      <c r="AB27" s="1573">
        <f t="shared" si="4"/>
        <v>1.0416666666666667</v>
      </c>
      <c r="AC27" s="1573">
        <f t="shared" si="5"/>
        <v>1.0416666666666667</v>
      </c>
    </row>
    <row r="28" spans="1:29" ht="21">
      <c r="A28" s="515"/>
      <c r="B28" s="565"/>
      <c r="C28" s="553" t="s">
        <v>3351</v>
      </c>
      <c r="D28" s="556"/>
      <c r="E28" s="553" t="s">
        <v>3089</v>
      </c>
      <c r="F28" s="554"/>
      <c r="G28" s="553" t="s">
        <v>3089</v>
      </c>
      <c r="H28" s="554"/>
      <c r="I28" s="553" t="s">
        <v>3089</v>
      </c>
      <c r="J28" s="554"/>
      <c r="K28" s="530"/>
      <c r="L28" s="2139"/>
      <c r="M28" s="2129"/>
      <c r="N28" s="2129"/>
      <c r="O28" s="2138"/>
      <c r="P28" s="3425"/>
      <c r="Q28" s="1569"/>
      <c r="R28" s="1570"/>
      <c r="S28" s="1571"/>
      <c r="T28" s="1570"/>
      <c r="U28" s="1571"/>
      <c r="V28" s="1570"/>
      <c r="W28" s="1571"/>
      <c r="X28" s="1564"/>
      <c r="Y28" s="3425"/>
      <c r="Z28" s="1572"/>
      <c r="AA28" s="1573">
        <v>1</v>
      </c>
      <c r="AB28" s="1573">
        <v>1</v>
      </c>
      <c r="AC28" s="1573">
        <v>1</v>
      </c>
    </row>
    <row r="29" spans="1:29" s="1219" customFormat="1" ht="41.4">
      <c r="A29" s="576"/>
      <c r="B29" s="2612" t="s">
        <v>2547</v>
      </c>
      <c r="C29" s="572" t="str">
        <f>估价对象房地状况!C21</f>
        <v>估价对象所在区域公共配套设施齐备情况</v>
      </c>
      <c r="D29" s="562">
        <v>100</v>
      </c>
      <c r="E29" s="563"/>
      <c r="F29" s="558">
        <f>SUMIF(102:102,E30,103:103)-SUMIF(102:102,C30,103:103)+100</f>
        <v>98</v>
      </c>
      <c r="G29" s="561"/>
      <c r="H29" s="558">
        <f>SUMIF(102:102,G30,103:103)-SUMIF(102:102,C30,103:103)+100</f>
        <v>98</v>
      </c>
      <c r="I29" s="563"/>
      <c r="J29" s="558">
        <f>SUMIF(102:102,I30,103:103)-SUMIF(102:102,C30,103:103)+100</f>
        <v>98</v>
      </c>
      <c r="K29" s="534">
        <v>2</v>
      </c>
      <c r="L29" s="2132"/>
      <c r="M29" s="2129"/>
      <c r="N29" s="2129"/>
      <c r="O29" s="2134"/>
      <c r="P29" s="3425"/>
      <c r="Q29" s="1150" t="str">
        <f t="shared" si="8"/>
        <v>公共配套设施</v>
      </c>
      <c r="R29" s="1565" t="s">
        <v>8</v>
      </c>
      <c r="S29" s="1566">
        <f>F29</f>
        <v>98</v>
      </c>
      <c r="T29" s="1565" t="s">
        <v>8</v>
      </c>
      <c r="U29" s="1566">
        <f>H29</f>
        <v>98</v>
      </c>
      <c r="V29" s="1565" t="s">
        <v>8</v>
      </c>
      <c r="W29" s="1566">
        <f>J29</f>
        <v>98</v>
      </c>
      <c r="X29" s="1567"/>
      <c r="Y29" s="3425"/>
      <c r="Z29" s="1149" t="str">
        <f>Q29</f>
        <v>公共配套设施</v>
      </c>
      <c r="AA29" s="1573">
        <f>D29/F29</f>
        <v>1.0204081632653061</v>
      </c>
      <c r="AB29" s="1573">
        <f>D29/H29</f>
        <v>1.0204081632653061</v>
      </c>
      <c r="AC29" s="1573">
        <f>D29/J29</f>
        <v>1.0204081632653061</v>
      </c>
    </row>
    <row r="30" spans="1:29" s="1219" customFormat="1" ht="21">
      <c r="A30" s="576"/>
      <c r="B30" s="565"/>
      <c r="C30" s="578" t="s">
        <v>3087</v>
      </c>
      <c r="D30" s="556"/>
      <c r="E30" s="578" t="s">
        <v>3089</v>
      </c>
      <c r="F30" s="554"/>
      <c r="G30" s="578" t="s">
        <v>3089</v>
      </c>
      <c r="H30" s="554"/>
      <c r="I30" s="578" t="s">
        <v>3089</v>
      </c>
      <c r="J30" s="554"/>
      <c r="K30" s="530"/>
      <c r="L30" s="2132"/>
      <c r="M30" s="2129"/>
      <c r="N30" s="2129"/>
      <c r="O30" s="2134"/>
      <c r="P30" s="3425"/>
      <c r="Q30" s="1150"/>
      <c r="R30" s="1565"/>
      <c r="S30" s="1566"/>
      <c r="T30" s="1565"/>
      <c r="U30" s="1566"/>
      <c r="V30" s="1565"/>
      <c r="W30" s="1566"/>
      <c r="X30" s="1567"/>
      <c r="Y30" s="3425"/>
      <c r="Z30" s="1149"/>
      <c r="AA30" s="1573">
        <v>1</v>
      </c>
      <c r="AB30" s="1573">
        <v>1</v>
      </c>
      <c r="AC30" s="1573">
        <v>1</v>
      </c>
    </row>
    <row r="31" spans="1:29" s="1219" customFormat="1" ht="27.6">
      <c r="A31" s="576"/>
      <c r="B31" s="2612"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425"/>
      <c r="Q31" s="2599" t="str">
        <f t="shared" ref="Q31" si="9">B31</f>
        <v>基础设施水平</v>
      </c>
      <c r="R31" s="1565" t="s">
        <v>8</v>
      </c>
      <c r="S31" s="1566">
        <f>F31</f>
        <v>100</v>
      </c>
      <c r="T31" s="1565" t="s">
        <v>8</v>
      </c>
      <c r="U31" s="1566">
        <f>H31</f>
        <v>100</v>
      </c>
      <c r="V31" s="1565" t="s">
        <v>8</v>
      </c>
      <c r="W31" s="1566">
        <f>J31</f>
        <v>100</v>
      </c>
      <c r="X31" s="1567"/>
      <c r="Y31" s="3425"/>
      <c r="Z31" s="2596" t="str">
        <f>Q31</f>
        <v>基础设施水平</v>
      </c>
      <c r="AA31" s="1573">
        <f>D31/F31</f>
        <v>1</v>
      </c>
      <c r="AB31" s="1573">
        <f>D31/H31</f>
        <v>1</v>
      </c>
      <c r="AC31" s="1573">
        <f>D31/J31</f>
        <v>1</v>
      </c>
    </row>
    <row r="32" spans="1:29" s="1219" customFormat="1" ht="21">
      <c r="A32" s="576"/>
      <c r="B32" s="565"/>
      <c r="C32" s="578" t="s">
        <v>3121</v>
      </c>
      <c r="D32" s="556"/>
      <c r="E32" s="578" t="s">
        <v>3121</v>
      </c>
      <c r="F32" s="554"/>
      <c r="G32" s="578" t="s">
        <v>3121</v>
      </c>
      <c r="H32" s="554"/>
      <c r="I32" s="578" t="s">
        <v>3121</v>
      </c>
      <c r="J32" s="554"/>
      <c r="K32" s="530"/>
      <c r="L32" s="2132"/>
      <c r="M32" s="2129"/>
      <c r="N32" s="2129"/>
      <c r="O32" s="2134"/>
      <c r="P32" s="3425"/>
      <c r="Q32" s="2599"/>
      <c r="R32" s="1565"/>
      <c r="S32" s="1566"/>
      <c r="T32" s="1565"/>
      <c r="U32" s="1566"/>
      <c r="V32" s="1565"/>
      <c r="W32" s="1566"/>
      <c r="X32" s="1567"/>
      <c r="Y32" s="3425"/>
      <c r="Z32" s="2596"/>
      <c r="AA32" s="1573">
        <v>1</v>
      </c>
      <c r="AB32" s="1573">
        <v>1</v>
      </c>
      <c r="AC32" s="1573">
        <v>1</v>
      </c>
    </row>
    <row r="33" spans="1:29" ht="21">
      <c r="A33" s="531"/>
      <c r="B33" s="565" t="s">
        <v>546</v>
      </c>
      <c r="C33" s="579"/>
      <c r="D33" s="574">
        <v>100</v>
      </c>
      <c r="E33" s="579"/>
      <c r="F33" s="539">
        <f>SUMIF(106:106,E33,107:107)-SUMIF(106:106,C33,107:107)+100</f>
        <v>100</v>
      </c>
      <c r="G33" s="579"/>
      <c r="H33" s="539">
        <f>SUMIF(106:106,G33,107:107)-SUMIF(106:106,C33,107:107)+100</f>
        <v>100</v>
      </c>
      <c r="I33" s="579"/>
      <c r="J33" s="539">
        <f>SUMIF(106:106,I33,107:107)-SUMIF(106:106,C33,107:107)+100</f>
        <v>100</v>
      </c>
      <c r="K33" s="534">
        <v>1</v>
      </c>
      <c r="L33" s="2139"/>
      <c r="M33" s="2129"/>
      <c r="N33" s="2129"/>
      <c r="O33" s="2138"/>
      <c r="P33" s="3425"/>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25"/>
      <c r="Z33" s="1572" t="str">
        <f t="shared" ref="Z33:Z47" si="13">Q33</f>
        <v>临街状况</v>
      </c>
      <c r="AA33" s="1573">
        <f t="shared" si="3"/>
        <v>1</v>
      </c>
      <c r="AB33" s="1573">
        <f t="shared" si="4"/>
        <v>1</v>
      </c>
      <c r="AC33" s="1573">
        <f t="shared" si="5"/>
        <v>1</v>
      </c>
    </row>
    <row r="34" spans="1:29" ht="28.8">
      <c r="A34" s="531"/>
      <c r="B34" s="577" t="s">
        <v>547</v>
      </c>
      <c r="C34" s="3185"/>
      <c r="D34" s="562">
        <v>100</v>
      </c>
      <c r="E34" s="3184"/>
      <c r="F34" s="558">
        <f>SUMIF(108:108,E35,109:109)-SUMIF(108:108,C35,109:109)+100</f>
        <v>100</v>
      </c>
      <c r="G34" s="3185"/>
      <c r="H34" s="558">
        <f>SUMIF(108:108,G35,109:109)-SUMIF(108:108,C35,109:109)+100</f>
        <v>100</v>
      </c>
      <c r="I34" s="3184"/>
      <c r="J34" s="558">
        <f>SUMIF(108:108,I35,109:109)-SUMIF(108:108,C35,109:109)+100</f>
        <v>100</v>
      </c>
      <c r="K34" s="534">
        <v>1</v>
      </c>
      <c r="L34" s="2139"/>
      <c r="M34" s="2129"/>
      <c r="N34" s="2129"/>
      <c r="O34" s="2138"/>
      <c r="P34" s="3425"/>
      <c r="Q34" s="1569" t="str">
        <f t="shared" si="8"/>
        <v>毗邻道路的类型与等级</v>
      </c>
      <c r="R34" s="1570" t="s">
        <v>8</v>
      </c>
      <c r="S34" s="1571">
        <f t="shared" si="10"/>
        <v>100</v>
      </c>
      <c r="T34" s="1570" t="s">
        <v>8</v>
      </c>
      <c r="U34" s="1571">
        <f t="shared" si="11"/>
        <v>100</v>
      </c>
      <c r="V34" s="1570" t="s">
        <v>8</v>
      </c>
      <c r="W34" s="1571">
        <f t="shared" si="12"/>
        <v>100</v>
      </c>
      <c r="X34" s="1564"/>
      <c r="Y34" s="3425"/>
      <c r="Z34" s="1572" t="str">
        <f t="shared" si="13"/>
        <v>毗邻道路的类型与等级</v>
      </c>
      <c r="AA34" s="1573">
        <f t="shared" si="3"/>
        <v>1</v>
      </c>
      <c r="AB34" s="1573">
        <f t="shared" si="4"/>
        <v>1</v>
      </c>
      <c r="AC34" s="1573">
        <f t="shared" si="5"/>
        <v>1</v>
      </c>
    </row>
    <row r="35" spans="1:29" ht="21">
      <c r="A35" s="531"/>
      <c r="B35" s="565"/>
      <c r="C35" s="553" t="s">
        <v>3098</v>
      </c>
      <c r="D35" s="556"/>
      <c r="E35" s="553" t="s">
        <v>3098</v>
      </c>
      <c r="F35" s="554"/>
      <c r="G35" s="553" t="s">
        <v>3098</v>
      </c>
      <c r="H35" s="554"/>
      <c r="I35" s="553" t="s">
        <v>3098</v>
      </c>
      <c r="J35" s="554"/>
      <c r="K35" s="580"/>
      <c r="L35" s="2139"/>
      <c r="M35" s="2129"/>
      <c r="N35" s="2129"/>
      <c r="O35" s="2138"/>
      <c r="P35" s="3425"/>
      <c r="Q35" s="1569"/>
      <c r="R35" s="1570"/>
      <c r="S35" s="1571"/>
      <c r="T35" s="1570"/>
      <c r="U35" s="1571"/>
      <c r="V35" s="1570"/>
      <c r="W35" s="1571"/>
      <c r="X35" s="1564"/>
      <c r="Y35" s="3425"/>
      <c r="Z35" s="1572"/>
      <c r="AA35" s="1573">
        <v>1</v>
      </c>
      <c r="AB35" s="1573">
        <v>1</v>
      </c>
      <c r="AC35" s="1573">
        <v>1</v>
      </c>
    </row>
    <row r="36" spans="1:29" ht="21">
      <c r="A36" s="531"/>
      <c r="B36" s="581" t="s">
        <v>548</v>
      </c>
      <c r="C36" s="579"/>
      <c r="D36" s="574">
        <v>100</v>
      </c>
      <c r="E36" s="579"/>
      <c r="F36" s="539">
        <f>SUMIF(110:110,E36,111:111)-SUMIF(110:110,C36,111:111)+100</f>
        <v>100</v>
      </c>
      <c r="G36" s="579"/>
      <c r="H36" s="539">
        <f>SUMIF(110:110,G36,111:111)-SUMIF(110:110,C36,111:111)+100</f>
        <v>100</v>
      </c>
      <c r="I36" s="579"/>
      <c r="J36" s="539">
        <f>SUMIF(110:110,I36,111:111)-SUMIF(110:110,C36,111:111)+100</f>
        <v>100</v>
      </c>
      <c r="K36" s="583">
        <v>1</v>
      </c>
      <c r="L36" s="2139"/>
      <c r="M36" s="2129"/>
      <c r="N36" s="2129"/>
      <c r="O36" s="2138"/>
      <c r="P36" s="3425"/>
      <c r="Q36" s="1569" t="str">
        <f t="shared" si="8"/>
        <v>土地级别</v>
      </c>
      <c r="R36" s="1570" t="s">
        <v>8</v>
      </c>
      <c r="S36" s="1571">
        <f t="shared" si="10"/>
        <v>100</v>
      </c>
      <c r="T36" s="1570" t="s">
        <v>8</v>
      </c>
      <c r="U36" s="1571">
        <f t="shared" si="11"/>
        <v>100</v>
      </c>
      <c r="V36" s="1570" t="s">
        <v>8</v>
      </c>
      <c r="W36" s="1571">
        <f t="shared" si="12"/>
        <v>100</v>
      </c>
      <c r="X36" s="1564"/>
      <c r="Y36" s="3425"/>
      <c r="Z36" s="1572" t="str">
        <f t="shared" si="13"/>
        <v>土地级别</v>
      </c>
      <c r="AA36" s="1573">
        <f t="shared" si="3"/>
        <v>1</v>
      </c>
      <c r="AB36" s="1573">
        <f t="shared" si="4"/>
        <v>1</v>
      </c>
      <c r="AC36" s="1573">
        <f t="shared" si="5"/>
        <v>1</v>
      </c>
    </row>
    <row r="37" spans="1:29" ht="21">
      <c r="A37" s="515"/>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25"/>
      <c r="Q37" s="1569">
        <f t="shared" si="8"/>
        <v>111</v>
      </c>
      <c r="R37" s="1570" t="s">
        <v>8</v>
      </c>
      <c r="S37" s="1571">
        <f t="shared" si="10"/>
        <v>100</v>
      </c>
      <c r="T37" s="1570" t="s">
        <v>8</v>
      </c>
      <c r="U37" s="1571">
        <f t="shared" si="11"/>
        <v>100</v>
      </c>
      <c r="V37" s="1570" t="s">
        <v>8</v>
      </c>
      <c r="W37" s="1571">
        <f t="shared" si="12"/>
        <v>100</v>
      </c>
      <c r="X37" s="1564"/>
      <c r="Y37" s="3425"/>
      <c r="Z37" s="1572">
        <f t="shared" si="13"/>
        <v>111</v>
      </c>
      <c r="AA37" s="1573">
        <f t="shared" si="3"/>
        <v>1</v>
      </c>
      <c r="AB37" s="1573">
        <f t="shared" si="4"/>
        <v>1</v>
      </c>
      <c r="AC37" s="1573">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26" t="s">
        <v>549</v>
      </c>
      <c r="Q38" s="1569">
        <f t="shared" si="8"/>
        <v>111</v>
      </c>
      <c r="R38" s="1570" t="s">
        <v>8</v>
      </c>
      <c r="S38" s="1571">
        <f t="shared" si="10"/>
        <v>100</v>
      </c>
      <c r="T38" s="1570" t="s">
        <v>8</v>
      </c>
      <c r="U38" s="1571">
        <f t="shared" si="11"/>
        <v>100</v>
      </c>
      <c r="V38" s="1570" t="s">
        <v>8</v>
      </c>
      <c r="W38" s="1571">
        <f t="shared" si="12"/>
        <v>100</v>
      </c>
      <c r="X38" s="1564"/>
      <c r="Y38" s="3427" t="s">
        <v>549</v>
      </c>
      <c r="Z38" s="1572">
        <f t="shared" si="13"/>
        <v>111</v>
      </c>
      <c r="AA38" s="1573">
        <f t="shared" si="3"/>
        <v>1</v>
      </c>
      <c r="AB38" s="1573">
        <f t="shared" si="4"/>
        <v>1</v>
      </c>
      <c r="AC38" s="1573">
        <f t="shared" si="5"/>
        <v>1</v>
      </c>
    </row>
    <row r="39" spans="1:29" s="1338"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27"/>
      <c r="Q39" s="1569">
        <f t="shared" si="8"/>
        <v>111</v>
      </c>
      <c r="R39" s="1574" t="s">
        <v>8</v>
      </c>
      <c r="S39" s="1575">
        <f t="shared" si="10"/>
        <v>100</v>
      </c>
      <c r="T39" s="1574" t="s">
        <v>8</v>
      </c>
      <c r="U39" s="1575">
        <f t="shared" si="11"/>
        <v>100</v>
      </c>
      <c r="V39" s="1574" t="s">
        <v>8</v>
      </c>
      <c r="W39" s="1575">
        <f t="shared" si="12"/>
        <v>100</v>
      </c>
      <c r="X39" s="1576"/>
      <c r="Y39" s="3427"/>
      <c r="Z39" s="1577">
        <f t="shared" si="13"/>
        <v>111</v>
      </c>
      <c r="AA39" s="1573">
        <f t="shared" si="3"/>
        <v>1</v>
      </c>
      <c r="AB39" s="1573">
        <f t="shared" si="4"/>
        <v>1</v>
      </c>
      <c r="AC39" s="1573">
        <f t="shared" si="5"/>
        <v>1</v>
      </c>
    </row>
    <row r="40" spans="1:29" ht="21">
      <c r="A40" s="2928" t="s">
        <v>2753</v>
      </c>
      <c r="B40" s="594" t="s">
        <v>551</v>
      </c>
      <c r="C40" s="595">
        <f>'数据-基础表'!A3</f>
        <v>65565</v>
      </c>
      <c r="D40" s="596">
        <v>100</v>
      </c>
      <c r="E40" s="595">
        <f>土地案例!J37</f>
        <v>20579.64</v>
      </c>
      <c r="F40" s="596">
        <f>LOOKUP(E40,119:119,120:120)-LOOKUP(C40,119:119,120:120)+100</f>
        <v>96</v>
      </c>
      <c r="G40" s="595">
        <f>土地案例!J40</f>
        <v>47760.51</v>
      </c>
      <c r="H40" s="596">
        <f>LOOKUP(G40,119:119,120:120)-LOOKUP(C40,119:119,120:120)+100</f>
        <v>98</v>
      </c>
      <c r="I40" s="597">
        <f>土地案例!J30</f>
        <v>53010.04</v>
      </c>
      <c r="J40" s="596">
        <f>LOOKUP(I40,119:119,120:120)-LOOKUP(C40,119:119,120:120)+100</f>
        <v>99</v>
      </c>
      <c r="K40" s="580"/>
      <c r="L40" s="2139"/>
      <c r="M40" s="2129"/>
      <c r="N40" s="2129"/>
      <c r="O40" s="2138"/>
      <c r="P40" s="3427"/>
      <c r="Q40" s="1569" t="str">
        <f>B40</f>
        <v>宗地面积</v>
      </c>
      <c r="R40" s="1570" t="s">
        <v>8</v>
      </c>
      <c r="S40" s="1571">
        <f t="shared" si="10"/>
        <v>96</v>
      </c>
      <c r="T40" s="1570" t="s">
        <v>8</v>
      </c>
      <c r="U40" s="1571">
        <f t="shared" si="11"/>
        <v>98</v>
      </c>
      <c r="V40" s="1570" t="s">
        <v>8</v>
      </c>
      <c r="W40" s="1571">
        <f t="shared" si="12"/>
        <v>99</v>
      </c>
      <c r="X40" s="1564"/>
      <c r="Y40" s="3427"/>
      <c r="Z40" s="1572" t="str">
        <f t="shared" si="13"/>
        <v>宗地面积</v>
      </c>
      <c r="AA40" s="1573">
        <f t="shared" si="3"/>
        <v>1.0416666666666667</v>
      </c>
      <c r="AB40" s="1573">
        <f t="shared" si="4"/>
        <v>1.0204081632653061</v>
      </c>
      <c r="AC40" s="1573">
        <f t="shared" si="5"/>
        <v>1.0101010101010102</v>
      </c>
    </row>
    <row r="41" spans="1:29" ht="21">
      <c r="A41" s="593"/>
      <c r="B41" s="527" t="s">
        <v>552</v>
      </c>
      <c r="C41" s="598" t="s">
        <v>3073</v>
      </c>
      <c r="D41" s="539">
        <v>100</v>
      </c>
      <c r="E41" s="598" t="s">
        <v>3073</v>
      </c>
      <c r="F41" s="539">
        <f>SUMIF(121:121,E41,122:122)-SUMIF(121:121,C41,122:122)+100</f>
        <v>100</v>
      </c>
      <c r="G41" s="598" t="s">
        <v>3073</v>
      </c>
      <c r="H41" s="539">
        <f>SUMIF(121:121,G41,122:122)-SUMIF(121:121,C41,122:122)+100</f>
        <v>100</v>
      </c>
      <c r="I41" s="598" t="s">
        <v>3073</v>
      </c>
      <c r="J41" s="539">
        <f>SUMIF(121:121,I41,122:122)-SUMIF(121:121,C41,122:122)+100</f>
        <v>100</v>
      </c>
      <c r="K41" s="583">
        <v>1</v>
      </c>
      <c r="L41" s="2139"/>
      <c r="M41" s="2129"/>
      <c r="N41" s="2129"/>
      <c r="O41" s="2138"/>
      <c r="P41" s="3427"/>
      <c r="Q41" s="1569" t="str">
        <f t="shared" ref="Q41:Q47" si="14">B41</f>
        <v>宗地形状</v>
      </c>
      <c r="R41" s="1570" t="s">
        <v>8</v>
      </c>
      <c r="S41" s="1571">
        <f t="shared" si="10"/>
        <v>100</v>
      </c>
      <c r="T41" s="1570" t="s">
        <v>8</v>
      </c>
      <c r="U41" s="1571">
        <f t="shared" si="11"/>
        <v>100</v>
      </c>
      <c r="V41" s="1570" t="s">
        <v>8</v>
      </c>
      <c r="W41" s="1571">
        <f t="shared" si="12"/>
        <v>100</v>
      </c>
      <c r="X41" s="1564"/>
      <c r="Y41" s="3427"/>
      <c r="Z41" s="1572" t="str">
        <f t="shared" si="13"/>
        <v>宗地形状</v>
      </c>
      <c r="AA41" s="1573">
        <f t="shared" si="3"/>
        <v>1</v>
      </c>
      <c r="AB41" s="1573">
        <f t="shared" si="4"/>
        <v>1</v>
      </c>
      <c r="AC41" s="1573">
        <f t="shared" si="5"/>
        <v>1</v>
      </c>
    </row>
    <row r="42" spans="1:29" ht="55.2">
      <c r="A42" s="593"/>
      <c r="B42" s="527" t="s">
        <v>553</v>
      </c>
      <c r="C42" s="598" t="s">
        <v>3097</v>
      </c>
      <c r="D42" s="539">
        <v>100</v>
      </c>
      <c r="E42" s="598" t="s">
        <v>3097</v>
      </c>
      <c r="F42" s="539">
        <f>SUMIF(123:123,E42,124:124)-SUMIF(123:123,C42,124:124)+100</f>
        <v>100</v>
      </c>
      <c r="G42" s="598" t="s">
        <v>3097</v>
      </c>
      <c r="H42" s="539">
        <f>SUMIF(123:123,G42,124:124)-SUMIF(123:123,C42,124:124)+100</f>
        <v>100</v>
      </c>
      <c r="I42" s="598" t="s">
        <v>3097</v>
      </c>
      <c r="J42" s="539">
        <f>SUMIF(123:123,I42,124:124)-SUMIF(123:123,C42,124:124)+100</f>
        <v>100</v>
      </c>
      <c r="K42" s="583">
        <v>1</v>
      </c>
      <c r="L42" s="2139"/>
      <c r="M42" s="2129"/>
      <c r="N42" s="2129"/>
      <c r="O42" s="2138"/>
      <c r="P42" s="3427"/>
      <c r="Q42" s="1569" t="str">
        <f t="shared" si="14"/>
        <v>临街宽度及深度</v>
      </c>
      <c r="R42" s="1570" t="s">
        <v>8</v>
      </c>
      <c r="S42" s="1571">
        <f t="shared" si="10"/>
        <v>100</v>
      </c>
      <c r="T42" s="1570" t="s">
        <v>8</v>
      </c>
      <c r="U42" s="1571">
        <f t="shared" si="11"/>
        <v>100</v>
      </c>
      <c r="V42" s="1570" t="s">
        <v>8</v>
      </c>
      <c r="W42" s="1571">
        <f t="shared" si="12"/>
        <v>100</v>
      </c>
      <c r="X42" s="1564"/>
      <c r="Y42" s="3427"/>
      <c r="Z42" s="1572" t="str">
        <f t="shared" si="13"/>
        <v>临街宽度及深度</v>
      </c>
      <c r="AA42" s="1573">
        <f t="shared" si="3"/>
        <v>1</v>
      </c>
      <c r="AB42" s="1573">
        <f t="shared" si="4"/>
        <v>1</v>
      </c>
      <c r="AC42" s="1573">
        <f t="shared" si="5"/>
        <v>1</v>
      </c>
    </row>
    <row r="43" spans="1:29" s="1219" customFormat="1" ht="21">
      <c r="A43" s="599"/>
      <c r="B43" s="1892" t="s">
        <v>2424</v>
      </c>
      <c r="C43" s="600" t="s">
        <v>3084</v>
      </c>
      <c r="D43" s="255">
        <v>100</v>
      </c>
      <c r="E43" s="600" t="s">
        <v>3084</v>
      </c>
      <c r="F43" s="539">
        <f>SUMIF(125:125,E43,126:126)-SUMIF(125:125,C43,126:126)+100</f>
        <v>100</v>
      </c>
      <c r="G43" s="600" t="s">
        <v>3084</v>
      </c>
      <c r="H43" s="539">
        <f>SUMIF(125:125,G43,126:126)-SUMIF(125:125,C43,126:126)+100</f>
        <v>100</v>
      </c>
      <c r="I43" s="600" t="s">
        <v>3084</v>
      </c>
      <c r="J43" s="539">
        <f>SUMIF(125:125,I43,126:126)-SUMIF(125:125,C43,126:126)+100</f>
        <v>100</v>
      </c>
      <c r="K43" s="583">
        <v>1</v>
      </c>
      <c r="L43" s="2132"/>
      <c r="M43" s="2129"/>
      <c r="N43" s="2129"/>
      <c r="O43" s="2134"/>
      <c r="P43" s="3427"/>
      <c r="Q43" s="1569" t="str">
        <f t="shared" si="14"/>
        <v>宗地开发程度</v>
      </c>
      <c r="R43" s="1565" t="s">
        <v>8</v>
      </c>
      <c r="S43" s="1566">
        <f t="shared" si="10"/>
        <v>100</v>
      </c>
      <c r="T43" s="1565" t="s">
        <v>8</v>
      </c>
      <c r="U43" s="1566">
        <f t="shared" si="11"/>
        <v>100</v>
      </c>
      <c r="V43" s="1565" t="s">
        <v>8</v>
      </c>
      <c r="W43" s="1566">
        <f t="shared" si="12"/>
        <v>100</v>
      </c>
      <c r="X43" s="1567"/>
      <c r="Y43" s="3427"/>
      <c r="Z43" s="1149" t="str">
        <f t="shared" si="13"/>
        <v>宗地开发程度</v>
      </c>
      <c r="AA43" s="1568">
        <f t="shared" si="3"/>
        <v>1</v>
      </c>
      <c r="AB43" s="1568">
        <f t="shared" si="4"/>
        <v>1</v>
      </c>
      <c r="AC43" s="1568">
        <f t="shared" si="5"/>
        <v>1</v>
      </c>
    </row>
    <row r="44" spans="1:29" ht="21">
      <c r="A44" s="593"/>
      <c r="B44" s="527" t="s">
        <v>554</v>
      </c>
      <c r="C44" s="598" t="s">
        <v>3087</v>
      </c>
      <c r="D44" s="539">
        <v>100</v>
      </c>
      <c r="E44" s="598" t="s">
        <v>3087</v>
      </c>
      <c r="F44" s="539">
        <f>SUMIF(127:127,E44,128:128)-SUMIF(127:127,C44,128:128)+100</f>
        <v>100</v>
      </c>
      <c r="G44" s="598" t="s">
        <v>3087</v>
      </c>
      <c r="H44" s="539">
        <f>SUMIF(127:127,G44,128:128)-SUMIF(127:127,C44,128:128)+100</f>
        <v>100</v>
      </c>
      <c r="I44" s="598" t="s">
        <v>3087</v>
      </c>
      <c r="J44" s="539">
        <f>SUMIF(127:127,I44,128:128)-SUMIF(127:127,C44,128:128)+100</f>
        <v>100</v>
      </c>
      <c r="K44" s="583">
        <v>1</v>
      </c>
      <c r="L44" s="2139"/>
      <c r="M44" s="2129"/>
      <c r="N44" s="2129"/>
      <c r="O44" s="2138"/>
      <c r="P44" s="3427" t="s">
        <v>549</v>
      </c>
      <c r="Q44" s="1569" t="str">
        <f t="shared" si="14"/>
        <v>工程地质条件</v>
      </c>
      <c r="R44" s="1570" t="s">
        <v>8</v>
      </c>
      <c r="S44" s="1571">
        <f t="shared" si="10"/>
        <v>100</v>
      </c>
      <c r="T44" s="1570" t="s">
        <v>8</v>
      </c>
      <c r="U44" s="1571">
        <f t="shared" si="11"/>
        <v>100</v>
      </c>
      <c r="V44" s="1570" t="s">
        <v>8</v>
      </c>
      <c r="W44" s="1571">
        <f t="shared" si="12"/>
        <v>100</v>
      </c>
      <c r="X44" s="1564"/>
      <c r="Y44" s="3427" t="s">
        <v>549</v>
      </c>
      <c r="Z44" s="1572" t="str">
        <f t="shared" si="13"/>
        <v>工程地质条件</v>
      </c>
      <c r="AA44" s="1573">
        <f t="shared" si="3"/>
        <v>1</v>
      </c>
      <c r="AB44" s="1573">
        <f t="shared" si="4"/>
        <v>1</v>
      </c>
      <c r="AC44" s="1573">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27"/>
      <c r="Q45" s="1569">
        <f t="shared" si="14"/>
        <v>111</v>
      </c>
      <c r="R45" s="1570" t="s">
        <v>8</v>
      </c>
      <c r="S45" s="1571">
        <f t="shared" si="10"/>
        <v>100</v>
      </c>
      <c r="T45" s="1570" t="s">
        <v>8</v>
      </c>
      <c r="U45" s="1571">
        <f t="shared" si="11"/>
        <v>100</v>
      </c>
      <c r="V45" s="1570" t="s">
        <v>8</v>
      </c>
      <c r="W45" s="1571">
        <f t="shared" si="12"/>
        <v>100</v>
      </c>
      <c r="X45" s="1564"/>
      <c r="Y45" s="3427"/>
      <c r="Z45" s="1572">
        <f t="shared" si="13"/>
        <v>111</v>
      </c>
      <c r="AA45" s="1573">
        <f t="shared" si="3"/>
        <v>1</v>
      </c>
      <c r="AB45" s="1573">
        <f t="shared" si="4"/>
        <v>1</v>
      </c>
      <c r="AC45" s="1573">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27"/>
      <c r="Q46" s="1569">
        <f t="shared" si="14"/>
        <v>111</v>
      </c>
      <c r="R46" s="1570" t="s">
        <v>8</v>
      </c>
      <c r="S46" s="1571">
        <f t="shared" si="10"/>
        <v>100</v>
      </c>
      <c r="T46" s="1570" t="s">
        <v>8</v>
      </c>
      <c r="U46" s="1571">
        <f t="shared" si="11"/>
        <v>100</v>
      </c>
      <c r="V46" s="1570" t="s">
        <v>8</v>
      </c>
      <c r="W46" s="1571">
        <f t="shared" si="12"/>
        <v>100</v>
      </c>
      <c r="X46" s="1564"/>
      <c r="Y46" s="3427"/>
      <c r="Z46" s="1572">
        <f t="shared" si="13"/>
        <v>111</v>
      </c>
      <c r="AA46" s="1573">
        <f t="shared" si="3"/>
        <v>1</v>
      </c>
      <c r="AB46" s="1573">
        <f t="shared" si="4"/>
        <v>1</v>
      </c>
      <c r="AC46" s="1573">
        <f t="shared" si="5"/>
        <v>1</v>
      </c>
    </row>
    <row r="47" spans="1:29" s="1338"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27"/>
      <c r="Q47" s="1569">
        <f t="shared" si="14"/>
        <v>111</v>
      </c>
      <c r="R47" s="1574" t="s">
        <v>8</v>
      </c>
      <c r="S47" s="1575">
        <f t="shared" si="10"/>
        <v>100</v>
      </c>
      <c r="T47" s="1574" t="s">
        <v>8</v>
      </c>
      <c r="U47" s="1575">
        <f t="shared" si="11"/>
        <v>100</v>
      </c>
      <c r="V47" s="1574" t="s">
        <v>8</v>
      </c>
      <c r="W47" s="1575">
        <f t="shared" si="12"/>
        <v>100</v>
      </c>
      <c r="X47" s="1576"/>
      <c r="Y47" s="3427"/>
      <c r="Z47" s="1577">
        <f t="shared" si="13"/>
        <v>111</v>
      </c>
      <c r="AA47" s="1573">
        <f t="shared" si="3"/>
        <v>1</v>
      </c>
      <c r="AB47" s="1573">
        <f t="shared" si="4"/>
        <v>1</v>
      </c>
      <c r="AC47" s="1573">
        <f t="shared" si="5"/>
        <v>1</v>
      </c>
    </row>
    <row r="48" spans="1:29" ht="21">
      <c r="A48" s="606" t="s">
        <v>555</v>
      </c>
      <c r="B48" s="607" t="s">
        <v>2998</v>
      </c>
      <c r="C48" s="608" t="s">
        <v>1</v>
      </c>
      <c r="D48" s="609"/>
      <c r="E48" s="610">
        <f>ROUND(土地案例!AK37,0)</f>
        <v>4415</v>
      </c>
      <c r="F48" s="611"/>
      <c r="G48" s="612">
        <f>ROUND(土地案例!AK40,0)</f>
        <v>4121</v>
      </c>
      <c r="H48" s="613"/>
      <c r="I48" s="610">
        <f>ROUND(土地案例!AK30,0)</f>
        <v>4009</v>
      </c>
      <c r="J48" s="613"/>
      <c r="K48" s="1339"/>
      <c r="L48" s="2141"/>
      <c r="M48" s="2129"/>
      <c r="N48" s="2129"/>
      <c r="O48" s="2142"/>
      <c r="P48" s="3388" t="str">
        <f>A48</f>
        <v>成交单价</v>
      </c>
      <c r="Q48" s="3388"/>
      <c r="R48" s="3389">
        <f>E48</f>
        <v>4415</v>
      </c>
      <c r="S48" s="3389"/>
      <c r="T48" s="3389">
        <f>G48</f>
        <v>4121</v>
      </c>
      <c r="U48" s="3389"/>
      <c r="V48" s="3389">
        <f>I48</f>
        <v>4009</v>
      </c>
      <c r="W48" s="3389"/>
      <c r="X48" s="1556"/>
      <c r="Y48" s="1578"/>
      <c r="Z48" s="1556"/>
      <c r="AA48" s="1556"/>
      <c r="AB48" s="1556"/>
      <c r="AC48" s="1556"/>
    </row>
    <row r="49" spans="1:29" ht="21.6" thickBot="1">
      <c r="A49" s="614" t="s">
        <v>2691</v>
      </c>
      <c r="B49" s="615"/>
      <c r="C49" s="616">
        <f>R50</f>
        <v>5187</v>
      </c>
      <c r="D49" s="617"/>
      <c r="E49" s="616">
        <f>R49</f>
        <v>5555</v>
      </c>
      <c r="F49" s="618"/>
      <c r="G49" s="619">
        <f>T49</f>
        <v>5273</v>
      </c>
      <c r="H49" s="617"/>
      <c r="I49" s="616">
        <f>V49</f>
        <v>4732</v>
      </c>
      <c r="J49" s="617"/>
      <c r="K49" s="1340"/>
      <c r="L49" s="2141"/>
      <c r="M49" s="2129"/>
      <c r="N49" s="2129"/>
      <c r="O49" s="2142"/>
      <c r="P49" s="3388" t="str">
        <f>A49</f>
        <v>比较价格（元/平方米）</v>
      </c>
      <c r="Q49" s="3388"/>
      <c r="R49" s="3390">
        <f>ROUND(PRODUCT(R48,AA9:AA47),0)</f>
        <v>5555</v>
      </c>
      <c r="S49" s="3390"/>
      <c r="T49" s="3390">
        <f>ROUND(PRODUCT(T48,AB9:AB47),0)</f>
        <v>5273</v>
      </c>
      <c r="U49" s="3390"/>
      <c r="V49" s="3390">
        <f>ROUND(PRODUCT(V48,AC9:AC47),0)</f>
        <v>4732</v>
      </c>
      <c r="W49" s="3390"/>
      <c r="X49" s="1556"/>
      <c r="Y49" s="1556"/>
      <c r="Z49" s="1556"/>
      <c r="AA49" s="1556"/>
      <c r="AB49" s="1556"/>
      <c r="AC49" s="1556"/>
    </row>
    <row r="50" spans="1:29" ht="21.6" thickBot="1">
      <c r="A50" s="620" t="s">
        <v>2931</v>
      </c>
      <c r="B50" s="621"/>
      <c r="C50" s="622">
        <f>R50</f>
        <v>5187</v>
      </c>
      <c r="D50" s="622"/>
      <c r="E50" s="622"/>
      <c r="F50" s="622"/>
      <c r="G50" s="622"/>
      <c r="H50" s="622"/>
      <c r="I50" s="622"/>
      <c r="J50" s="622"/>
      <c r="K50" s="1341"/>
      <c r="L50" s="2141"/>
      <c r="M50" s="2129"/>
      <c r="N50" s="2129"/>
      <c r="O50" s="2142"/>
      <c r="P50" s="3385" t="str">
        <f>A50</f>
        <v>估价对象XX用房的比较价格（楼面单价，元/平方米）</v>
      </c>
      <c r="Q50" s="3386"/>
      <c r="R50" s="3387">
        <f>ROUND(AVERAGE(R49:V49),0)</f>
        <v>5187</v>
      </c>
      <c r="S50" s="3387"/>
      <c r="T50" s="3387"/>
      <c r="U50" s="3387"/>
      <c r="V50" s="3387"/>
      <c r="W50" s="3387"/>
      <c r="X50" s="1556"/>
      <c r="Y50" s="1556"/>
      <c r="Z50" s="1556"/>
      <c r="AA50" s="1556"/>
      <c r="AB50" s="1556"/>
      <c r="AC50" s="1556"/>
    </row>
    <row r="51" spans="1:29" ht="21">
      <c r="A51" s="2142"/>
      <c r="B51" s="2142"/>
      <c r="C51" s="2142"/>
      <c r="D51" s="2142"/>
      <c r="E51" s="2142"/>
      <c r="F51" s="2142"/>
      <c r="G51" s="2145"/>
      <c r="H51" s="2142"/>
      <c r="I51" s="2142"/>
      <c r="J51" s="2142"/>
      <c r="K51" s="2146"/>
      <c r="L51" s="2147"/>
      <c r="M51" s="2129"/>
      <c r="N51" s="2129"/>
      <c r="O51" s="2142"/>
      <c r="P51" s="1556"/>
      <c r="Q51" s="2142"/>
      <c r="R51" s="2142"/>
      <c r="S51" s="2142"/>
      <c r="T51" s="2142"/>
      <c r="U51" s="2142"/>
      <c r="V51" s="2142"/>
      <c r="W51" s="2142"/>
      <c r="X51" s="2142"/>
      <c r="Y51" s="2142"/>
      <c r="Z51" s="2142"/>
      <c r="AA51" s="2142"/>
      <c r="AB51" s="2142"/>
      <c r="AC51" s="2142"/>
    </row>
    <row r="52" spans="1:29" ht="21">
      <c r="A52" s="2142"/>
      <c r="B52" s="2142"/>
      <c r="C52" s="2142"/>
      <c r="D52" s="2142"/>
      <c r="E52" s="2142"/>
      <c r="F52" s="2142"/>
      <c r="G52" s="2142"/>
      <c r="H52" s="2142"/>
      <c r="I52" s="2142"/>
      <c r="J52" s="2142"/>
      <c r="K52" s="2146"/>
      <c r="L52" s="2147"/>
      <c r="M52" s="2129"/>
      <c r="N52" s="2129"/>
      <c r="O52" s="2142"/>
      <c r="P52" s="1556"/>
      <c r="Q52" s="2142"/>
      <c r="R52" s="2142"/>
      <c r="S52" s="2142"/>
      <c r="T52" s="2142"/>
      <c r="U52" s="2142"/>
      <c r="V52" s="2142"/>
      <c r="W52" s="2142"/>
      <c r="X52" s="2142"/>
      <c r="Y52" s="2142"/>
      <c r="Z52" s="2142"/>
      <c r="AA52" s="2142"/>
      <c r="AB52" s="2142"/>
      <c r="AC52" s="2142"/>
    </row>
    <row r="53" spans="1:29" ht="13.5" customHeight="1">
      <c r="A53" s="2142"/>
      <c r="B53" s="2142"/>
      <c r="C53" s="623" t="s">
        <v>556</v>
      </c>
      <c r="D53" s="624"/>
      <c r="E53" s="625">
        <f>IF(E48&lt;E49,E49/E48-1,E48/E49-1)</f>
        <v>0.25821064552661377</v>
      </c>
      <c r="F53" s="626" t="str">
        <f>IF(OR(E53&gt;=0.3,E53&lt;=-0.3),"超过30%","")</f>
        <v/>
      </c>
      <c r="G53" s="625">
        <f>IF(G48&lt;G49,G49/G48-1,G48/G49-1)</f>
        <v>0.27954380004853197</v>
      </c>
      <c r="H53" s="626" t="str">
        <f>IF(OR(G53&gt;=0.3,G53&lt;=-0.3),"超过30%","")</f>
        <v/>
      </c>
      <c r="I53" s="625">
        <f>IF(I48&lt;I49,I49/I48-1,I48/I49-1)</f>
        <v>0.18034422549264151</v>
      </c>
      <c r="J53" s="626" t="str">
        <f>IF(OR(I53&gt;=0.3,I53&lt;=-0.3),"超过30%","")</f>
        <v/>
      </c>
      <c r="K53" s="2146"/>
      <c r="L53" s="2147"/>
      <c r="M53" s="2129"/>
      <c r="N53" s="2129"/>
      <c r="O53" s="2142"/>
      <c r="P53" s="1556"/>
      <c r="Q53" s="2142"/>
      <c r="R53" s="2142"/>
      <c r="S53" s="2142"/>
      <c r="T53" s="2142"/>
      <c r="U53" s="2142"/>
      <c r="V53" s="2142"/>
      <c r="W53" s="2142"/>
      <c r="X53" s="2142"/>
      <c r="Y53" s="2142"/>
      <c r="Z53" s="2142"/>
      <c r="AA53" s="2142"/>
      <c r="AB53" s="2142"/>
      <c r="AC53" s="2142"/>
    </row>
    <row r="54" spans="1:29" ht="13.5" customHeight="1">
      <c r="A54" s="2142"/>
      <c r="B54" s="2142"/>
      <c r="C54" s="623" t="s">
        <v>557</v>
      </c>
      <c r="D54" s="627"/>
      <c r="E54" s="625">
        <f>IF(E49&lt;G49,G49/E49-1,E49/G49-1)</f>
        <v>5.3479992414185551E-2</v>
      </c>
      <c r="F54" s="626" t="str">
        <f>IF(OR(E54&gt;=0.2,E54&lt;=-0.2),"超过20%","")</f>
        <v/>
      </c>
      <c r="G54" s="625">
        <f>IF(G49&lt;I49,I49/G49-1,G49/I49-1)</f>
        <v>0.11432797971259512</v>
      </c>
      <c r="H54" s="626" t="str">
        <f>IF(OR(G54&gt;=0.2,G54&lt;=-0.2),"超过20%","")</f>
        <v/>
      </c>
      <c r="I54" s="625">
        <f>IF(I49&lt;E49,E49/I49-1,I49/E49-1)</f>
        <v>0.17392223161453924</v>
      </c>
      <c r="J54" s="626" t="str">
        <f>IF(OR(I54&gt;=0.2,I54&lt;=-0.2),"超过20%","")</f>
        <v/>
      </c>
      <c r="K54" s="2146"/>
      <c r="L54" s="2147"/>
      <c r="M54" s="2129"/>
      <c r="N54" s="2129"/>
      <c r="O54" s="2142"/>
      <c r="P54" s="1556"/>
      <c r="Q54" s="2142"/>
      <c r="R54" s="2142"/>
      <c r="S54" s="2142"/>
      <c r="T54" s="2142"/>
      <c r="U54" s="2142"/>
      <c r="V54" s="2142"/>
      <c r="W54" s="2142"/>
      <c r="X54" s="2142"/>
      <c r="Y54" s="2142"/>
      <c r="Z54" s="2142"/>
      <c r="AA54" s="2142"/>
      <c r="AB54" s="2142"/>
      <c r="AC54" s="2142"/>
    </row>
    <row r="55" spans="1:29" s="1344" customFormat="1" ht="13.5" customHeight="1">
      <c r="A55" s="2143"/>
      <c r="B55" s="2143"/>
      <c r="C55" s="623" t="s">
        <v>558</v>
      </c>
      <c r="D55" s="627"/>
      <c r="E55" s="625">
        <f>IF(E48&lt;G48,G48/E48-1,E48/G48-1)</f>
        <v>7.1341907304052432E-2</v>
      </c>
      <c r="F55" s="626" t="str">
        <f>IF(OR(E55&gt;=0.3,E55&lt;=-0.3),"超过30%","")</f>
        <v/>
      </c>
      <c r="G55" s="625">
        <f>IF(G48&lt;I48,I48/G48-1,G48/I48-1)</f>
        <v>2.7937141431778389E-2</v>
      </c>
      <c r="H55" s="626" t="str">
        <f>IF(OR(G55&gt;=0.3,G55&lt;=-0.3),"超过30%","")</f>
        <v/>
      </c>
      <c r="I55" s="625">
        <f>IF(I48&lt;E48,E48/I48-1,I48/E48-1)</f>
        <v>0.10127213769019705</v>
      </c>
      <c r="J55" s="626" t="str">
        <f>IF(OR(I55&gt;=0.3,I55&lt;=-0.3),"超过30%","")</f>
        <v/>
      </c>
      <c r="K55" s="2149"/>
      <c r="L55" s="2150"/>
      <c r="M55" s="2129"/>
      <c r="N55" s="2129"/>
      <c r="O55" s="2143"/>
      <c r="P55" s="1554"/>
      <c r="Q55" s="2143"/>
      <c r="R55" s="2143"/>
      <c r="S55" s="2143"/>
      <c r="T55" s="2143"/>
      <c r="U55" s="2143"/>
      <c r="V55" s="2143"/>
      <c r="W55" s="2143"/>
      <c r="X55" s="2143"/>
      <c r="Y55" s="2143"/>
      <c r="Z55" s="2143"/>
      <c r="AA55" s="2143"/>
      <c r="AB55" s="2143"/>
      <c r="AC55" s="2143"/>
    </row>
    <row r="56" spans="1:29" s="1344" customFormat="1" ht="21.6" thickBot="1">
      <c r="A56" s="2143"/>
      <c r="B56" s="2144"/>
      <c r="C56" s="2148"/>
      <c r="D56" s="2143"/>
      <c r="E56" s="2143"/>
      <c r="F56" s="2143"/>
      <c r="G56" s="2143"/>
      <c r="H56" s="2143"/>
      <c r="I56" s="2143"/>
      <c r="J56" s="2143"/>
      <c r="K56" s="2149"/>
      <c r="L56" s="2150"/>
      <c r="M56" s="2129"/>
      <c r="N56" s="2129"/>
      <c r="O56" s="2143"/>
      <c r="P56" s="1554"/>
      <c r="Q56" s="2143"/>
      <c r="R56" s="2143"/>
      <c r="S56" s="2143"/>
      <c r="T56" s="2143"/>
      <c r="U56" s="2143"/>
      <c r="V56" s="2143"/>
      <c r="W56" s="2143"/>
      <c r="X56" s="2143"/>
      <c r="Y56" s="2143"/>
      <c r="Z56" s="2143"/>
      <c r="AA56" s="2143"/>
      <c r="AB56" s="2143"/>
      <c r="AC56" s="2143"/>
    </row>
    <row r="57" spans="1:29" ht="26.25" customHeight="1">
      <c r="A57" s="628" t="s">
        <v>559</v>
      </c>
      <c r="B57" s="629" t="s">
        <v>560</v>
      </c>
      <c r="C57" s="1557" t="s">
        <v>1724</v>
      </c>
      <c r="D57" s="2224" t="s">
        <v>2294</v>
      </c>
      <c r="E57" s="630" t="s">
        <v>561</v>
      </c>
      <c r="F57" s="631" t="s">
        <v>562</v>
      </c>
      <c r="G57" s="3416" t="s">
        <v>2282</v>
      </c>
      <c r="H57" s="3417"/>
      <c r="I57" s="1552" t="s">
        <v>1722</v>
      </c>
      <c r="J57" s="1552" t="str">
        <f>项目基本情况!F41</f>
        <v>陕西省西安市</v>
      </c>
      <c r="K57" s="2151" t="s">
        <v>1723</v>
      </c>
      <c r="L57" s="2147"/>
      <c r="M57" s="2142"/>
      <c r="N57" s="2142"/>
      <c r="O57" s="2142"/>
      <c r="P57" s="2142"/>
      <c r="Q57" s="2142"/>
      <c r="R57" s="2142"/>
      <c r="S57" s="2142"/>
      <c r="T57" s="2142"/>
      <c r="U57" s="2142"/>
      <c r="V57" s="2142"/>
      <c r="W57" s="2142"/>
      <c r="X57" s="2142"/>
      <c r="Y57" s="2142"/>
      <c r="Z57" s="2142"/>
      <c r="AA57" s="2142"/>
      <c r="AB57" s="2142"/>
      <c r="AC57" s="2142"/>
    </row>
    <row r="58" spans="1:29" s="1345" customFormat="1" ht="13.2">
      <c r="A58" s="632" t="s">
        <v>563</v>
      </c>
      <c r="B58" s="633">
        <f>C50</f>
        <v>5187</v>
      </c>
      <c r="C58" s="634">
        <v>1</v>
      </c>
      <c r="D58" s="2225">
        <v>1</v>
      </c>
      <c r="E58" s="634">
        <f>'数据-汇总表'!E8+'数据-汇总表'!E9</f>
        <v>178668</v>
      </c>
      <c r="F58" s="635">
        <f t="shared" ref="F58:F67" si="15">ROUND(B58*E58/10000,0)</f>
        <v>92675</v>
      </c>
      <c r="G58" s="3418"/>
      <c r="H58" s="3419"/>
      <c r="I58" s="1553">
        <v>1</v>
      </c>
      <c r="J58" s="1553">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3.2">
      <c r="A59" s="636" t="s">
        <v>564</v>
      </c>
      <c r="B59" s="637">
        <f>ROUND($C$50*C59*D59,0)</f>
        <v>0</v>
      </c>
      <c r="C59" s="378">
        <f t="shared" ref="C59:C67" si="16">IF($C$57="北京市系数",I59,J59)</f>
        <v>0</v>
      </c>
      <c r="D59" s="2226">
        <v>0.25</v>
      </c>
      <c r="E59" s="638">
        <v>0</v>
      </c>
      <c r="F59" s="635">
        <f t="shared" si="15"/>
        <v>0</v>
      </c>
      <c r="G59" s="3420" t="s">
        <v>2283</v>
      </c>
      <c r="H59" s="1945">
        <f>项目基本情况!B43</f>
        <v>0</v>
      </c>
      <c r="I59" s="1553">
        <f>SUMIF(修正!$A$45:$A$56,H59,修正!B45:B56)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3.2">
      <c r="A60" s="636" t="s">
        <v>565</v>
      </c>
      <c r="B60" s="637">
        <f t="shared" ref="B60:B67" si="17">ROUND($C$50*C60*D60,0)</f>
        <v>0</v>
      </c>
      <c r="C60" s="378">
        <f t="shared" si="16"/>
        <v>0</v>
      </c>
      <c r="D60" s="2226">
        <v>0.25</v>
      </c>
      <c r="E60" s="638">
        <v>0</v>
      </c>
      <c r="F60" s="635">
        <f t="shared" si="15"/>
        <v>0</v>
      </c>
      <c r="G60" s="3420"/>
      <c r="H60" s="1945">
        <f>项目基本情况!B43</f>
        <v>0</v>
      </c>
      <c r="I60" s="1553">
        <f>SUMIF(修正!$A$45:$A$56,H60,修正!C45:C56)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3.2">
      <c r="A61" s="636" t="s">
        <v>566</v>
      </c>
      <c r="B61" s="637">
        <f t="shared" si="17"/>
        <v>0</v>
      </c>
      <c r="C61" s="378">
        <f t="shared" si="16"/>
        <v>0</v>
      </c>
      <c r="D61" s="2226">
        <v>0.25</v>
      </c>
      <c r="E61" s="638">
        <v>0</v>
      </c>
      <c r="F61" s="635">
        <f t="shared" si="15"/>
        <v>0</v>
      </c>
      <c r="G61" s="3420"/>
      <c r="H61" s="1945">
        <f>项目基本情况!B43</f>
        <v>0</v>
      </c>
      <c r="I61" s="1553">
        <f>SUMIF(修正!$A$45:$A$56,H61,修正!D45:D56)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ht="13.2">
      <c r="A62" s="636" t="s">
        <v>567</v>
      </c>
      <c r="B62" s="637">
        <f t="shared" si="17"/>
        <v>0</v>
      </c>
      <c r="C62" s="378">
        <f t="shared" si="16"/>
        <v>0</v>
      </c>
      <c r="D62" s="2226">
        <v>0.25</v>
      </c>
      <c r="E62" s="638">
        <v>0</v>
      </c>
      <c r="F62" s="635">
        <f t="shared" si="15"/>
        <v>0</v>
      </c>
      <c r="G62" s="3420"/>
      <c r="H62" s="1945">
        <f>项目基本情况!B43</f>
        <v>0</v>
      </c>
      <c r="I62" s="1553">
        <f>SUMIF(修正!$A$45:$A$56,H62,修正!E45:E56)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ht="13.2">
      <c r="A63" s="2328" t="s">
        <v>2328</v>
      </c>
      <c r="B63" s="637">
        <f t="shared" si="17"/>
        <v>0</v>
      </c>
      <c r="C63" s="378">
        <f t="shared" si="16"/>
        <v>0</v>
      </c>
      <c r="D63" s="2226">
        <v>0.25</v>
      </c>
      <c r="E63" s="640">
        <f>'数据-汇总表'!E11</f>
        <v>0</v>
      </c>
      <c r="F63" s="635">
        <f t="shared" si="15"/>
        <v>0</v>
      </c>
      <c r="G63" s="1942" t="s">
        <v>2284</v>
      </c>
      <c r="H63" s="1945">
        <f>项目基本情况!C43</f>
        <v>0</v>
      </c>
      <c r="I63" s="1553">
        <f>SUMIF(修正!$A$45:$A$56,H63,修正!F45:F56)</f>
        <v>0</v>
      </c>
      <c r="J63" s="1555"/>
      <c r="K63" s="2152"/>
      <c r="L63" s="2152"/>
      <c r="M63" s="2152"/>
      <c r="N63" s="2152"/>
      <c r="O63" s="2152"/>
      <c r="P63" s="2152"/>
      <c r="Q63" s="2152"/>
      <c r="R63" s="2152"/>
      <c r="S63" s="2152"/>
      <c r="T63" s="2152"/>
      <c r="U63" s="2152"/>
      <c r="V63" s="2152"/>
      <c r="W63" s="2152"/>
      <c r="X63" s="2152"/>
      <c r="Y63" s="2152"/>
      <c r="Z63" s="2152"/>
      <c r="AA63" s="2152"/>
      <c r="AB63" s="2152"/>
      <c r="AC63" s="2152"/>
    </row>
    <row r="64" spans="1:29" s="1345" customFormat="1" ht="13.2">
      <c r="A64" s="636" t="s">
        <v>568</v>
      </c>
      <c r="B64" s="637">
        <f t="shared" si="17"/>
        <v>0</v>
      </c>
      <c r="C64" s="378">
        <f t="shared" si="16"/>
        <v>0</v>
      </c>
      <c r="D64" s="2226">
        <v>0.25</v>
      </c>
      <c r="E64" s="640">
        <f>'数据-汇总表'!E12</f>
        <v>0</v>
      </c>
      <c r="F64" s="635">
        <f t="shared" si="15"/>
        <v>0</v>
      </c>
      <c r="G64" s="1943" t="s">
        <v>1677</v>
      </c>
      <c r="H64" s="1941">
        <f>IF(G64="商业",项目基本情况!B43,IF(G64="办公",项目基本情况!C43,IF(G64="住宅",项目基本情况!D43,项目基本情况!E43)))</f>
        <v>0</v>
      </c>
      <c r="I64" s="1553">
        <f>SUMIF(修正!$A$45:$A$56,H64,修正!G45:G56)</f>
        <v>0</v>
      </c>
      <c r="J64" s="1555"/>
      <c r="K64" s="2152"/>
      <c r="L64" s="2152"/>
      <c r="M64" s="2152"/>
      <c r="N64" s="2152"/>
      <c r="O64" s="2152"/>
      <c r="P64" s="2152"/>
      <c r="Q64" s="2152"/>
      <c r="R64" s="2152"/>
      <c r="S64" s="2152"/>
      <c r="T64" s="2152"/>
      <c r="U64" s="2152"/>
      <c r="V64" s="2152"/>
      <c r="W64" s="2152"/>
      <c r="X64" s="2152"/>
      <c r="Y64" s="2152"/>
      <c r="Z64" s="2152"/>
      <c r="AA64" s="2152"/>
      <c r="AB64" s="2152"/>
      <c r="AC64" s="2152"/>
    </row>
    <row r="65" spans="1:29" s="1345" customFormat="1" ht="13.2">
      <c r="A65" s="636" t="s">
        <v>569</v>
      </c>
      <c r="B65" s="637">
        <f t="shared" si="17"/>
        <v>0</v>
      </c>
      <c r="C65" s="378">
        <f t="shared" si="16"/>
        <v>0</v>
      </c>
      <c r="D65" s="2226">
        <v>0.25</v>
      </c>
      <c r="E65" s="640">
        <f>'数据-汇总表'!E13</f>
        <v>55060</v>
      </c>
      <c r="F65" s="635">
        <f t="shared" si="15"/>
        <v>0</v>
      </c>
      <c r="G65" s="1943" t="s">
        <v>922</v>
      </c>
      <c r="H65" s="1941">
        <f>IF(G65="商业",项目基本情况!B43,IF(G65="办公",项目基本情况!C43,IF(G65="住宅",项目基本情况!D43,项目基本情况!E43)))</f>
        <v>0</v>
      </c>
      <c r="I65" s="1553">
        <f>SUMIF(修正!$A$45:$A$56,H65,修正!H45:H56)</f>
        <v>0</v>
      </c>
      <c r="J65" s="1555"/>
      <c r="K65" s="2152"/>
      <c r="L65" s="2152"/>
      <c r="M65" s="2152"/>
      <c r="N65" s="2152"/>
      <c r="O65" s="2152"/>
      <c r="P65" s="2152"/>
      <c r="Q65" s="2152"/>
      <c r="R65" s="2152"/>
      <c r="S65" s="2152"/>
      <c r="T65" s="2152"/>
      <c r="U65" s="2152"/>
      <c r="V65" s="2152"/>
      <c r="W65" s="2152"/>
      <c r="X65" s="2152"/>
      <c r="Y65" s="2152"/>
      <c r="Z65" s="2152"/>
      <c r="AA65" s="2152"/>
      <c r="AB65" s="2152"/>
      <c r="AC65" s="2152"/>
    </row>
    <row r="66" spans="1:29" s="1345" customFormat="1" ht="13.2">
      <c r="A66" s="636" t="s">
        <v>570</v>
      </c>
      <c r="B66" s="637">
        <f t="shared" si="17"/>
        <v>0</v>
      </c>
      <c r="C66" s="378">
        <f t="shared" si="16"/>
        <v>0</v>
      </c>
      <c r="D66" s="2226">
        <v>0.25</v>
      </c>
      <c r="E66" s="640">
        <f>'数据-汇总表'!E14</f>
        <v>0</v>
      </c>
      <c r="F66" s="635">
        <f t="shared" si="15"/>
        <v>0</v>
      </c>
      <c r="G66" s="1942" t="s">
        <v>2283</v>
      </c>
      <c r="H66" s="1945">
        <f>项目基本情况!B43</f>
        <v>0</v>
      </c>
      <c r="I66" s="1553">
        <f>SUMIF(修正!$A$45:$A$56,H66,修正!H45:H56)</f>
        <v>0</v>
      </c>
      <c r="J66" s="1555"/>
      <c r="K66" s="2152"/>
      <c r="L66" s="2152"/>
      <c r="M66" s="2152"/>
      <c r="N66" s="2152"/>
      <c r="O66" s="2152"/>
      <c r="P66" s="2152"/>
      <c r="Q66" s="2152"/>
      <c r="R66" s="2152"/>
      <c r="S66" s="2152"/>
      <c r="T66" s="2152"/>
      <c r="U66" s="2152"/>
      <c r="V66" s="2152"/>
      <c r="W66" s="2152"/>
      <c r="X66" s="2152"/>
      <c r="Y66" s="2152"/>
      <c r="Z66" s="2152"/>
      <c r="AA66" s="2152"/>
      <c r="AB66" s="2152"/>
      <c r="AC66" s="2152"/>
    </row>
    <row r="67" spans="1:29" s="1345" customFormat="1" thickBot="1">
      <c r="A67" s="636" t="s">
        <v>571</v>
      </c>
      <c r="B67" s="637">
        <f t="shared" si="17"/>
        <v>0</v>
      </c>
      <c r="C67" s="378">
        <f t="shared" si="16"/>
        <v>0</v>
      </c>
      <c r="D67" s="2226">
        <v>0.25</v>
      </c>
      <c r="E67" s="640">
        <f>'数据-汇总表'!E15</f>
        <v>0</v>
      </c>
      <c r="F67" s="635">
        <f t="shared" si="15"/>
        <v>0</v>
      </c>
      <c r="G67" s="1944" t="s">
        <v>2284</v>
      </c>
      <c r="H67" s="1946">
        <f>项目基本情况!C43</f>
        <v>0</v>
      </c>
      <c r="I67" s="1553">
        <f>SUMIF(修正!$A$45:$A$56,H67,修正!H45:H56)</f>
        <v>0</v>
      </c>
      <c r="J67" s="1555"/>
      <c r="K67" s="2152"/>
      <c r="L67" s="2152"/>
      <c r="M67" s="2152"/>
      <c r="N67" s="2152"/>
      <c r="O67" s="2152"/>
      <c r="P67" s="2152"/>
      <c r="Q67" s="2152"/>
      <c r="R67" s="2152"/>
      <c r="S67" s="2152"/>
      <c r="T67" s="2152"/>
      <c r="U67" s="2152"/>
      <c r="V67" s="2152"/>
      <c r="W67" s="2152"/>
      <c r="X67" s="2152"/>
      <c r="Y67" s="2152"/>
      <c r="Z67" s="2152"/>
      <c r="AA67" s="2152"/>
      <c r="AB67" s="2152"/>
      <c r="AC67" s="2152"/>
    </row>
    <row r="68" spans="1:29" s="1345" customFormat="1" thickBot="1">
      <c r="A68" s="641" t="s">
        <v>572</v>
      </c>
      <c r="B68" s="642" t="s">
        <v>17</v>
      </c>
      <c r="C68" s="642" t="s">
        <v>18</v>
      </c>
      <c r="D68" s="642" t="s">
        <v>2295</v>
      </c>
      <c r="E68" s="642">
        <f>IF(B48="楼面地价",SUM(E58:E67),'数据-汇总表'!D3)</f>
        <v>233728</v>
      </c>
      <c r="F68" s="643">
        <f>IF(B48="楼面地价",SUM(F58:F67),ROUND(C50*E68/10000,0))</f>
        <v>92675</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2019-2-1</v>
      </c>
      <c r="D70" s="2820">
        <f>EDATE(C70,-3)</f>
        <v>43405</v>
      </c>
      <c r="E70" s="2820">
        <f t="shared" ref="E70:N70" si="18">EDATE(D70,-3)</f>
        <v>43313</v>
      </c>
      <c r="F70" s="2820">
        <f t="shared" si="18"/>
        <v>43221</v>
      </c>
      <c r="G70" s="2820">
        <f t="shared" si="18"/>
        <v>43132</v>
      </c>
      <c r="H70" s="2820">
        <f t="shared" si="18"/>
        <v>43040</v>
      </c>
      <c r="I70" s="2820">
        <f t="shared" si="18"/>
        <v>42948</v>
      </c>
      <c r="J70" s="2820">
        <f t="shared" si="18"/>
        <v>42856</v>
      </c>
      <c r="K70" s="2820">
        <f t="shared" si="18"/>
        <v>42767</v>
      </c>
      <c r="L70" s="2820">
        <f t="shared" si="18"/>
        <v>42675</v>
      </c>
      <c r="M70" s="2820">
        <f t="shared" si="18"/>
        <v>42583</v>
      </c>
      <c r="N70" s="2820">
        <f t="shared" si="18"/>
        <v>42491</v>
      </c>
      <c r="O70" s="2142"/>
      <c r="P70" s="2142"/>
      <c r="Q70" s="2142"/>
      <c r="R70" s="2142"/>
      <c r="S70" s="2142"/>
      <c r="T70" s="2142"/>
      <c r="U70" s="2142"/>
      <c r="V70" s="2142"/>
      <c r="W70" s="2142"/>
      <c r="X70" s="2142"/>
      <c r="Y70" s="2142"/>
      <c r="Z70" s="2142"/>
      <c r="AA70" s="2142"/>
      <c r="AB70" s="2142"/>
      <c r="AC70" s="2142"/>
    </row>
    <row r="71" spans="1:29" ht="22.2" thickBot="1">
      <c r="A71" s="1581" t="s">
        <v>573</v>
      </c>
      <c r="B71" s="1556"/>
      <c r="C71" s="1580"/>
      <c r="D71" s="1580"/>
      <c r="E71" s="1580"/>
      <c r="F71" s="1582"/>
      <c r="G71" s="1582"/>
      <c r="H71" s="1580"/>
      <c r="I71" s="1580"/>
      <c r="J71" s="1580"/>
      <c r="K71" s="1583"/>
      <c r="L71" s="1579"/>
      <c r="M71" s="1580"/>
      <c r="N71" s="1580"/>
      <c r="O71" s="2154"/>
      <c r="P71" s="2154"/>
      <c r="Q71" s="2155"/>
      <c r="R71" s="2142"/>
      <c r="S71" s="2142"/>
      <c r="T71" s="2142"/>
      <c r="U71" s="2142"/>
      <c r="V71" s="2142"/>
      <c r="W71" s="2142"/>
      <c r="X71" s="2142"/>
      <c r="Y71" s="2142"/>
      <c r="Z71" s="2142"/>
      <c r="AA71" s="2142"/>
      <c r="AB71" s="2142"/>
      <c r="AC71" s="2142"/>
    </row>
    <row r="72" spans="1:29" s="1346" customFormat="1" ht="14.4">
      <c r="A72" s="2589" t="s">
        <v>2531</v>
      </c>
      <c r="B72" s="2590"/>
      <c r="C72" s="2815" t="str">
        <f>YEAR(C70)&amp;"-"&amp;ROUNDUP(MONTH(C70)/3,0)</f>
        <v>2019-1</v>
      </c>
      <c r="D72" s="2822" t="str">
        <f>YEAR(D70)&amp;"-"&amp;ROUNDUP(MONTH(D70)/3,0)</f>
        <v>2018-4</v>
      </c>
      <c r="E72" s="2822" t="str">
        <f t="shared" ref="E72:N72" si="19">YEAR(E70)&amp;"-"&amp;ROUNDUP(MONTH(E70)/3,0)</f>
        <v>2018-3</v>
      </c>
      <c r="F72" s="2822" t="str">
        <f t="shared" si="19"/>
        <v>2018-2</v>
      </c>
      <c r="G72" s="2822" t="str">
        <f t="shared" si="19"/>
        <v>2018-1</v>
      </c>
      <c r="H72" s="2822" t="str">
        <f t="shared" si="19"/>
        <v>2017-4</v>
      </c>
      <c r="I72" s="2822" t="str">
        <f t="shared" si="19"/>
        <v>2017-3</v>
      </c>
      <c r="J72" s="2822" t="str">
        <f t="shared" si="19"/>
        <v>2017-2</v>
      </c>
      <c r="K72" s="2822" t="str">
        <f t="shared" si="19"/>
        <v>2017-1</v>
      </c>
      <c r="L72" s="2822" t="str">
        <f t="shared" si="19"/>
        <v>2016-4</v>
      </c>
      <c r="M72" s="2822" t="str">
        <f t="shared" si="19"/>
        <v>2016-3</v>
      </c>
      <c r="N72" s="2822" t="str">
        <f t="shared" si="19"/>
        <v>2016-2</v>
      </c>
      <c r="O72" s="2156"/>
      <c r="P72" s="2157"/>
      <c r="Q72" s="2158"/>
      <c r="R72" s="2158"/>
      <c r="S72" s="2158"/>
      <c r="T72" s="2158"/>
      <c r="U72" s="2158"/>
      <c r="V72" s="2158"/>
      <c r="W72" s="2158"/>
      <c r="X72" s="2158"/>
      <c r="Y72" s="2158"/>
      <c r="Z72" s="2158"/>
      <c r="AA72" s="2158"/>
      <c r="AB72" s="2158"/>
      <c r="AC72" s="2158"/>
    </row>
    <row r="73" spans="1:29" s="1219" customFormat="1" ht="27" customHeight="1">
      <c r="A73" s="2827" t="s">
        <v>922</v>
      </c>
      <c r="B73" s="479" t="str">
        <f>"北京市平均增长率"&amp;TEXT(SUMIF(基准地价!N21:N25,A73,基准地价!P21:P25),"0.00%")</f>
        <v>北京市平均增长率0.00%</v>
      </c>
      <c r="C73" s="893">
        <v>100</v>
      </c>
      <c r="D73" s="3207">
        <f>C73-$C$74</f>
        <v>98.5</v>
      </c>
      <c r="E73" s="3207">
        <f t="shared" ref="E73:N73" si="20">D73-$C$74</f>
        <v>97</v>
      </c>
      <c r="F73" s="3207">
        <f t="shared" si="20"/>
        <v>95.5</v>
      </c>
      <c r="G73" s="3207">
        <f t="shared" si="20"/>
        <v>94</v>
      </c>
      <c r="H73" s="3207">
        <f t="shared" si="20"/>
        <v>92.5</v>
      </c>
      <c r="I73" s="3207">
        <f t="shared" si="20"/>
        <v>91</v>
      </c>
      <c r="J73" s="3207">
        <f t="shared" si="20"/>
        <v>89.5</v>
      </c>
      <c r="K73" s="3207">
        <f t="shared" si="20"/>
        <v>88</v>
      </c>
      <c r="L73" s="3207">
        <f t="shared" si="20"/>
        <v>86.5</v>
      </c>
      <c r="M73" s="3207">
        <f t="shared" si="20"/>
        <v>85</v>
      </c>
      <c r="N73" s="3207">
        <f t="shared" si="20"/>
        <v>83.5</v>
      </c>
      <c r="O73" s="2159"/>
      <c r="P73" s="2155"/>
      <c r="Q73" s="1990"/>
      <c r="R73" s="1990"/>
      <c r="S73" s="1990"/>
      <c r="T73" s="1990"/>
      <c r="U73" s="1990"/>
      <c r="V73" s="1990"/>
      <c r="W73" s="1990"/>
      <c r="X73" s="1990"/>
      <c r="Y73" s="1990"/>
      <c r="Z73" s="1990"/>
      <c r="AA73" s="1990"/>
      <c r="AB73" s="1990"/>
      <c r="AC73" s="1990"/>
    </row>
    <row r="74" spans="1:29" s="1219" customFormat="1" ht="15" customHeight="1" thickBot="1">
      <c r="A74" s="2817" t="s">
        <v>2645</v>
      </c>
      <c r="B74" s="2826"/>
      <c r="C74" s="3210">
        <v>1.5</v>
      </c>
      <c r="D74" s="2812"/>
      <c r="E74" s="2812"/>
      <c r="F74" s="2812"/>
      <c r="G74" s="2812"/>
      <c r="H74" s="2812"/>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9" customFormat="1" ht="14.4">
      <c r="A75" s="658" t="s">
        <v>530</v>
      </c>
      <c r="B75" s="647"/>
      <c r="C75" s="659" t="s">
        <v>575</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9" customFormat="1" ht="14.4"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4.4">
      <c r="A77" s="663" t="s">
        <v>576</v>
      </c>
      <c r="B77" s="664" t="s">
        <v>533</v>
      </c>
      <c r="C77" s="3179" t="s">
        <v>3347</v>
      </c>
      <c r="D77" s="59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9.4" thickTop="1">
      <c r="A79" s="668"/>
      <c r="B79" s="672" t="s">
        <v>536</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 thickTop="1">
      <c r="A81" s="668"/>
      <c r="B81" s="680" t="s">
        <v>537</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c r="A82" s="668"/>
      <c r="B82" s="682"/>
      <c r="C82" s="540">
        <v>0</v>
      </c>
      <c r="D82" s="540">
        <v>1</v>
      </c>
      <c r="E82" s="540">
        <v>2</v>
      </c>
      <c r="F82" s="540">
        <v>3</v>
      </c>
      <c r="G82" s="540">
        <v>4</v>
      </c>
      <c r="H82" s="540">
        <v>5</v>
      </c>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4.4"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3"/>
      <c r="O83" s="2163"/>
      <c r="P83" s="2162"/>
      <c r="Q83" s="2155"/>
      <c r="R83" s="2142"/>
      <c r="S83" s="2142"/>
      <c r="T83" s="2142"/>
      <c r="U83" s="2142"/>
      <c r="V83" s="2142"/>
      <c r="W83" s="2142"/>
      <c r="X83" s="2142"/>
      <c r="Y83" s="2142"/>
      <c r="Z83" s="2142"/>
      <c r="AA83" s="2142"/>
      <c r="AB83" s="2142"/>
      <c r="AC83" s="2142"/>
    </row>
    <row r="84" spans="1:29" s="1338" customFormat="1" ht="15" thickTop="1">
      <c r="A84" s="686"/>
      <c r="B84" s="672" t="str">
        <f>B14</f>
        <v>配建</v>
      </c>
      <c r="C84" s="2930"/>
      <c r="D84" s="1373"/>
      <c r="E84" s="1374"/>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8" customFormat="1" ht="14.4" thickBot="1">
      <c r="A85" s="686"/>
      <c r="B85" s="677"/>
      <c r="C85" s="691"/>
      <c r="D85" s="670"/>
      <c r="E85" s="670"/>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8" customFormat="1" ht="14.4" thickTop="1">
      <c r="A86" s="686"/>
      <c r="B86" s="672">
        <f>B15</f>
        <v>111</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8" customFormat="1" ht="14.4"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8" customFormat="1" ht="14.4" thickTop="1">
      <c r="A88" s="686"/>
      <c r="B88" s="680">
        <f>B16</f>
        <v>111</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8" customFormat="1" ht="14.4"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ht="14.4">
      <c r="A90" s="663" t="s">
        <v>538</v>
      </c>
      <c r="B90" s="664" t="s">
        <v>577</v>
      </c>
      <c r="C90" s="702" t="s">
        <v>578</v>
      </c>
      <c r="D90" s="702" t="s">
        <v>579</v>
      </c>
      <c r="E90" s="702" t="s">
        <v>580</v>
      </c>
      <c r="F90" s="702" t="s">
        <v>581</v>
      </c>
      <c r="G90" s="702" t="s">
        <v>582</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4.4" thickBot="1">
      <c r="A91" s="668"/>
      <c r="B91" s="677"/>
      <c r="C91" s="678">
        <v>100</v>
      </c>
      <c r="D91" s="678">
        <f>C91-$K17</f>
        <v>98</v>
      </c>
      <c r="E91" s="678">
        <f>D91-$K17</f>
        <v>96</v>
      </c>
      <c r="F91" s="678">
        <f>E91-$K17</f>
        <v>94</v>
      </c>
      <c r="G91" s="678">
        <f>F91-$K17</f>
        <v>92</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 thickTop="1">
      <c r="A92" s="668"/>
      <c r="B92" s="672" t="s">
        <v>583</v>
      </c>
      <c r="C92" s="707" t="s">
        <v>578</v>
      </c>
      <c r="D92" s="707" t="s">
        <v>579</v>
      </c>
      <c r="E92" s="707" t="s">
        <v>580</v>
      </c>
      <c r="F92" s="707" t="s">
        <v>581</v>
      </c>
      <c r="G92" s="707" t="s">
        <v>582</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8">
        <v>100</v>
      </c>
      <c r="D93" s="678">
        <f>C93-$K19</f>
        <v>98</v>
      </c>
      <c r="E93" s="678">
        <f>D93-$K19</f>
        <v>96</v>
      </c>
      <c r="F93" s="678">
        <f>E93-$K19</f>
        <v>94</v>
      </c>
      <c r="G93" s="678">
        <f>F93-$K19</f>
        <v>92</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 thickTop="1">
      <c r="A94" s="668"/>
      <c r="B94" s="672" t="s">
        <v>584</v>
      </c>
      <c r="C94" s="707" t="s">
        <v>578</v>
      </c>
      <c r="D94" s="707" t="s">
        <v>579</v>
      </c>
      <c r="E94" s="707" t="s">
        <v>580</v>
      </c>
      <c r="F94" s="707" t="s">
        <v>581</v>
      </c>
      <c r="G94" s="707" t="s">
        <v>582</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 thickTop="1">
      <c r="A96" s="668"/>
      <c r="B96" s="672" t="s">
        <v>585</v>
      </c>
      <c r="C96" s="707" t="s">
        <v>578</v>
      </c>
      <c r="D96" s="707" t="s">
        <v>579</v>
      </c>
      <c r="E96" s="707" t="s">
        <v>580</v>
      </c>
      <c r="F96" s="707" t="s">
        <v>581</v>
      </c>
      <c r="G96" s="707" t="s">
        <v>582</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78">
        <v>100</v>
      </c>
      <c r="D97" s="678">
        <f>C97-$K23</f>
        <v>98</v>
      </c>
      <c r="E97" s="678">
        <f>D97-$K23</f>
        <v>96</v>
      </c>
      <c r="F97" s="678">
        <f>E97-$K23</f>
        <v>94</v>
      </c>
      <c r="G97" s="678">
        <f>F97-$K23</f>
        <v>92</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9" customFormat="1" ht="29.4" thickTop="1">
      <c r="A98" s="708"/>
      <c r="B98" s="672" t="s">
        <v>586</v>
      </c>
      <c r="C98" s="707" t="s">
        <v>578</v>
      </c>
      <c r="D98" s="707" t="s">
        <v>579</v>
      </c>
      <c r="E98" s="707" t="s">
        <v>580</v>
      </c>
      <c r="F98" s="707" t="s">
        <v>581</v>
      </c>
      <c r="G98" s="707" t="s">
        <v>582</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9" customFormat="1" ht="14.4" thickBot="1">
      <c r="A99" s="708"/>
      <c r="B99" s="677"/>
      <c r="C99" s="711">
        <v>100</v>
      </c>
      <c r="D99" s="678">
        <f>C99-$K25</f>
        <v>99</v>
      </c>
      <c r="E99" s="678">
        <f>D99-$K25</f>
        <v>98</v>
      </c>
      <c r="F99" s="678">
        <f>E99-$K25</f>
        <v>97</v>
      </c>
      <c r="G99" s="678">
        <f>F99-$K25</f>
        <v>96</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9" customFormat="1" ht="29.4" thickTop="1">
      <c r="A100" s="708"/>
      <c r="B100" s="672" t="s">
        <v>587</v>
      </c>
      <c r="C100" s="702" t="s">
        <v>578</v>
      </c>
      <c r="D100" s="702" t="s">
        <v>579</v>
      </c>
      <c r="E100" s="702" t="s">
        <v>580</v>
      </c>
      <c r="F100" s="702" t="s">
        <v>581</v>
      </c>
      <c r="G100" s="702" t="s">
        <v>582</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9"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8" customFormat="1" ht="15" thickTop="1">
      <c r="A102" s="686"/>
      <c r="B102" s="1893" t="s">
        <v>2547</v>
      </c>
      <c r="C102" s="702" t="s">
        <v>578</v>
      </c>
      <c r="D102" s="702" t="s">
        <v>579</v>
      </c>
      <c r="E102" s="702" t="s">
        <v>580</v>
      </c>
      <c r="F102" s="702" t="s">
        <v>581</v>
      </c>
      <c r="G102" s="702" t="s">
        <v>582</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8"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8" customFormat="1" ht="15" thickTop="1">
      <c r="A104" s="686"/>
      <c r="B104" s="2618" t="s">
        <v>2549</v>
      </c>
      <c r="C104" s="2619" t="s">
        <v>2550</v>
      </c>
      <c r="D104" s="2619" t="s">
        <v>2551</v>
      </c>
      <c r="E104" s="2619" t="s">
        <v>2552</v>
      </c>
      <c r="F104" s="2619" t="s">
        <v>2553</v>
      </c>
      <c r="G104" s="2619" t="s">
        <v>2554</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8" customFormat="1" ht="14.4" thickBot="1">
      <c r="A105" s="686"/>
      <c r="B105" s="680"/>
      <c r="C105" s="678">
        <v>100</v>
      </c>
      <c r="D105" s="678">
        <f>C105-$K31</f>
        <v>99</v>
      </c>
      <c r="E105" s="678">
        <f>D105-$K31</f>
        <v>98</v>
      </c>
      <c r="F105" s="678">
        <f>E105-$K31</f>
        <v>97</v>
      </c>
      <c r="G105" s="678">
        <f>F105-$K31</f>
        <v>96</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 thickTop="1">
      <c r="A106" s="668"/>
      <c r="B106" s="672" t="str">
        <f>B33</f>
        <v>临街状况</v>
      </c>
      <c r="C106" s="673" t="s">
        <v>588</v>
      </c>
      <c r="D106" s="673" t="s">
        <v>589</v>
      </c>
      <c r="E106" s="673" t="s">
        <v>590</v>
      </c>
      <c r="F106" s="673" t="s">
        <v>591</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3"/>
      <c r="O107" s="2163"/>
      <c r="P107" s="2162"/>
      <c r="Q107" s="2155"/>
      <c r="R107" s="2142"/>
      <c r="S107" s="2142"/>
      <c r="T107" s="2142"/>
      <c r="U107" s="2142"/>
      <c r="V107" s="2142"/>
      <c r="W107" s="2142"/>
      <c r="X107" s="2142"/>
      <c r="Y107" s="2142"/>
      <c r="Z107" s="2142"/>
      <c r="AA107" s="2142"/>
      <c r="AB107" s="2142"/>
      <c r="AC107" s="2142"/>
    </row>
    <row r="108" spans="1:29" ht="29.4" thickTop="1">
      <c r="A108" s="668"/>
      <c r="B108" s="672" t="s">
        <v>547</v>
      </c>
      <c r="C108" s="3180" t="s">
        <v>3067</v>
      </c>
      <c r="D108" s="3180" t="s">
        <v>3068</v>
      </c>
      <c r="E108" s="3180" t="s">
        <v>3069</v>
      </c>
      <c r="F108" s="3180" t="s">
        <v>3070</v>
      </c>
      <c r="G108" s="3180" t="s">
        <v>3071</v>
      </c>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3"/>
      <c r="O109" s="2163"/>
      <c r="P109" s="2162"/>
      <c r="Q109" s="2155"/>
      <c r="R109" s="2142"/>
      <c r="S109" s="2142"/>
      <c r="T109" s="2142"/>
      <c r="U109" s="2142"/>
      <c r="V109" s="2142"/>
      <c r="W109" s="2142"/>
      <c r="X109" s="2142"/>
      <c r="Y109" s="2142"/>
      <c r="Z109" s="2142"/>
      <c r="AA109" s="2142"/>
      <c r="AB109" s="2142"/>
      <c r="AC109" s="2142"/>
    </row>
    <row r="110" spans="1:29" ht="15" thickTop="1">
      <c r="A110" s="668"/>
      <c r="B110" s="672" t="s">
        <v>548</v>
      </c>
      <c r="C110" s="3183" t="s">
        <v>3093</v>
      </c>
      <c r="D110" s="3183" t="s">
        <v>3094</v>
      </c>
      <c r="E110" s="3183" t="s">
        <v>3095</v>
      </c>
      <c r="F110" s="3183" t="s">
        <v>3096</v>
      </c>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3"/>
      <c r="O111" s="2163"/>
      <c r="P111" s="2162"/>
      <c r="Q111" s="2155"/>
      <c r="R111" s="2142"/>
      <c r="S111" s="2142"/>
      <c r="T111" s="2142"/>
      <c r="U111" s="2142"/>
      <c r="V111" s="2142"/>
      <c r="W111" s="2142"/>
      <c r="X111" s="2142"/>
      <c r="Y111" s="2142"/>
      <c r="Z111" s="2142"/>
      <c r="AA111" s="2142"/>
      <c r="AB111" s="2142"/>
      <c r="AC111" s="2142"/>
    </row>
    <row r="112" spans="1:29" ht="14.4"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4.4"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8" customFormat="1" ht="14.4"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8" customFormat="1" ht="14.4"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27.6">
      <c r="A118" s="663" t="s">
        <v>550</v>
      </c>
      <c r="B118" s="664" t="s">
        <v>592</v>
      </c>
      <c r="C118" s="703" t="str">
        <f t="shared" ref="C118:L118" si="26">C119&amp;"(含)"&amp;"-"&amp;D119</f>
        <v>0(含)-10000</v>
      </c>
      <c r="D118" s="703" t="str">
        <f t="shared" si="26"/>
        <v>10000(含)-20000</v>
      </c>
      <c r="E118" s="703" t="str">
        <f t="shared" si="26"/>
        <v>20000(含)-30000</v>
      </c>
      <c r="F118" s="703" t="str">
        <f t="shared" si="26"/>
        <v>30000(含)-40000</v>
      </c>
      <c r="G118" s="703" t="str">
        <f t="shared" si="26"/>
        <v>40000(含)-50000</v>
      </c>
      <c r="H118" s="703" t="str">
        <f t="shared" si="26"/>
        <v>50000(含)-60000</v>
      </c>
      <c r="I118" s="703" t="str">
        <f t="shared" si="26"/>
        <v>60000(含)-70000</v>
      </c>
      <c r="J118" s="3113" t="str">
        <f t="shared" si="26"/>
        <v>70000(含)-80000</v>
      </c>
      <c r="K118" s="3113" t="str">
        <f t="shared" si="26"/>
        <v>80000(含)-</v>
      </c>
      <c r="L118" s="3114" t="str">
        <f t="shared" si="26"/>
        <v>(含)-</v>
      </c>
      <c r="M118" s="3115"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c r="A119" s="668"/>
      <c r="B119" s="680"/>
      <c r="C119" s="729">
        <v>0</v>
      </c>
      <c r="D119" s="729">
        <v>10000</v>
      </c>
      <c r="E119" s="729">
        <v>20000</v>
      </c>
      <c r="F119" s="729">
        <v>30000</v>
      </c>
      <c r="G119" s="729">
        <v>40000</v>
      </c>
      <c r="H119" s="729">
        <v>50000</v>
      </c>
      <c r="I119" s="729">
        <v>60000</v>
      </c>
      <c r="J119" s="2364">
        <v>70000</v>
      </c>
      <c r="K119" s="2364">
        <v>80000</v>
      </c>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4.4" thickBot="1">
      <c r="A120" s="668"/>
      <c r="B120" s="677"/>
      <c r="C120" s="699">
        <v>100</v>
      </c>
      <c r="D120" s="725">
        <v>101</v>
      </c>
      <c r="E120" s="725">
        <v>102</v>
      </c>
      <c r="F120" s="725">
        <v>103</v>
      </c>
      <c r="G120" s="725">
        <v>104</v>
      </c>
      <c r="H120" s="725">
        <v>105</v>
      </c>
      <c r="I120" s="725">
        <v>106</v>
      </c>
      <c r="J120" s="725">
        <v>107</v>
      </c>
      <c r="K120" s="725">
        <v>108</v>
      </c>
      <c r="L120" s="725"/>
      <c r="M120" s="726"/>
      <c r="N120" s="2163"/>
      <c r="O120" s="2163"/>
      <c r="P120" s="2162"/>
      <c r="Q120" s="2155"/>
      <c r="R120" s="2142"/>
      <c r="S120" s="2142"/>
      <c r="T120" s="2142"/>
      <c r="U120" s="2142"/>
      <c r="V120" s="2142"/>
      <c r="W120" s="2142"/>
      <c r="X120" s="2142"/>
      <c r="Y120" s="2142"/>
      <c r="Z120" s="2142"/>
      <c r="AA120" s="2142"/>
      <c r="AB120" s="2142"/>
      <c r="AC120" s="2142"/>
    </row>
    <row r="121" spans="1:29" ht="58.8" thickTop="1" thickBot="1">
      <c r="A121" s="734"/>
      <c r="B121" s="672" t="s">
        <v>593</v>
      </c>
      <c r="C121" s="3181" t="s">
        <v>3072</v>
      </c>
      <c r="D121" s="3182" t="s">
        <v>3073</v>
      </c>
      <c r="E121" s="3182" t="s">
        <v>2934</v>
      </c>
      <c r="F121" s="3182" t="s">
        <v>3074</v>
      </c>
      <c r="G121" s="3182" t="s">
        <v>3075</v>
      </c>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4.4"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63"/>
      <c r="O122" s="2163"/>
      <c r="P122" s="2162"/>
      <c r="Q122" s="2155"/>
      <c r="R122" s="2142"/>
      <c r="S122" s="2142"/>
      <c r="T122" s="2142"/>
      <c r="U122" s="2142"/>
      <c r="V122" s="2142"/>
      <c r="W122" s="2142"/>
      <c r="X122" s="2142"/>
      <c r="Y122" s="2142"/>
      <c r="Z122" s="2142"/>
      <c r="AA122" s="2142"/>
      <c r="AB122" s="2142"/>
      <c r="AC122" s="2142"/>
    </row>
    <row r="123" spans="1:29" ht="72.599999999999994" thickTop="1">
      <c r="A123" s="734"/>
      <c r="B123" s="672" t="s">
        <v>594</v>
      </c>
      <c r="C123" s="3180" t="s">
        <v>3076</v>
      </c>
      <c r="D123" s="3180" t="s">
        <v>3077</v>
      </c>
      <c r="E123" s="3180" t="s">
        <v>3078</v>
      </c>
      <c r="F123" s="3183" t="s">
        <v>3079</v>
      </c>
      <c r="G123" s="3183" t="s">
        <v>3080</v>
      </c>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28">C124-$K42</f>
        <v>99</v>
      </c>
      <c r="E124" s="678">
        <f t="shared" si="28"/>
        <v>98</v>
      </c>
      <c r="F124" s="678">
        <f t="shared" si="28"/>
        <v>97</v>
      </c>
      <c r="G124" s="678">
        <f t="shared" si="28"/>
        <v>96</v>
      </c>
      <c r="H124" s="678">
        <f t="shared" si="28"/>
        <v>95</v>
      </c>
      <c r="I124" s="678">
        <f t="shared" si="28"/>
        <v>94</v>
      </c>
      <c r="J124" s="678">
        <f t="shared" si="28"/>
        <v>93</v>
      </c>
      <c r="K124" s="678">
        <f t="shared" si="28"/>
        <v>92</v>
      </c>
      <c r="L124" s="678">
        <f t="shared" si="28"/>
        <v>91</v>
      </c>
      <c r="M124" s="679">
        <f t="shared" si="28"/>
        <v>90</v>
      </c>
      <c r="N124" s="2163"/>
      <c r="O124" s="2163"/>
      <c r="P124" s="2162"/>
      <c r="Q124" s="2155"/>
      <c r="R124" s="2142"/>
      <c r="S124" s="2142"/>
      <c r="T124" s="2142"/>
      <c r="U124" s="2142"/>
      <c r="V124" s="2142"/>
      <c r="W124" s="2142"/>
      <c r="X124" s="2142"/>
      <c r="Y124" s="2142"/>
      <c r="Z124" s="2142"/>
      <c r="AA124" s="2142"/>
      <c r="AB124" s="2142"/>
      <c r="AC124" s="2142"/>
    </row>
    <row r="125" spans="1:29" s="1338" customFormat="1" ht="15" thickTop="1">
      <c r="A125" s="727"/>
      <c r="B125" s="1893" t="s">
        <v>2425</v>
      </c>
      <c r="C125" s="1373" t="s">
        <v>3081</v>
      </c>
      <c r="D125" s="1373" t="s">
        <v>3082</v>
      </c>
      <c r="E125" s="1373" t="s">
        <v>3083</v>
      </c>
      <c r="F125" s="1373" t="s">
        <v>3085</v>
      </c>
      <c r="G125" s="1373"/>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8" customFormat="1" ht="14.4"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595</v>
      </c>
      <c r="C127" s="3180" t="s">
        <v>3086</v>
      </c>
      <c r="D127" s="3180" t="s">
        <v>3088</v>
      </c>
      <c r="E127" s="3183" t="s">
        <v>3090</v>
      </c>
      <c r="F127" s="3183" t="s">
        <v>3091</v>
      </c>
      <c r="G127" s="3183" t="s">
        <v>3092</v>
      </c>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4.4"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63"/>
      <c r="O128" s="2163"/>
      <c r="P128" s="2162"/>
      <c r="Q128" s="2155"/>
      <c r="R128" s="2142"/>
      <c r="S128" s="2142"/>
      <c r="T128" s="2142"/>
      <c r="U128" s="2142"/>
      <c r="V128" s="2142"/>
      <c r="W128" s="2142"/>
      <c r="X128" s="2142"/>
      <c r="Y128" s="2142"/>
      <c r="Z128" s="2142"/>
      <c r="AA128" s="2142"/>
      <c r="AB128" s="2142"/>
      <c r="AC128" s="2142"/>
    </row>
    <row r="129" spans="1:29" ht="14.4"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4.4"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4.4"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8" customFormat="1" ht="14.4"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8" customFormat="1" ht="14.4"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4"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4"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4"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4"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4"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4"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4"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4"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4"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4"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4"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4"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4"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4"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4"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4"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4"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4"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4"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4"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4"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4"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4"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4"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4"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4"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4"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4"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4"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4"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4"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4"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4"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4"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4"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4"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4"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4"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4"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4"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4"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4"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4"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4"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4"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4"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4"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4"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4"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4"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4"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4"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4"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4"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4"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4"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4"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4"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4"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4"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4"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4"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4"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4"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4"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4"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4"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4"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4"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4"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4"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4"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4"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4"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4"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4"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4"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4"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4"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4"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4"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4"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4"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4"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4"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4"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4"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4"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4"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4"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4"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4"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4"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4"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4"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4"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4"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4"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4"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4"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4"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4"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4"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4"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4"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4"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4"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4"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4"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4"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4"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4"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4"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4"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4"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4"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4"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4"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4"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4"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4"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AS51"/>
  <sheetViews>
    <sheetView zoomScale="70" zoomScaleNormal="70" workbookViewId="0">
      <selection activeCell="N70" sqref="N70"/>
    </sheetView>
  </sheetViews>
  <sheetFormatPr defaultRowHeight="12"/>
  <cols>
    <col min="1" max="1" width="22.109375" style="3178" customWidth="1"/>
    <col min="2" max="2" width="6.21875" style="3178" customWidth="1"/>
    <col min="3" max="3" width="9.33203125" style="3178" customWidth="1"/>
    <col min="4" max="4" width="9.6640625" style="3178" customWidth="1"/>
    <col min="5" max="5" width="4.6640625" style="3178" customWidth="1"/>
    <col min="6" max="6" width="29.44140625" style="3178" customWidth="1"/>
    <col min="7" max="7" width="7.88671875" style="3178" customWidth="1"/>
    <col min="8" max="8" width="15.109375" style="3178" customWidth="1"/>
    <col min="9" max="9" width="10.6640625" style="3178" customWidth="1"/>
    <col min="10" max="10" width="12.21875" style="3178" customWidth="1"/>
    <col min="11" max="11" width="13.88671875" style="3178" customWidth="1"/>
    <col min="12" max="12" width="11.44140625" style="3178" customWidth="1"/>
    <col min="13" max="13" width="7.88671875" style="3178" customWidth="1"/>
    <col min="14" max="14" width="9.21875" style="3178" customWidth="1"/>
    <col min="15" max="15" width="7.88671875" style="3178" hidden="1" customWidth="1"/>
    <col min="16" max="22" width="7.44140625" style="3178" hidden="1" customWidth="1"/>
    <col min="23" max="23" width="7.88671875" style="3178" customWidth="1"/>
    <col min="24" max="26" width="9" style="3178" customWidth="1"/>
    <col min="27" max="27" width="12.109375" style="3178" customWidth="1"/>
    <col min="28" max="28" width="21.77734375" style="3178" customWidth="1"/>
    <col min="29" max="29" width="7.88671875" style="3178" customWidth="1"/>
    <col min="30" max="30" width="32" style="3178" customWidth="1"/>
    <col min="31" max="37" width="7.88671875" style="3178" customWidth="1"/>
    <col min="38" max="39" width="5.44140625" style="3178" customWidth="1"/>
    <col min="40" max="40" width="6.21875" style="3178" customWidth="1"/>
    <col min="41" max="41" width="8.109375" style="3178" customWidth="1"/>
    <col min="42" max="45" width="8.21875" style="3178" customWidth="1"/>
    <col min="46" max="256" width="9" style="3178"/>
    <col min="257" max="257" width="62.44140625" style="3178" customWidth="1"/>
    <col min="258" max="258" width="6.21875" style="3178" customWidth="1"/>
    <col min="259" max="259" width="13.88671875" style="3178" customWidth="1"/>
    <col min="260" max="260" width="9.6640625" style="3178" customWidth="1"/>
    <col min="261" max="261" width="4.6640625" style="3178" customWidth="1"/>
    <col min="262" max="262" width="62.44140625" style="3178" customWidth="1"/>
    <col min="263" max="263" width="7.88671875" style="3178" customWidth="1"/>
    <col min="264" max="264" width="24" style="3178" customWidth="1"/>
    <col min="265" max="265" width="19.44140625" style="3178" customWidth="1"/>
    <col min="266" max="267" width="13.88671875" style="3178" customWidth="1"/>
    <col min="268" max="268" width="17" style="3178" customWidth="1"/>
    <col min="269" max="269" width="7.88671875" style="3178" customWidth="1"/>
    <col min="270" max="270" width="9.21875" style="3178" customWidth="1"/>
    <col min="271" max="271" width="7.88671875" style="3178" customWidth="1"/>
    <col min="272" max="272" width="10" style="3178" customWidth="1"/>
    <col min="273" max="274" width="15.44140625" style="3178" customWidth="1"/>
    <col min="275" max="275" width="12.88671875" style="3178" customWidth="1"/>
    <col min="276" max="276" width="15" style="3178" customWidth="1"/>
    <col min="277" max="277" width="11.21875" style="3178" customWidth="1"/>
    <col min="278" max="278" width="17.88671875" style="3178" customWidth="1"/>
    <col min="279" max="279" width="7.88671875" style="3178" customWidth="1"/>
    <col min="280" max="283" width="9" style="3178" customWidth="1"/>
    <col min="284" max="284" width="21.77734375" style="3178" customWidth="1"/>
    <col min="285" max="285" width="7.88671875" style="3178" customWidth="1"/>
    <col min="286" max="286" width="32" style="3178" customWidth="1"/>
    <col min="287" max="289" width="10.6640625" style="3178" customWidth="1"/>
    <col min="290" max="291" width="16" style="3178" customWidth="1"/>
    <col min="292" max="293" width="14.33203125" style="3178" customWidth="1"/>
    <col min="294" max="295" width="21.88671875" style="3178" customWidth="1"/>
    <col min="296" max="296" width="6.21875" style="3178" customWidth="1"/>
    <col min="297" max="297" width="16.109375" style="3178" customWidth="1"/>
    <col min="298" max="298" width="16.88671875" style="3178" customWidth="1"/>
    <col min="299" max="300" width="20.109375" style="3178" customWidth="1"/>
    <col min="301" max="512" width="9" style="3178"/>
    <col min="513" max="513" width="62.44140625" style="3178" customWidth="1"/>
    <col min="514" max="514" width="6.21875" style="3178" customWidth="1"/>
    <col min="515" max="515" width="13.88671875" style="3178" customWidth="1"/>
    <col min="516" max="516" width="9.6640625" style="3178" customWidth="1"/>
    <col min="517" max="517" width="4.6640625" style="3178" customWidth="1"/>
    <col min="518" max="518" width="62.44140625" style="3178" customWidth="1"/>
    <col min="519" max="519" width="7.88671875" style="3178" customWidth="1"/>
    <col min="520" max="520" width="24" style="3178" customWidth="1"/>
    <col min="521" max="521" width="19.44140625" style="3178" customWidth="1"/>
    <col min="522" max="523" width="13.88671875" style="3178" customWidth="1"/>
    <col min="524" max="524" width="17" style="3178" customWidth="1"/>
    <col min="525" max="525" width="7.88671875" style="3178" customWidth="1"/>
    <col min="526" max="526" width="9.21875" style="3178" customWidth="1"/>
    <col min="527" max="527" width="7.88671875" style="3178" customWidth="1"/>
    <col min="528" max="528" width="10" style="3178" customWidth="1"/>
    <col min="529" max="530" width="15.44140625" style="3178" customWidth="1"/>
    <col min="531" max="531" width="12.88671875" style="3178" customWidth="1"/>
    <col min="532" max="532" width="15" style="3178" customWidth="1"/>
    <col min="533" max="533" width="11.21875" style="3178" customWidth="1"/>
    <col min="534" max="534" width="17.88671875" style="3178" customWidth="1"/>
    <col min="535" max="535" width="7.88671875" style="3178" customWidth="1"/>
    <col min="536" max="539" width="9" style="3178" customWidth="1"/>
    <col min="540" max="540" width="21.77734375" style="3178" customWidth="1"/>
    <col min="541" max="541" width="7.88671875" style="3178" customWidth="1"/>
    <col min="542" max="542" width="32" style="3178" customWidth="1"/>
    <col min="543" max="545" width="10.6640625" style="3178" customWidth="1"/>
    <col min="546" max="547" width="16" style="3178" customWidth="1"/>
    <col min="548" max="549" width="14.33203125" style="3178" customWidth="1"/>
    <col min="550" max="551" width="21.88671875" style="3178" customWidth="1"/>
    <col min="552" max="552" width="6.21875" style="3178" customWidth="1"/>
    <col min="553" max="553" width="16.109375" style="3178" customWidth="1"/>
    <col min="554" max="554" width="16.88671875" style="3178" customWidth="1"/>
    <col min="555" max="556" width="20.109375" style="3178" customWidth="1"/>
    <col min="557" max="768" width="9" style="3178"/>
    <col min="769" max="769" width="62.44140625" style="3178" customWidth="1"/>
    <col min="770" max="770" width="6.21875" style="3178" customWidth="1"/>
    <col min="771" max="771" width="13.88671875" style="3178" customWidth="1"/>
    <col min="772" max="772" width="9.6640625" style="3178" customWidth="1"/>
    <col min="773" max="773" width="4.6640625" style="3178" customWidth="1"/>
    <col min="774" max="774" width="62.44140625" style="3178" customWidth="1"/>
    <col min="775" max="775" width="7.88671875" style="3178" customWidth="1"/>
    <col min="776" max="776" width="24" style="3178" customWidth="1"/>
    <col min="777" max="777" width="19.44140625" style="3178" customWidth="1"/>
    <col min="778" max="779" width="13.88671875" style="3178" customWidth="1"/>
    <col min="780" max="780" width="17" style="3178" customWidth="1"/>
    <col min="781" max="781" width="7.88671875" style="3178" customWidth="1"/>
    <col min="782" max="782" width="9.21875" style="3178" customWidth="1"/>
    <col min="783" max="783" width="7.88671875" style="3178" customWidth="1"/>
    <col min="784" max="784" width="10" style="3178" customWidth="1"/>
    <col min="785" max="786" width="15.44140625" style="3178" customWidth="1"/>
    <col min="787" max="787" width="12.88671875" style="3178" customWidth="1"/>
    <col min="788" max="788" width="15" style="3178" customWidth="1"/>
    <col min="789" max="789" width="11.21875" style="3178" customWidth="1"/>
    <col min="790" max="790" width="17.88671875" style="3178" customWidth="1"/>
    <col min="791" max="791" width="7.88671875" style="3178" customWidth="1"/>
    <col min="792" max="795" width="9" style="3178" customWidth="1"/>
    <col min="796" max="796" width="21.77734375" style="3178" customWidth="1"/>
    <col min="797" max="797" width="7.88671875" style="3178" customWidth="1"/>
    <col min="798" max="798" width="32" style="3178" customWidth="1"/>
    <col min="799" max="801" width="10.6640625" style="3178" customWidth="1"/>
    <col min="802" max="803" width="16" style="3178" customWidth="1"/>
    <col min="804" max="805" width="14.33203125" style="3178" customWidth="1"/>
    <col min="806" max="807" width="21.88671875" style="3178" customWidth="1"/>
    <col min="808" max="808" width="6.21875" style="3178" customWidth="1"/>
    <col min="809" max="809" width="16.109375" style="3178" customWidth="1"/>
    <col min="810" max="810" width="16.88671875" style="3178" customWidth="1"/>
    <col min="811" max="812" width="20.109375" style="3178" customWidth="1"/>
    <col min="813" max="1024" width="9" style="3178"/>
    <col min="1025" max="1025" width="62.44140625" style="3178" customWidth="1"/>
    <col min="1026" max="1026" width="6.21875" style="3178" customWidth="1"/>
    <col min="1027" max="1027" width="13.88671875" style="3178" customWidth="1"/>
    <col min="1028" max="1028" width="9.6640625" style="3178" customWidth="1"/>
    <col min="1029" max="1029" width="4.6640625" style="3178" customWidth="1"/>
    <col min="1030" max="1030" width="62.44140625" style="3178" customWidth="1"/>
    <col min="1031" max="1031" width="7.88671875" style="3178" customWidth="1"/>
    <col min="1032" max="1032" width="24" style="3178" customWidth="1"/>
    <col min="1033" max="1033" width="19.44140625" style="3178" customWidth="1"/>
    <col min="1034" max="1035" width="13.88671875" style="3178" customWidth="1"/>
    <col min="1036" max="1036" width="17" style="3178" customWidth="1"/>
    <col min="1037" max="1037" width="7.88671875" style="3178" customWidth="1"/>
    <col min="1038" max="1038" width="9.21875" style="3178" customWidth="1"/>
    <col min="1039" max="1039" width="7.88671875" style="3178" customWidth="1"/>
    <col min="1040" max="1040" width="10" style="3178" customWidth="1"/>
    <col min="1041" max="1042" width="15.44140625" style="3178" customWidth="1"/>
    <col min="1043" max="1043" width="12.88671875" style="3178" customWidth="1"/>
    <col min="1044" max="1044" width="15" style="3178" customWidth="1"/>
    <col min="1045" max="1045" width="11.21875" style="3178" customWidth="1"/>
    <col min="1046" max="1046" width="17.88671875" style="3178" customWidth="1"/>
    <col min="1047" max="1047" width="7.88671875" style="3178" customWidth="1"/>
    <col min="1048" max="1051" width="9" style="3178" customWidth="1"/>
    <col min="1052" max="1052" width="21.77734375" style="3178" customWidth="1"/>
    <col min="1053" max="1053" width="7.88671875" style="3178" customWidth="1"/>
    <col min="1054" max="1054" width="32" style="3178" customWidth="1"/>
    <col min="1055" max="1057" width="10.6640625" style="3178" customWidth="1"/>
    <col min="1058" max="1059" width="16" style="3178" customWidth="1"/>
    <col min="1060" max="1061" width="14.33203125" style="3178" customWidth="1"/>
    <col min="1062" max="1063" width="21.88671875" style="3178" customWidth="1"/>
    <col min="1064" max="1064" width="6.21875" style="3178" customWidth="1"/>
    <col min="1065" max="1065" width="16.109375" style="3178" customWidth="1"/>
    <col min="1066" max="1066" width="16.88671875" style="3178" customWidth="1"/>
    <col min="1067" max="1068" width="20.109375" style="3178" customWidth="1"/>
    <col min="1069" max="1280" width="9" style="3178"/>
    <col min="1281" max="1281" width="62.44140625" style="3178" customWidth="1"/>
    <col min="1282" max="1282" width="6.21875" style="3178" customWidth="1"/>
    <col min="1283" max="1283" width="13.88671875" style="3178" customWidth="1"/>
    <col min="1284" max="1284" width="9.6640625" style="3178" customWidth="1"/>
    <col min="1285" max="1285" width="4.6640625" style="3178" customWidth="1"/>
    <col min="1286" max="1286" width="62.44140625" style="3178" customWidth="1"/>
    <col min="1287" max="1287" width="7.88671875" style="3178" customWidth="1"/>
    <col min="1288" max="1288" width="24" style="3178" customWidth="1"/>
    <col min="1289" max="1289" width="19.44140625" style="3178" customWidth="1"/>
    <col min="1290" max="1291" width="13.88671875" style="3178" customWidth="1"/>
    <col min="1292" max="1292" width="17" style="3178" customWidth="1"/>
    <col min="1293" max="1293" width="7.88671875" style="3178" customWidth="1"/>
    <col min="1294" max="1294" width="9.21875" style="3178" customWidth="1"/>
    <col min="1295" max="1295" width="7.88671875" style="3178" customWidth="1"/>
    <col min="1296" max="1296" width="10" style="3178" customWidth="1"/>
    <col min="1297" max="1298" width="15.44140625" style="3178" customWidth="1"/>
    <col min="1299" max="1299" width="12.88671875" style="3178" customWidth="1"/>
    <col min="1300" max="1300" width="15" style="3178" customWidth="1"/>
    <col min="1301" max="1301" width="11.21875" style="3178" customWidth="1"/>
    <col min="1302" max="1302" width="17.88671875" style="3178" customWidth="1"/>
    <col min="1303" max="1303" width="7.88671875" style="3178" customWidth="1"/>
    <col min="1304" max="1307" width="9" style="3178" customWidth="1"/>
    <col min="1308" max="1308" width="21.77734375" style="3178" customWidth="1"/>
    <col min="1309" max="1309" width="7.88671875" style="3178" customWidth="1"/>
    <col min="1310" max="1310" width="32" style="3178" customWidth="1"/>
    <col min="1311" max="1313" width="10.6640625" style="3178" customWidth="1"/>
    <col min="1314" max="1315" width="16" style="3178" customWidth="1"/>
    <col min="1316" max="1317" width="14.33203125" style="3178" customWidth="1"/>
    <col min="1318" max="1319" width="21.88671875" style="3178" customWidth="1"/>
    <col min="1320" max="1320" width="6.21875" style="3178" customWidth="1"/>
    <col min="1321" max="1321" width="16.109375" style="3178" customWidth="1"/>
    <col min="1322" max="1322" width="16.88671875" style="3178" customWidth="1"/>
    <col min="1323" max="1324" width="20.109375" style="3178" customWidth="1"/>
    <col min="1325" max="1536" width="9" style="3178"/>
    <col min="1537" max="1537" width="62.44140625" style="3178" customWidth="1"/>
    <col min="1538" max="1538" width="6.21875" style="3178" customWidth="1"/>
    <col min="1539" max="1539" width="13.88671875" style="3178" customWidth="1"/>
    <col min="1540" max="1540" width="9.6640625" style="3178" customWidth="1"/>
    <col min="1541" max="1541" width="4.6640625" style="3178" customWidth="1"/>
    <col min="1542" max="1542" width="62.44140625" style="3178" customWidth="1"/>
    <col min="1543" max="1543" width="7.88671875" style="3178" customWidth="1"/>
    <col min="1544" max="1544" width="24" style="3178" customWidth="1"/>
    <col min="1545" max="1545" width="19.44140625" style="3178" customWidth="1"/>
    <col min="1546" max="1547" width="13.88671875" style="3178" customWidth="1"/>
    <col min="1548" max="1548" width="17" style="3178" customWidth="1"/>
    <col min="1549" max="1549" width="7.88671875" style="3178" customWidth="1"/>
    <col min="1550" max="1550" width="9.21875" style="3178" customWidth="1"/>
    <col min="1551" max="1551" width="7.88671875" style="3178" customWidth="1"/>
    <col min="1552" max="1552" width="10" style="3178" customWidth="1"/>
    <col min="1553" max="1554" width="15.44140625" style="3178" customWidth="1"/>
    <col min="1555" max="1555" width="12.88671875" style="3178" customWidth="1"/>
    <col min="1556" max="1556" width="15" style="3178" customWidth="1"/>
    <col min="1557" max="1557" width="11.21875" style="3178" customWidth="1"/>
    <col min="1558" max="1558" width="17.88671875" style="3178" customWidth="1"/>
    <col min="1559" max="1559" width="7.88671875" style="3178" customWidth="1"/>
    <col min="1560" max="1563" width="9" style="3178" customWidth="1"/>
    <col min="1564" max="1564" width="21.77734375" style="3178" customWidth="1"/>
    <col min="1565" max="1565" width="7.88671875" style="3178" customWidth="1"/>
    <col min="1566" max="1566" width="32" style="3178" customWidth="1"/>
    <col min="1567" max="1569" width="10.6640625" style="3178" customWidth="1"/>
    <col min="1570" max="1571" width="16" style="3178" customWidth="1"/>
    <col min="1572" max="1573" width="14.33203125" style="3178" customWidth="1"/>
    <col min="1574" max="1575" width="21.88671875" style="3178" customWidth="1"/>
    <col min="1576" max="1576" width="6.21875" style="3178" customWidth="1"/>
    <col min="1577" max="1577" width="16.109375" style="3178" customWidth="1"/>
    <col min="1578" max="1578" width="16.88671875" style="3178" customWidth="1"/>
    <col min="1579" max="1580" width="20.109375" style="3178" customWidth="1"/>
    <col min="1581" max="1792" width="9" style="3178"/>
    <col min="1793" max="1793" width="62.44140625" style="3178" customWidth="1"/>
    <col min="1794" max="1794" width="6.21875" style="3178" customWidth="1"/>
    <col min="1795" max="1795" width="13.88671875" style="3178" customWidth="1"/>
    <col min="1796" max="1796" width="9.6640625" style="3178" customWidth="1"/>
    <col min="1797" max="1797" width="4.6640625" style="3178" customWidth="1"/>
    <col min="1798" max="1798" width="62.44140625" style="3178" customWidth="1"/>
    <col min="1799" max="1799" width="7.88671875" style="3178" customWidth="1"/>
    <col min="1800" max="1800" width="24" style="3178" customWidth="1"/>
    <col min="1801" max="1801" width="19.44140625" style="3178" customWidth="1"/>
    <col min="1802" max="1803" width="13.88671875" style="3178" customWidth="1"/>
    <col min="1804" max="1804" width="17" style="3178" customWidth="1"/>
    <col min="1805" max="1805" width="7.88671875" style="3178" customWidth="1"/>
    <col min="1806" max="1806" width="9.21875" style="3178" customWidth="1"/>
    <col min="1807" max="1807" width="7.88671875" style="3178" customWidth="1"/>
    <col min="1808" max="1808" width="10" style="3178" customWidth="1"/>
    <col min="1809" max="1810" width="15.44140625" style="3178" customWidth="1"/>
    <col min="1811" max="1811" width="12.88671875" style="3178" customWidth="1"/>
    <col min="1812" max="1812" width="15" style="3178" customWidth="1"/>
    <col min="1813" max="1813" width="11.21875" style="3178" customWidth="1"/>
    <col min="1814" max="1814" width="17.88671875" style="3178" customWidth="1"/>
    <col min="1815" max="1815" width="7.88671875" style="3178" customWidth="1"/>
    <col min="1816" max="1819" width="9" style="3178" customWidth="1"/>
    <col min="1820" max="1820" width="21.77734375" style="3178" customWidth="1"/>
    <col min="1821" max="1821" width="7.88671875" style="3178" customWidth="1"/>
    <col min="1822" max="1822" width="32" style="3178" customWidth="1"/>
    <col min="1823" max="1825" width="10.6640625" style="3178" customWidth="1"/>
    <col min="1826" max="1827" width="16" style="3178" customWidth="1"/>
    <col min="1828" max="1829" width="14.33203125" style="3178" customWidth="1"/>
    <col min="1830" max="1831" width="21.88671875" style="3178" customWidth="1"/>
    <col min="1832" max="1832" width="6.21875" style="3178" customWidth="1"/>
    <col min="1833" max="1833" width="16.109375" style="3178" customWidth="1"/>
    <col min="1834" max="1834" width="16.88671875" style="3178" customWidth="1"/>
    <col min="1835" max="1836" width="20.109375" style="3178" customWidth="1"/>
    <col min="1837" max="2048" width="9" style="3178"/>
    <col min="2049" max="2049" width="62.44140625" style="3178" customWidth="1"/>
    <col min="2050" max="2050" width="6.21875" style="3178" customWidth="1"/>
    <col min="2051" max="2051" width="13.88671875" style="3178" customWidth="1"/>
    <col min="2052" max="2052" width="9.6640625" style="3178" customWidth="1"/>
    <col min="2053" max="2053" width="4.6640625" style="3178" customWidth="1"/>
    <col min="2054" max="2054" width="62.44140625" style="3178" customWidth="1"/>
    <col min="2055" max="2055" width="7.88671875" style="3178" customWidth="1"/>
    <col min="2056" max="2056" width="24" style="3178" customWidth="1"/>
    <col min="2057" max="2057" width="19.44140625" style="3178" customWidth="1"/>
    <col min="2058" max="2059" width="13.88671875" style="3178" customWidth="1"/>
    <col min="2060" max="2060" width="17" style="3178" customWidth="1"/>
    <col min="2061" max="2061" width="7.88671875" style="3178" customWidth="1"/>
    <col min="2062" max="2062" width="9.21875" style="3178" customWidth="1"/>
    <col min="2063" max="2063" width="7.88671875" style="3178" customWidth="1"/>
    <col min="2064" max="2064" width="10" style="3178" customWidth="1"/>
    <col min="2065" max="2066" width="15.44140625" style="3178" customWidth="1"/>
    <col min="2067" max="2067" width="12.88671875" style="3178" customWidth="1"/>
    <col min="2068" max="2068" width="15" style="3178" customWidth="1"/>
    <col min="2069" max="2069" width="11.21875" style="3178" customWidth="1"/>
    <col min="2070" max="2070" width="17.88671875" style="3178" customWidth="1"/>
    <col min="2071" max="2071" width="7.88671875" style="3178" customWidth="1"/>
    <col min="2072" max="2075" width="9" style="3178" customWidth="1"/>
    <col min="2076" max="2076" width="21.77734375" style="3178" customWidth="1"/>
    <col min="2077" max="2077" width="7.88671875" style="3178" customWidth="1"/>
    <col min="2078" max="2078" width="32" style="3178" customWidth="1"/>
    <col min="2079" max="2081" width="10.6640625" style="3178" customWidth="1"/>
    <col min="2082" max="2083" width="16" style="3178" customWidth="1"/>
    <col min="2084" max="2085" width="14.33203125" style="3178" customWidth="1"/>
    <col min="2086" max="2087" width="21.88671875" style="3178" customWidth="1"/>
    <col min="2088" max="2088" width="6.21875" style="3178" customWidth="1"/>
    <col min="2089" max="2089" width="16.109375" style="3178" customWidth="1"/>
    <col min="2090" max="2090" width="16.88671875" style="3178" customWidth="1"/>
    <col min="2091" max="2092" width="20.109375" style="3178" customWidth="1"/>
    <col min="2093" max="2304" width="9" style="3178"/>
    <col min="2305" max="2305" width="62.44140625" style="3178" customWidth="1"/>
    <col min="2306" max="2306" width="6.21875" style="3178" customWidth="1"/>
    <col min="2307" max="2307" width="13.88671875" style="3178" customWidth="1"/>
    <col min="2308" max="2308" width="9.6640625" style="3178" customWidth="1"/>
    <col min="2309" max="2309" width="4.6640625" style="3178" customWidth="1"/>
    <col min="2310" max="2310" width="62.44140625" style="3178" customWidth="1"/>
    <col min="2311" max="2311" width="7.88671875" style="3178" customWidth="1"/>
    <col min="2312" max="2312" width="24" style="3178" customWidth="1"/>
    <col min="2313" max="2313" width="19.44140625" style="3178" customWidth="1"/>
    <col min="2314" max="2315" width="13.88671875" style="3178" customWidth="1"/>
    <col min="2316" max="2316" width="17" style="3178" customWidth="1"/>
    <col min="2317" max="2317" width="7.88671875" style="3178" customWidth="1"/>
    <col min="2318" max="2318" width="9.21875" style="3178" customWidth="1"/>
    <col min="2319" max="2319" width="7.88671875" style="3178" customWidth="1"/>
    <col min="2320" max="2320" width="10" style="3178" customWidth="1"/>
    <col min="2321" max="2322" width="15.44140625" style="3178" customWidth="1"/>
    <col min="2323" max="2323" width="12.88671875" style="3178" customWidth="1"/>
    <col min="2324" max="2324" width="15" style="3178" customWidth="1"/>
    <col min="2325" max="2325" width="11.21875" style="3178" customWidth="1"/>
    <col min="2326" max="2326" width="17.88671875" style="3178" customWidth="1"/>
    <col min="2327" max="2327" width="7.88671875" style="3178" customWidth="1"/>
    <col min="2328" max="2331" width="9" style="3178" customWidth="1"/>
    <col min="2332" max="2332" width="21.77734375" style="3178" customWidth="1"/>
    <col min="2333" max="2333" width="7.88671875" style="3178" customWidth="1"/>
    <col min="2334" max="2334" width="32" style="3178" customWidth="1"/>
    <col min="2335" max="2337" width="10.6640625" style="3178" customWidth="1"/>
    <col min="2338" max="2339" width="16" style="3178" customWidth="1"/>
    <col min="2340" max="2341" width="14.33203125" style="3178" customWidth="1"/>
    <col min="2342" max="2343" width="21.88671875" style="3178" customWidth="1"/>
    <col min="2344" max="2344" width="6.21875" style="3178" customWidth="1"/>
    <col min="2345" max="2345" width="16.109375" style="3178" customWidth="1"/>
    <col min="2346" max="2346" width="16.88671875" style="3178" customWidth="1"/>
    <col min="2347" max="2348" width="20.109375" style="3178" customWidth="1"/>
    <col min="2349" max="2560" width="9" style="3178"/>
    <col min="2561" max="2561" width="62.44140625" style="3178" customWidth="1"/>
    <col min="2562" max="2562" width="6.21875" style="3178" customWidth="1"/>
    <col min="2563" max="2563" width="13.88671875" style="3178" customWidth="1"/>
    <col min="2564" max="2564" width="9.6640625" style="3178" customWidth="1"/>
    <col min="2565" max="2565" width="4.6640625" style="3178" customWidth="1"/>
    <col min="2566" max="2566" width="62.44140625" style="3178" customWidth="1"/>
    <col min="2567" max="2567" width="7.88671875" style="3178" customWidth="1"/>
    <col min="2568" max="2568" width="24" style="3178" customWidth="1"/>
    <col min="2569" max="2569" width="19.44140625" style="3178" customWidth="1"/>
    <col min="2570" max="2571" width="13.88671875" style="3178" customWidth="1"/>
    <col min="2572" max="2572" width="17" style="3178" customWidth="1"/>
    <col min="2573" max="2573" width="7.88671875" style="3178" customWidth="1"/>
    <col min="2574" max="2574" width="9.21875" style="3178" customWidth="1"/>
    <col min="2575" max="2575" width="7.88671875" style="3178" customWidth="1"/>
    <col min="2576" max="2576" width="10" style="3178" customWidth="1"/>
    <col min="2577" max="2578" width="15.44140625" style="3178" customWidth="1"/>
    <col min="2579" max="2579" width="12.88671875" style="3178" customWidth="1"/>
    <col min="2580" max="2580" width="15" style="3178" customWidth="1"/>
    <col min="2581" max="2581" width="11.21875" style="3178" customWidth="1"/>
    <col min="2582" max="2582" width="17.88671875" style="3178" customWidth="1"/>
    <col min="2583" max="2583" width="7.88671875" style="3178" customWidth="1"/>
    <col min="2584" max="2587" width="9" style="3178" customWidth="1"/>
    <col min="2588" max="2588" width="21.77734375" style="3178" customWidth="1"/>
    <col min="2589" max="2589" width="7.88671875" style="3178" customWidth="1"/>
    <col min="2590" max="2590" width="32" style="3178" customWidth="1"/>
    <col min="2591" max="2593" width="10.6640625" style="3178" customWidth="1"/>
    <col min="2594" max="2595" width="16" style="3178" customWidth="1"/>
    <col min="2596" max="2597" width="14.33203125" style="3178" customWidth="1"/>
    <col min="2598" max="2599" width="21.88671875" style="3178" customWidth="1"/>
    <col min="2600" max="2600" width="6.21875" style="3178" customWidth="1"/>
    <col min="2601" max="2601" width="16.109375" style="3178" customWidth="1"/>
    <col min="2602" max="2602" width="16.88671875" style="3178" customWidth="1"/>
    <col min="2603" max="2604" width="20.109375" style="3178" customWidth="1"/>
    <col min="2605" max="2816" width="9" style="3178"/>
    <col min="2817" max="2817" width="62.44140625" style="3178" customWidth="1"/>
    <col min="2818" max="2818" width="6.21875" style="3178" customWidth="1"/>
    <col min="2819" max="2819" width="13.88671875" style="3178" customWidth="1"/>
    <col min="2820" max="2820" width="9.6640625" style="3178" customWidth="1"/>
    <col min="2821" max="2821" width="4.6640625" style="3178" customWidth="1"/>
    <col min="2822" max="2822" width="62.44140625" style="3178" customWidth="1"/>
    <col min="2823" max="2823" width="7.88671875" style="3178" customWidth="1"/>
    <col min="2824" max="2824" width="24" style="3178" customWidth="1"/>
    <col min="2825" max="2825" width="19.44140625" style="3178" customWidth="1"/>
    <col min="2826" max="2827" width="13.88671875" style="3178" customWidth="1"/>
    <col min="2828" max="2828" width="17" style="3178" customWidth="1"/>
    <col min="2829" max="2829" width="7.88671875" style="3178" customWidth="1"/>
    <col min="2830" max="2830" width="9.21875" style="3178" customWidth="1"/>
    <col min="2831" max="2831" width="7.88671875" style="3178" customWidth="1"/>
    <col min="2832" max="2832" width="10" style="3178" customWidth="1"/>
    <col min="2833" max="2834" width="15.44140625" style="3178" customWidth="1"/>
    <col min="2835" max="2835" width="12.88671875" style="3178" customWidth="1"/>
    <col min="2836" max="2836" width="15" style="3178" customWidth="1"/>
    <col min="2837" max="2837" width="11.21875" style="3178" customWidth="1"/>
    <col min="2838" max="2838" width="17.88671875" style="3178" customWidth="1"/>
    <col min="2839" max="2839" width="7.88671875" style="3178" customWidth="1"/>
    <col min="2840" max="2843" width="9" style="3178" customWidth="1"/>
    <col min="2844" max="2844" width="21.77734375" style="3178" customWidth="1"/>
    <col min="2845" max="2845" width="7.88671875" style="3178" customWidth="1"/>
    <col min="2846" max="2846" width="32" style="3178" customWidth="1"/>
    <col min="2847" max="2849" width="10.6640625" style="3178" customWidth="1"/>
    <col min="2850" max="2851" width="16" style="3178" customWidth="1"/>
    <col min="2852" max="2853" width="14.33203125" style="3178" customWidth="1"/>
    <col min="2854" max="2855" width="21.88671875" style="3178" customWidth="1"/>
    <col min="2856" max="2856" width="6.21875" style="3178" customWidth="1"/>
    <col min="2857" max="2857" width="16.109375" style="3178" customWidth="1"/>
    <col min="2858" max="2858" width="16.88671875" style="3178" customWidth="1"/>
    <col min="2859" max="2860" width="20.109375" style="3178" customWidth="1"/>
    <col min="2861" max="3072" width="9" style="3178"/>
    <col min="3073" max="3073" width="62.44140625" style="3178" customWidth="1"/>
    <col min="3074" max="3074" width="6.21875" style="3178" customWidth="1"/>
    <col min="3075" max="3075" width="13.88671875" style="3178" customWidth="1"/>
    <col min="3076" max="3076" width="9.6640625" style="3178" customWidth="1"/>
    <col min="3077" max="3077" width="4.6640625" style="3178" customWidth="1"/>
    <col min="3078" max="3078" width="62.44140625" style="3178" customWidth="1"/>
    <col min="3079" max="3079" width="7.88671875" style="3178" customWidth="1"/>
    <col min="3080" max="3080" width="24" style="3178" customWidth="1"/>
    <col min="3081" max="3081" width="19.44140625" style="3178" customWidth="1"/>
    <col min="3082" max="3083" width="13.88671875" style="3178" customWidth="1"/>
    <col min="3084" max="3084" width="17" style="3178" customWidth="1"/>
    <col min="3085" max="3085" width="7.88671875" style="3178" customWidth="1"/>
    <col min="3086" max="3086" width="9.21875" style="3178" customWidth="1"/>
    <col min="3087" max="3087" width="7.88671875" style="3178" customWidth="1"/>
    <col min="3088" max="3088" width="10" style="3178" customWidth="1"/>
    <col min="3089" max="3090" width="15.44140625" style="3178" customWidth="1"/>
    <col min="3091" max="3091" width="12.88671875" style="3178" customWidth="1"/>
    <col min="3092" max="3092" width="15" style="3178" customWidth="1"/>
    <col min="3093" max="3093" width="11.21875" style="3178" customWidth="1"/>
    <col min="3094" max="3094" width="17.88671875" style="3178" customWidth="1"/>
    <col min="3095" max="3095" width="7.88671875" style="3178" customWidth="1"/>
    <col min="3096" max="3099" width="9" style="3178" customWidth="1"/>
    <col min="3100" max="3100" width="21.77734375" style="3178" customWidth="1"/>
    <col min="3101" max="3101" width="7.88671875" style="3178" customWidth="1"/>
    <col min="3102" max="3102" width="32" style="3178" customWidth="1"/>
    <col min="3103" max="3105" width="10.6640625" style="3178" customWidth="1"/>
    <col min="3106" max="3107" width="16" style="3178" customWidth="1"/>
    <col min="3108" max="3109" width="14.33203125" style="3178" customWidth="1"/>
    <col min="3110" max="3111" width="21.88671875" style="3178" customWidth="1"/>
    <col min="3112" max="3112" width="6.21875" style="3178" customWidth="1"/>
    <col min="3113" max="3113" width="16.109375" style="3178" customWidth="1"/>
    <col min="3114" max="3114" width="16.88671875" style="3178" customWidth="1"/>
    <col min="3115" max="3116" width="20.109375" style="3178" customWidth="1"/>
    <col min="3117" max="3328" width="9" style="3178"/>
    <col min="3329" max="3329" width="62.44140625" style="3178" customWidth="1"/>
    <col min="3330" max="3330" width="6.21875" style="3178" customWidth="1"/>
    <col min="3331" max="3331" width="13.88671875" style="3178" customWidth="1"/>
    <col min="3332" max="3332" width="9.6640625" style="3178" customWidth="1"/>
    <col min="3333" max="3333" width="4.6640625" style="3178" customWidth="1"/>
    <col min="3334" max="3334" width="62.44140625" style="3178" customWidth="1"/>
    <col min="3335" max="3335" width="7.88671875" style="3178" customWidth="1"/>
    <col min="3336" max="3336" width="24" style="3178" customWidth="1"/>
    <col min="3337" max="3337" width="19.44140625" style="3178" customWidth="1"/>
    <col min="3338" max="3339" width="13.88671875" style="3178" customWidth="1"/>
    <col min="3340" max="3340" width="17" style="3178" customWidth="1"/>
    <col min="3341" max="3341" width="7.88671875" style="3178" customWidth="1"/>
    <col min="3342" max="3342" width="9.21875" style="3178" customWidth="1"/>
    <col min="3343" max="3343" width="7.88671875" style="3178" customWidth="1"/>
    <col min="3344" max="3344" width="10" style="3178" customWidth="1"/>
    <col min="3345" max="3346" width="15.44140625" style="3178" customWidth="1"/>
    <col min="3347" max="3347" width="12.88671875" style="3178" customWidth="1"/>
    <col min="3348" max="3348" width="15" style="3178" customWidth="1"/>
    <col min="3349" max="3349" width="11.21875" style="3178" customWidth="1"/>
    <col min="3350" max="3350" width="17.88671875" style="3178" customWidth="1"/>
    <col min="3351" max="3351" width="7.88671875" style="3178" customWidth="1"/>
    <col min="3352" max="3355" width="9" style="3178" customWidth="1"/>
    <col min="3356" max="3356" width="21.77734375" style="3178" customWidth="1"/>
    <col min="3357" max="3357" width="7.88671875" style="3178" customWidth="1"/>
    <col min="3358" max="3358" width="32" style="3178" customWidth="1"/>
    <col min="3359" max="3361" width="10.6640625" style="3178" customWidth="1"/>
    <col min="3362" max="3363" width="16" style="3178" customWidth="1"/>
    <col min="3364" max="3365" width="14.33203125" style="3178" customWidth="1"/>
    <col min="3366" max="3367" width="21.88671875" style="3178" customWidth="1"/>
    <col min="3368" max="3368" width="6.21875" style="3178" customWidth="1"/>
    <col min="3369" max="3369" width="16.109375" style="3178" customWidth="1"/>
    <col min="3370" max="3370" width="16.88671875" style="3178" customWidth="1"/>
    <col min="3371" max="3372" width="20.109375" style="3178" customWidth="1"/>
    <col min="3373" max="3584" width="9" style="3178"/>
    <col min="3585" max="3585" width="62.44140625" style="3178" customWidth="1"/>
    <col min="3586" max="3586" width="6.21875" style="3178" customWidth="1"/>
    <col min="3587" max="3587" width="13.88671875" style="3178" customWidth="1"/>
    <col min="3588" max="3588" width="9.6640625" style="3178" customWidth="1"/>
    <col min="3589" max="3589" width="4.6640625" style="3178" customWidth="1"/>
    <col min="3590" max="3590" width="62.44140625" style="3178" customWidth="1"/>
    <col min="3591" max="3591" width="7.88671875" style="3178" customWidth="1"/>
    <col min="3592" max="3592" width="24" style="3178" customWidth="1"/>
    <col min="3593" max="3593" width="19.44140625" style="3178" customWidth="1"/>
    <col min="3594" max="3595" width="13.88671875" style="3178" customWidth="1"/>
    <col min="3596" max="3596" width="17" style="3178" customWidth="1"/>
    <col min="3597" max="3597" width="7.88671875" style="3178" customWidth="1"/>
    <col min="3598" max="3598" width="9.21875" style="3178" customWidth="1"/>
    <col min="3599" max="3599" width="7.88671875" style="3178" customWidth="1"/>
    <col min="3600" max="3600" width="10" style="3178" customWidth="1"/>
    <col min="3601" max="3602" width="15.44140625" style="3178" customWidth="1"/>
    <col min="3603" max="3603" width="12.88671875" style="3178" customWidth="1"/>
    <col min="3604" max="3604" width="15" style="3178" customWidth="1"/>
    <col min="3605" max="3605" width="11.21875" style="3178" customWidth="1"/>
    <col min="3606" max="3606" width="17.88671875" style="3178" customWidth="1"/>
    <col min="3607" max="3607" width="7.88671875" style="3178" customWidth="1"/>
    <col min="3608" max="3611" width="9" style="3178" customWidth="1"/>
    <col min="3612" max="3612" width="21.77734375" style="3178" customWidth="1"/>
    <col min="3613" max="3613" width="7.88671875" style="3178" customWidth="1"/>
    <col min="3614" max="3614" width="32" style="3178" customWidth="1"/>
    <col min="3615" max="3617" width="10.6640625" style="3178" customWidth="1"/>
    <col min="3618" max="3619" width="16" style="3178" customWidth="1"/>
    <col min="3620" max="3621" width="14.33203125" style="3178" customWidth="1"/>
    <col min="3622" max="3623" width="21.88671875" style="3178" customWidth="1"/>
    <col min="3624" max="3624" width="6.21875" style="3178" customWidth="1"/>
    <col min="3625" max="3625" width="16.109375" style="3178" customWidth="1"/>
    <col min="3626" max="3626" width="16.88671875" style="3178" customWidth="1"/>
    <col min="3627" max="3628" width="20.109375" style="3178" customWidth="1"/>
    <col min="3629" max="3840" width="9" style="3178"/>
    <col min="3841" max="3841" width="62.44140625" style="3178" customWidth="1"/>
    <col min="3842" max="3842" width="6.21875" style="3178" customWidth="1"/>
    <col min="3843" max="3843" width="13.88671875" style="3178" customWidth="1"/>
    <col min="3844" max="3844" width="9.6640625" style="3178" customWidth="1"/>
    <col min="3845" max="3845" width="4.6640625" style="3178" customWidth="1"/>
    <col min="3846" max="3846" width="62.44140625" style="3178" customWidth="1"/>
    <col min="3847" max="3847" width="7.88671875" style="3178" customWidth="1"/>
    <col min="3848" max="3848" width="24" style="3178" customWidth="1"/>
    <col min="3849" max="3849" width="19.44140625" style="3178" customWidth="1"/>
    <col min="3850" max="3851" width="13.88671875" style="3178" customWidth="1"/>
    <col min="3852" max="3852" width="17" style="3178" customWidth="1"/>
    <col min="3853" max="3853" width="7.88671875" style="3178" customWidth="1"/>
    <col min="3854" max="3854" width="9.21875" style="3178" customWidth="1"/>
    <col min="3855" max="3855" width="7.88671875" style="3178" customWidth="1"/>
    <col min="3856" max="3856" width="10" style="3178" customWidth="1"/>
    <col min="3857" max="3858" width="15.44140625" style="3178" customWidth="1"/>
    <col min="3859" max="3859" width="12.88671875" style="3178" customWidth="1"/>
    <col min="3860" max="3860" width="15" style="3178" customWidth="1"/>
    <col min="3861" max="3861" width="11.21875" style="3178" customWidth="1"/>
    <col min="3862" max="3862" width="17.88671875" style="3178" customWidth="1"/>
    <col min="3863" max="3863" width="7.88671875" style="3178" customWidth="1"/>
    <col min="3864" max="3867" width="9" style="3178" customWidth="1"/>
    <col min="3868" max="3868" width="21.77734375" style="3178" customWidth="1"/>
    <col min="3869" max="3869" width="7.88671875" style="3178" customWidth="1"/>
    <col min="3870" max="3870" width="32" style="3178" customWidth="1"/>
    <col min="3871" max="3873" width="10.6640625" style="3178" customWidth="1"/>
    <col min="3874" max="3875" width="16" style="3178" customWidth="1"/>
    <col min="3876" max="3877" width="14.33203125" style="3178" customWidth="1"/>
    <col min="3878" max="3879" width="21.88671875" style="3178" customWidth="1"/>
    <col min="3880" max="3880" width="6.21875" style="3178" customWidth="1"/>
    <col min="3881" max="3881" width="16.109375" style="3178" customWidth="1"/>
    <col min="3882" max="3882" width="16.88671875" style="3178" customWidth="1"/>
    <col min="3883" max="3884" width="20.109375" style="3178" customWidth="1"/>
    <col min="3885" max="4096" width="9" style="3178"/>
    <col min="4097" max="4097" width="62.44140625" style="3178" customWidth="1"/>
    <col min="4098" max="4098" width="6.21875" style="3178" customWidth="1"/>
    <col min="4099" max="4099" width="13.88671875" style="3178" customWidth="1"/>
    <col min="4100" max="4100" width="9.6640625" style="3178" customWidth="1"/>
    <col min="4101" max="4101" width="4.6640625" style="3178" customWidth="1"/>
    <col min="4102" max="4102" width="62.44140625" style="3178" customWidth="1"/>
    <col min="4103" max="4103" width="7.88671875" style="3178" customWidth="1"/>
    <col min="4104" max="4104" width="24" style="3178" customWidth="1"/>
    <col min="4105" max="4105" width="19.44140625" style="3178" customWidth="1"/>
    <col min="4106" max="4107" width="13.88671875" style="3178" customWidth="1"/>
    <col min="4108" max="4108" width="17" style="3178" customWidth="1"/>
    <col min="4109" max="4109" width="7.88671875" style="3178" customWidth="1"/>
    <col min="4110" max="4110" width="9.21875" style="3178" customWidth="1"/>
    <col min="4111" max="4111" width="7.88671875" style="3178" customWidth="1"/>
    <col min="4112" max="4112" width="10" style="3178" customWidth="1"/>
    <col min="4113" max="4114" width="15.44140625" style="3178" customWidth="1"/>
    <col min="4115" max="4115" width="12.88671875" style="3178" customWidth="1"/>
    <col min="4116" max="4116" width="15" style="3178" customWidth="1"/>
    <col min="4117" max="4117" width="11.21875" style="3178" customWidth="1"/>
    <col min="4118" max="4118" width="17.88671875" style="3178" customWidth="1"/>
    <col min="4119" max="4119" width="7.88671875" style="3178" customWidth="1"/>
    <col min="4120" max="4123" width="9" style="3178" customWidth="1"/>
    <col min="4124" max="4124" width="21.77734375" style="3178" customWidth="1"/>
    <col min="4125" max="4125" width="7.88671875" style="3178" customWidth="1"/>
    <col min="4126" max="4126" width="32" style="3178" customWidth="1"/>
    <col min="4127" max="4129" width="10.6640625" style="3178" customWidth="1"/>
    <col min="4130" max="4131" width="16" style="3178" customWidth="1"/>
    <col min="4132" max="4133" width="14.33203125" style="3178" customWidth="1"/>
    <col min="4134" max="4135" width="21.88671875" style="3178" customWidth="1"/>
    <col min="4136" max="4136" width="6.21875" style="3178" customWidth="1"/>
    <col min="4137" max="4137" width="16.109375" style="3178" customWidth="1"/>
    <col min="4138" max="4138" width="16.88671875" style="3178" customWidth="1"/>
    <col min="4139" max="4140" width="20.109375" style="3178" customWidth="1"/>
    <col min="4141" max="4352" width="9" style="3178"/>
    <col min="4353" max="4353" width="62.44140625" style="3178" customWidth="1"/>
    <col min="4354" max="4354" width="6.21875" style="3178" customWidth="1"/>
    <col min="4355" max="4355" width="13.88671875" style="3178" customWidth="1"/>
    <col min="4356" max="4356" width="9.6640625" style="3178" customWidth="1"/>
    <col min="4357" max="4357" width="4.6640625" style="3178" customWidth="1"/>
    <col min="4358" max="4358" width="62.44140625" style="3178" customWidth="1"/>
    <col min="4359" max="4359" width="7.88671875" style="3178" customWidth="1"/>
    <col min="4360" max="4360" width="24" style="3178" customWidth="1"/>
    <col min="4361" max="4361" width="19.44140625" style="3178" customWidth="1"/>
    <col min="4362" max="4363" width="13.88671875" style="3178" customWidth="1"/>
    <col min="4364" max="4364" width="17" style="3178" customWidth="1"/>
    <col min="4365" max="4365" width="7.88671875" style="3178" customWidth="1"/>
    <col min="4366" max="4366" width="9.21875" style="3178" customWidth="1"/>
    <col min="4367" max="4367" width="7.88671875" style="3178" customWidth="1"/>
    <col min="4368" max="4368" width="10" style="3178" customWidth="1"/>
    <col min="4369" max="4370" width="15.44140625" style="3178" customWidth="1"/>
    <col min="4371" max="4371" width="12.88671875" style="3178" customWidth="1"/>
    <col min="4372" max="4372" width="15" style="3178" customWidth="1"/>
    <col min="4373" max="4373" width="11.21875" style="3178" customWidth="1"/>
    <col min="4374" max="4374" width="17.88671875" style="3178" customWidth="1"/>
    <col min="4375" max="4375" width="7.88671875" style="3178" customWidth="1"/>
    <col min="4376" max="4379" width="9" style="3178" customWidth="1"/>
    <col min="4380" max="4380" width="21.77734375" style="3178" customWidth="1"/>
    <col min="4381" max="4381" width="7.88671875" style="3178" customWidth="1"/>
    <col min="4382" max="4382" width="32" style="3178" customWidth="1"/>
    <col min="4383" max="4385" width="10.6640625" style="3178" customWidth="1"/>
    <col min="4386" max="4387" width="16" style="3178" customWidth="1"/>
    <col min="4388" max="4389" width="14.33203125" style="3178" customWidth="1"/>
    <col min="4390" max="4391" width="21.88671875" style="3178" customWidth="1"/>
    <col min="4392" max="4392" width="6.21875" style="3178" customWidth="1"/>
    <col min="4393" max="4393" width="16.109375" style="3178" customWidth="1"/>
    <col min="4394" max="4394" width="16.88671875" style="3178" customWidth="1"/>
    <col min="4395" max="4396" width="20.109375" style="3178" customWidth="1"/>
    <col min="4397" max="4608" width="9" style="3178"/>
    <col min="4609" max="4609" width="62.44140625" style="3178" customWidth="1"/>
    <col min="4610" max="4610" width="6.21875" style="3178" customWidth="1"/>
    <col min="4611" max="4611" width="13.88671875" style="3178" customWidth="1"/>
    <col min="4612" max="4612" width="9.6640625" style="3178" customWidth="1"/>
    <col min="4613" max="4613" width="4.6640625" style="3178" customWidth="1"/>
    <col min="4614" max="4614" width="62.44140625" style="3178" customWidth="1"/>
    <col min="4615" max="4615" width="7.88671875" style="3178" customWidth="1"/>
    <col min="4616" max="4616" width="24" style="3178" customWidth="1"/>
    <col min="4617" max="4617" width="19.44140625" style="3178" customWidth="1"/>
    <col min="4618" max="4619" width="13.88671875" style="3178" customWidth="1"/>
    <col min="4620" max="4620" width="17" style="3178" customWidth="1"/>
    <col min="4621" max="4621" width="7.88671875" style="3178" customWidth="1"/>
    <col min="4622" max="4622" width="9.21875" style="3178" customWidth="1"/>
    <col min="4623" max="4623" width="7.88671875" style="3178" customWidth="1"/>
    <col min="4624" max="4624" width="10" style="3178" customWidth="1"/>
    <col min="4625" max="4626" width="15.44140625" style="3178" customWidth="1"/>
    <col min="4627" max="4627" width="12.88671875" style="3178" customWidth="1"/>
    <col min="4628" max="4628" width="15" style="3178" customWidth="1"/>
    <col min="4629" max="4629" width="11.21875" style="3178" customWidth="1"/>
    <col min="4630" max="4630" width="17.88671875" style="3178" customWidth="1"/>
    <col min="4631" max="4631" width="7.88671875" style="3178" customWidth="1"/>
    <col min="4632" max="4635" width="9" style="3178" customWidth="1"/>
    <col min="4636" max="4636" width="21.77734375" style="3178" customWidth="1"/>
    <col min="4637" max="4637" width="7.88671875" style="3178" customWidth="1"/>
    <col min="4638" max="4638" width="32" style="3178" customWidth="1"/>
    <col min="4639" max="4641" width="10.6640625" style="3178" customWidth="1"/>
    <col min="4642" max="4643" width="16" style="3178" customWidth="1"/>
    <col min="4644" max="4645" width="14.33203125" style="3178" customWidth="1"/>
    <col min="4646" max="4647" width="21.88671875" style="3178" customWidth="1"/>
    <col min="4648" max="4648" width="6.21875" style="3178" customWidth="1"/>
    <col min="4649" max="4649" width="16.109375" style="3178" customWidth="1"/>
    <col min="4650" max="4650" width="16.88671875" style="3178" customWidth="1"/>
    <col min="4651" max="4652" width="20.109375" style="3178" customWidth="1"/>
    <col min="4653" max="4864" width="9" style="3178"/>
    <col min="4865" max="4865" width="62.44140625" style="3178" customWidth="1"/>
    <col min="4866" max="4866" width="6.21875" style="3178" customWidth="1"/>
    <col min="4867" max="4867" width="13.88671875" style="3178" customWidth="1"/>
    <col min="4868" max="4868" width="9.6640625" style="3178" customWidth="1"/>
    <col min="4869" max="4869" width="4.6640625" style="3178" customWidth="1"/>
    <col min="4870" max="4870" width="62.44140625" style="3178" customWidth="1"/>
    <col min="4871" max="4871" width="7.88671875" style="3178" customWidth="1"/>
    <col min="4872" max="4872" width="24" style="3178" customWidth="1"/>
    <col min="4873" max="4873" width="19.44140625" style="3178" customWidth="1"/>
    <col min="4874" max="4875" width="13.88671875" style="3178" customWidth="1"/>
    <col min="4876" max="4876" width="17" style="3178" customWidth="1"/>
    <col min="4877" max="4877" width="7.88671875" style="3178" customWidth="1"/>
    <col min="4878" max="4878" width="9.21875" style="3178" customWidth="1"/>
    <col min="4879" max="4879" width="7.88671875" style="3178" customWidth="1"/>
    <col min="4880" max="4880" width="10" style="3178" customWidth="1"/>
    <col min="4881" max="4882" width="15.44140625" style="3178" customWidth="1"/>
    <col min="4883" max="4883" width="12.88671875" style="3178" customWidth="1"/>
    <col min="4884" max="4884" width="15" style="3178" customWidth="1"/>
    <col min="4885" max="4885" width="11.21875" style="3178" customWidth="1"/>
    <col min="4886" max="4886" width="17.88671875" style="3178" customWidth="1"/>
    <col min="4887" max="4887" width="7.88671875" style="3178" customWidth="1"/>
    <col min="4888" max="4891" width="9" style="3178" customWidth="1"/>
    <col min="4892" max="4892" width="21.77734375" style="3178" customWidth="1"/>
    <col min="4893" max="4893" width="7.88671875" style="3178" customWidth="1"/>
    <col min="4894" max="4894" width="32" style="3178" customWidth="1"/>
    <col min="4895" max="4897" width="10.6640625" style="3178" customWidth="1"/>
    <col min="4898" max="4899" width="16" style="3178" customWidth="1"/>
    <col min="4900" max="4901" width="14.33203125" style="3178" customWidth="1"/>
    <col min="4902" max="4903" width="21.88671875" style="3178" customWidth="1"/>
    <col min="4904" max="4904" width="6.21875" style="3178" customWidth="1"/>
    <col min="4905" max="4905" width="16.109375" style="3178" customWidth="1"/>
    <col min="4906" max="4906" width="16.88671875" style="3178" customWidth="1"/>
    <col min="4907" max="4908" width="20.109375" style="3178" customWidth="1"/>
    <col min="4909" max="5120" width="9" style="3178"/>
    <col min="5121" max="5121" width="62.44140625" style="3178" customWidth="1"/>
    <col min="5122" max="5122" width="6.21875" style="3178" customWidth="1"/>
    <col min="5123" max="5123" width="13.88671875" style="3178" customWidth="1"/>
    <col min="5124" max="5124" width="9.6640625" style="3178" customWidth="1"/>
    <col min="5125" max="5125" width="4.6640625" style="3178" customWidth="1"/>
    <col min="5126" max="5126" width="62.44140625" style="3178" customWidth="1"/>
    <col min="5127" max="5127" width="7.88671875" style="3178" customWidth="1"/>
    <col min="5128" max="5128" width="24" style="3178" customWidth="1"/>
    <col min="5129" max="5129" width="19.44140625" style="3178" customWidth="1"/>
    <col min="5130" max="5131" width="13.88671875" style="3178" customWidth="1"/>
    <col min="5132" max="5132" width="17" style="3178" customWidth="1"/>
    <col min="5133" max="5133" width="7.88671875" style="3178" customWidth="1"/>
    <col min="5134" max="5134" width="9.21875" style="3178" customWidth="1"/>
    <col min="5135" max="5135" width="7.88671875" style="3178" customWidth="1"/>
    <col min="5136" max="5136" width="10" style="3178" customWidth="1"/>
    <col min="5137" max="5138" width="15.44140625" style="3178" customWidth="1"/>
    <col min="5139" max="5139" width="12.88671875" style="3178" customWidth="1"/>
    <col min="5140" max="5140" width="15" style="3178" customWidth="1"/>
    <col min="5141" max="5141" width="11.21875" style="3178" customWidth="1"/>
    <col min="5142" max="5142" width="17.88671875" style="3178" customWidth="1"/>
    <col min="5143" max="5143" width="7.88671875" style="3178" customWidth="1"/>
    <col min="5144" max="5147" width="9" style="3178" customWidth="1"/>
    <col min="5148" max="5148" width="21.77734375" style="3178" customWidth="1"/>
    <col min="5149" max="5149" width="7.88671875" style="3178" customWidth="1"/>
    <col min="5150" max="5150" width="32" style="3178" customWidth="1"/>
    <col min="5151" max="5153" width="10.6640625" style="3178" customWidth="1"/>
    <col min="5154" max="5155" width="16" style="3178" customWidth="1"/>
    <col min="5156" max="5157" width="14.33203125" style="3178" customWidth="1"/>
    <col min="5158" max="5159" width="21.88671875" style="3178" customWidth="1"/>
    <col min="5160" max="5160" width="6.21875" style="3178" customWidth="1"/>
    <col min="5161" max="5161" width="16.109375" style="3178" customWidth="1"/>
    <col min="5162" max="5162" width="16.88671875" style="3178" customWidth="1"/>
    <col min="5163" max="5164" width="20.109375" style="3178" customWidth="1"/>
    <col min="5165" max="5376" width="9" style="3178"/>
    <col min="5377" max="5377" width="62.44140625" style="3178" customWidth="1"/>
    <col min="5378" max="5378" width="6.21875" style="3178" customWidth="1"/>
    <col min="5379" max="5379" width="13.88671875" style="3178" customWidth="1"/>
    <col min="5380" max="5380" width="9.6640625" style="3178" customWidth="1"/>
    <col min="5381" max="5381" width="4.6640625" style="3178" customWidth="1"/>
    <col min="5382" max="5382" width="62.44140625" style="3178" customWidth="1"/>
    <col min="5383" max="5383" width="7.88671875" style="3178" customWidth="1"/>
    <col min="5384" max="5384" width="24" style="3178" customWidth="1"/>
    <col min="5385" max="5385" width="19.44140625" style="3178" customWidth="1"/>
    <col min="5386" max="5387" width="13.88671875" style="3178" customWidth="1"/>
    <col min="5388" max="5388" width="17" style="3178" customWidth="1"/>
    <col min="5389" max="5389" width="7.88671875" style="3178" customWidth="1"/>
    <col min="5390" max="5390" width="9.21875" style="3178" customWidth="1"/>
    <col min="5391" max="5391" width="7.88671875" style="3178" customWidth="1"/>
    <col min="5392" max="5392" width="10" style="3178" customWidth="1"/>
    <col min="5393" max="5394" width="15.44140625" style="3178" customWidth="1"/>
    <col min="5395" max="5395" width="12.88671875" style="3178" customWidth="1"/>
    <col min="5396" max="5396" width="15" style="3178" customWidth="1"/>
    <col min="5397" max="5397" width="11.21875" style="3178" customWidth="1"/>
    <col min="5398" max="5398" width="17.88671875" style="3178" customWidth="1"/>
    <col min="5399" max="5399" width="7.88671875" style="3178" customWidth="1"/>
    <col min="5400" max="5403" width="9" style="3178" customWidth="1"/>
    <col min="5404" max="5404" width="21.77734375" style="3178" customWidth="1"/>
    <col min="5405" max="5405" width="7.88671875" style="3178" customWidth="1"/>
    <col min="5406" max="5406" width="32" style="3178" customWidth="1"/>
    <col min="5407" max="5409" width="10.6640625" style="3178" customWidth="1"/>
    <col min="5410" max="5411" width="16" style="3178" customWidth="1"/>
    <col min="5412" max="5413" width="14.33203125" style="3178" customWidth="1"/>
    <col min="5414" max="5415" width="21.88671875" style="3178" customWidth="1"/>
    <col min="5416" max="5416" width="6.21875" style="3178" customWidth="1"/>
    <col min="5417" max="5417" width="16.109375" style="3178" customWidth="1"/>
    <col min="5418" max="5418" width="16.88671875" style="3178" customWidth="1"/>
    <col min="5419" max="5420" width="20.109375" style="3178" customWidth="1"/>
    <col min="5421" max="5632" width="9" style="3178"/>
    <col min="5633" max="5633" width="62.44140625" style="3178" customWidth="1"/>
    <col min="5634" max="5634" width="6.21875" style="3178" customWidth="1"/>
    <col min="5635" max="5635" width="13.88671875" style="3178" customWidth="1"/>
    <col min="5636" max="5636" width="9.6640625" style="3178" customWidth="1"/>
    <col min="5637" max="5637" width="4.6640625" style="3178" customWidth="1"/>
    <col min="5638" max="5638" width="62.44140625" style="3178" customWidth="1"/>
    <col min="5639" max="5639" width="7.88671875" style="3178" customWidth="1"/>
    <col min="5640" max="5640" width="24" style="3178" customWidth="1"/>
    <col min="5641" max="5641" width="19.44140625" style="3178" customWidth="1"/>
    <col min="5642" max="5643" width="13.88671875" style="3178" customWidth="1"/>
    <col min="5644" max="5644" width="17" style="3178" customWidth="1"/>
    <col min="5645" max="5645" width="7.88671875" style="3178" customWidth="1"/>
    <col min="5646" max="5646" width="9.21875" style="3178" customWidth="1"/>
    <col min="5647" max="5647" width="7.88671875" style="3178" customWidth="1"/>
    <col min="5648" max="5648" width="10" style="3178" customWidth="1"/>
    <col min="5649" max="5650" width="15.44140625" style="3178" customWidth="1"/>
    <col min="5651" max="5651" width="12.88671875" style="3178" customWidth="1"/>
    <col min="5652" max="5652" width="15" style="3178" customWidth="1"/>
    <col min="5653" max="5653" width="11.21875" style="3178" customWidth="1"/>
    <col min="5654" max="5654" width="17.88671875" style="3178" customWidth="1"/>
    <col min="5655" max="5655" width="7.88671875" style="3178" customWidth="1"/>
    <col min="5656" max="5659" width="9" style="3178" customWidth="1"/>
    <col min="5660" max="5660" width="21.77734375" style="3178" customWidth="1"/>
    <col min="5661" max="5661" width="7.88671875" style="3178" customWidth="1"/>
    <col min="5662" max="5662" width="32" style="3178" customWidth="1"/>
    <col min="5663" max="5665" width="10.6640625" style="3178" customWidth="1"/>
    <col min="5666" max="5667" width="16" style="3178" customWidth="1"/>
    <col min="5668" max="5669" width="14.33203125" style="3178" customWidth="1"/>
    <col min="5670" max="5671" width="21.88671875" style="3178" customWidth="1"/>
    <col min="5672" max="5672" width="6.21875" style="3178" customWidth="1"/>
    <col min="5673" max="5673" width="16.109375" style="3178" customWidth="1"/>
    <col min="5674" max="5674" width="16.88671875" style="3178" customWidth="1"/>
    <col min="5675" max="5676" width="20.109375" style="3178" customWidth="1"/>
    <col min="5677" max="5888" width="9" style="3178"/>
    <col min="5889" max="5889" width="62.44140625" style="3178" customWidth="1"/>
    <col min="5890" max="5890" width="6.21875" style="3178" customWidth="1"/>
    <col min="5891" max="5891" width="13.88671875" style="3178" customWidth="1"/>
    <col min="5892" max="5892" width="9.6640625" style="3178" customWidth="1"/>
    <col min="5893" max="5893" width="4.6640625" style="3178" customWidth="1"/>
    <col min="5894" max="5894" width="62.44140625" style="3178" customWidth="1"/>
    <col min="5895" max="5895" width="7.88671875" style="3178" customWidth="1"/>
    <col min="5896" max="5896" width="24" style="3178" customWidth="1"/>
    <col min="5897" max="5897" width="19.44140625" style="3178" customWidth="1"/>
    <col min="5898" max="5899" width="13.88671875" style="3178" customWidth="1"/>
    <col min="5900" max="5900" width="17" style="3178" customWidth="1"/>
    <col min="5901" max="5901" width="7.88671875" style="3178" customWidth="1"/>
    <col min="5902" max="5902" width="9.21875" style="3178" customWidth="1"/>
    <col min="5903" max="5903" width="7.88671875" style="3178" customWidth="1"/>
    <col min="5904" max="5904" width="10" style="3178" customWidth="1"/>
    <col min="5905" max="5906" width="15.44140625" style="3178" customWidth="1"/>
    <col min="5907" max="5907" width="12.88671875" style="3178" customWidth="1"/>
    <col min="5908" max="5908" width="15" style="3178" customWidth="1"/>
    <col min="5909" max="5909" width="11.21875" style="3178" customWidth="1"/>
    <col min="5910" max="5910" width="17.88671875" style="3178" customWidth="1"/>
    <col min="5911" max="5911" width="7.88671875" style="3178" customWidth="1"/>
    <col min="5912" max="5915" width="9" style="3178" customWidth="1"/>
    <col min="5916" max="5916" width="21.77734375" style="3178" customWidth="1"/>
    <col min="5917" max="5917" width="7.88671875" style="3178" customWidth="1"/>
    <col min="5918" max="5918" width="32" style="3178" customWidth="1"/>
    <col min="5919" max="5921" width="10.6640625" style="3178" customWidth="1"/>
    <col min="5922" max="5923" width="16" style="3178" customWidth="1"/>
    <col min="5924" max="5925" width="14.33203125" style="3178" customWidth="1"/>
    <col min="5926" max="5927" width="21.88671875" style="3178" customWidth="1"/>
    <col min="5928" max="5928" width="6.21875" style="3178" customWidth="1"/>
    <col min="5929" max="5929" width="16.109375" style="3178" customWidth="1"/>
    <col min="5930" max="5930" width="16.88671875" style="3178" customWidth="1"/>
    <col min="5931" max="5932" width="20.109375" style="3178" customWidth="1"/>
    <col min="5933" max="6144" width="9" style="3178"/>
    <col min="6145" max="6145" width="62.44140625" style="3178" customWidth="1"/>
    <col min="6146" max="6146" width="6.21875" style="3178" customWidth="1"/>
    <col min="6147" max="6147" width="13.88671875" style="3178" customWidth="1"/>
    <col min="6148" max="6148" width="9.6640625" style="3178" customWidth="1"/>
    <col min="6149" max="6149" width="4.6640625" style="3178" customWidth="1"/>
    <col min="6150" max="6150" width="62.44140625" style="3178" customWidth="1"/>
    <col min="6151" max="6151" width="7.88671875" style="3178" customWidth="1"/>
    <col min="6152" max="6152" width="24" style="3178" customWidth="1"/>
    <col min="6153" max="6153" width="19.44140625" style="3178" customWidth="1"/>
    <col min="6154" max="6155" width="13.88671875" style="3178" customWidth="1"/>
    <col min="6156" max="6156" width="17" style="3178" customWidth="1"/>
    <col min="6157" max="6157" width="7.88671875" style="3178" customWidth="1"/>
    <col min="6158" max="6158" width="9.21875" style="3178" customWidth="1"/>
    <col min="6159" max="6159" width="7.88671875" style="3178" customWidth="1"/>
    <col min="6160" max="6160" width="10" style="3178" customWidth="1"/>
    <col min="6161" max="6162" width="15.44140625" style="3178" customWidth="1"/>
    <col min="6163" max="6163" width="12.88671875" style="3178" customWidth="1"/>
    <col min="6164" max="6164" width="15" style="3178" customWidth="1"/>
    <col min="6165" max="6165" width="11.21875" style="3178" customWidth="1"/>
    <col min="6166" max="6166" width="17.88671875" style="3178" customWidth="1"/>
    <col min="6167" max="6167" width="7.88671875" style="3178" customWidth="1"/>
    <col min="6168" max="6171" width="9" style="3178" customWidth="1"/>
    <col min="6172" max="6172" width="21.77734375" style="3178" customWidth="1"/>
    <col min="6173" max="6173" width="7.88671875" style="3178" customWidth="1"/>
    <col min="6174" max="6174" width="32" style="3178" customWidth="1"/>
    <col min="6175" max="6177" width="10.6640625" style="3178" customWidth="1"/>
    <col min="6178" max="6179" width="16" style="3178" customWidth="1"/>
    <col min="6180" max="6181" width="14.33203125" style="3178" customWidth="1"/>
    <col min="6182" max="6183" width="21.88671875" style="3178" customWidth="1"/>
    <col min="6184" max="6184" width="6.21875" style="3178" customWidth="1"/>
    <col min="6185" max="6185" width="16.109375" style="3178" customWidth="1"/>
    <col min="6186" max="6186" width="16.88671875" style="3178" customWidth="1"/>
    <col min="6187" max="6188" width="20.109375" style="3178" customWidth="1"/>
    <col min="6189" max="6400" width="9" style="3178"/>
    <col min="6401" max="6401" width="62.44140625" style="3178" customWidth="1"/>
    <col min="6402" max="6402" width="6.21875" style="3178" customWidth="1"/>
    <col min="6403" max="6403" width="13.88671875" style="3178" customWidth="1"/>
    <col min="6404" max="6404" width="9.6640625" style="3178" customWidth="1"/>
    <col min="6405" max="6405" width="4.6640625" style="3178" customWidth="1"/>
    <col min="6406" max="6406" width="62.44140625" style="3178" customWidth="1"/>
    <col min="6407" max="6407" width="7.88671875" style="3178" customWidth="1"/>
    <col min="6408" max="6408" width="24" style="3178" customWidth="1"/>
    <col min="6409" max="6409" width="19.44140625" style="3178" customWidth="1"/>
    <col min="6410" max="6411" width="13.88671875" style="3178" customWidth="1"/>
    <col min="6412" max="6412" width="17" style="3178" customWidth="1"/>
    <col min="6413" max="6413" width="7.88671875" style="3178" customWidth="1"/>
    <col min="6414" max="6414" width="9.21875" style="3178" customWidth="1"/>
    <col min="6415" max="6415" width="7.88671875" style="3178" customWidth="1"/>
    <col min="6416" max="6416" width="10" style="3178" customWidth="1"/>
    <col min="6417" max="6418" width="15.44140625" style="3178" customWidth="1"/>
    <col min="6419" max="6419" width="12.88671875" style="3178" customWidth="1"/>
    <col min="6420" max="6420" width="15" style="3178" customWidth="1"/>
    <col min="6421" max="6421" width="11.21875" style="3178" customWidth="1"/>
    <col min="6422" max="6422" width="17.88671875" style="3178" customWidth="1"/>
    <col min="6423" max="6423" width="7.88671875" style="3178" customWidth="1"/>
    <col min="6424" max="6427" width="9" style="3178" customWidth="1"/>
    <col min="6428" max="6428" width="21.77734375" style="3178" customWidth="1"/>
    <col min="6429" max="6429" width="7.88671875" style="3178" customWidth="1"/>
    <col min="6430" max="6430" width="32" style="3178" customWidth="1"/>
    <col min="6431" max="6433" width="10.6640625" style="3178" customWidth="1"/>
    <col min="6434" max="6435" width="16" style="3178" customWidth="1"/>
    <col min="6436" max="6437" width="14.33203125" style="3178" customWidth="1"/>
    <col min="6438" max="6439" width="21.88671875" style="3178" customWidth="1"/>
    <col min="6440" max="6440" width="6.21875" style="3178" customWidth="1"/>
    <col min="6441" max="6441" width="16.109375" style="3178" customWidth="1"/>
    <col min="6442" max="6442" width="16.88671875" style="3178" customWidth="1"/>
    <col min="6443" max="6444" width="20.109375" style="3178" customWidth="1"/>
    <col min="6445" max="6656" width="9" style="3178"/>
    <col min="6657" max="6657" width="62.44140625" style="3178" customWidth="1"/>
    <col min="6658" max="6658" width="6.21875" style="3178" customWidth="1"/>
    <col min="6659" max="6659" width="13.88671875" style="3178" customWidth="1"/>
    <col min="6660" max="6660" width="9.6640625" style="3178" customWidth="1"/>
    <col min="6661" max="6661" width="4.6640625" style="3178" customWidth="1"/>
    <col min="6662" max="6662" width="62.44140625" style="3178" customWidth="1"/>
    <col min="6663" max="6663" width="7.88671875" style="3178" customWidth="1"/>
    <col min="6664" max="6664" width="24" style="3178" customWidth="1"/>
    <col min="6665" max="6665" width="19.44140625" style="3178" customWidth="1"/>
    <col min="6666" max="6667" width="13.88671875" style="3178" customWidth="1"/>
    <col min="6668" max="6668" width="17" style="3178" customWidth="1"/>
    <col min="6669" max="6669" width="7.88671875" style="3178" customWidth="1"/>
    <col min="6670" max="6670" width="9.21875" style="3178" customWidth="1"/>
    <col min="6671" max="6671" width="7.88671875" style="3178" customWidth="1"/>
    <col min="6672" max="6672" width="10" style="3178" customWidth="1"/>
    <col min="6673" max="6674" width="15.44140625" style="3178" customWidth="1"/>
    <col min="6675" max="6675" width="12.88671875" style="3178" customWidth="1"/>
    <col min="6676" max="6676" width="15" style="3178" customWidth="1"/>
    <col min="6677" max="6677" width="11.21875" style="3178" customWidth="1"/>
    <col min="6678" max="6678" width="17.88671875" style="3178" customWidth="1"/>
    <col min="6679" max="6679" width="7.88671875" style="3178" customWidth="1"/>
    <col min="6680" max="6683" width="9" style="3178" customWidth="1"/>
    <col min="6684" max="6684" width="21.77734375" style="3178" customWidth="1"/>
    <col min="6685" max="6685" width="7.88671875" style="3178" customWidth="1"/>
    <col min="6686" max="6686" width="32" style="3178" customWidth="1"/>
    <col min="6687" max="6689" width="10.6640625" style="3178" customWidth="1"/>
    <col min="6690" max="6691" width="16" style="3178" customWidth="1"/>
    <col min="6692" max="6693" width="14.33203125" style="3178" customWidth="1"/>
    <col min="6694" max="6695" width="21.88671875" style="3178" customWidth="1"/>
    <col min="6696" max="6696" width="6.21875" style="3178" customWidth="1"/>
    <col min="6697" max="6697" width="16.109375" style="3178" customWidth="1"/>
    <col min="6698" max="6698" width="16.88671875" style="3178" customWidth="1"/>
    <col min="6699" max="6700" width="20.109375" style="3178" customWidth="1"/>
    <col min="6701" max="6912" width="9" style="3178"/>
    <col min="6913" max="6913" width="62.44140625" style="3178" customWidth="1"/>
    <col min="6914" max="6914" width="6.21875" style="3178" customWidth="1"/>
    <col min="6915" max="6915" width="13.88671875" style="3178" customWidth="1"/>
    <col min="6916" max="6916" width="9.6640625" style="3178" customWidth="1"/>
    <col min="6917" max="6917" width="4.6640625" style="3178" customWidth="1"/>
    <col min="6918" max="6918" width="62.44140625" style="3178" customWidth="1"/>
    <col min="6919" max="6919" width="7.88671875" style="3178" customWidth="1"/>
    <col min="6920" max="6920" width="24" style="3178" customWidth="1"/>
    <col min="6921" max="6921" width="19.44140625" style="3178" customWidth="1"/>
    <col min="6922" max="6923" width="13.88671875" style="3178" customWidth="1"/>
    <col min="6924" max="6924" width="17" style="3178" customWidth="1"/>
    <col min="6925" max="6925" width="7.88671875" style="3178" customWidth="1"/>
    <col min="6926" max="6926" width="9.21875" style="3178" customWidth="1"/>
    <col min="6927" max="6927" width="7.88671875" style="3178" customWidth="1"/>
    <col min="6928" max="6928" width="10" style="3178" customWidth="1"/>
    <col min="6929" max="6930" width="15.44140625" style="3178" customWidth="1"/>
    <col min="6931" max="6931" width="12.88671875" style="3178" customWidth="1"/>
    <col min="6932" max="6932" width="15" style="3178" customWidth="1"/>
    <col min="6933" max="6933" width="11.21875" style="3178" customWidth="1"/>
    <col min="6934" max="6934" width="17.88671875" style="3178" customWidth="1"/>
    <col min="6935" max="6935" width="7.88671875" style="3178" customWidth="1"/>
    <col min="6936" max="6939" width="9" style="3178" customWidth="1"/>
    <col min="6940" max="6940" width="21.77734375" style="3178" customWidth="1"/>
    <col min="6941" max="6941" width="7.88671875" style="3178" customWidth="1"/>
    <col min="6942" max="6942" width="32" style="3178" customWidth="1"/>
    <col min="6943" max="6945" width="10.6640625" style="3178" customWidth="1"/>
    <col min="6946" max="6947" width="16" style="3178" customWidth="1"/>
    <col min="6948" max="6949" width="14.33203125" style="3178" customWidth="1"/>
    <col min="6950" max="6951" width="21.88671875" style="3178" customWidth="1"/>
    <col min="6952" max="6952" width="6.21875" style="3178" customWidth="1"/>
    <col min="6953" max="6953" width="16.109375" style="3178" customWidth="1"/>
    <col min="6954" max="6954" width="16.88671875" style="3178" customWidth="1"/>
    <col min="6955" max="6956" width="20.109375" style="3178" customWidth="1"/>
    <col min="6957" max="7168" width="9" style="3178"/>
    <col min="7169" max="7169" width="62.44140625" style="3178" customWidth="1"/>
    <col min="7170" max="7170" width="6.21875" style="3178" customWidth="1"/>
    <col min="7171" max="7171" width="13.88671875" style="3178" customWidth="1"/>
    <col min="7172" max="7172" width="9.6640625" style="3178" customWidth="1"/>
    <col min="7173" max="7173" width="4.6640625" style="3178" customWidth="1"/>
    <col min="7174" max="7174" width="62.44140625" style="3178" customWidth="1"/>
    <col min="7175" max="7175" width="7.88671875" style="3178" customWidth="1"/>
    <col min="7176" max="7176" width="24" style="3178" customWidth="1"/>
    <col min="7177" max="7177" width="19.44140625" style="3178" customWidth="1"/>
    <col min="7178" max="7179" width="13.88671875" style="3178" customWidth="1"/>
    <col min="7180" max="7180" width="17" style="3178" customWidth="1"/>
    <col min="7181" max="7181" width="7.88671875" style="3178" customWidth="1"/>
    <col min="7182" max="7182" width="9.21875" style="3178" customWidth="1"/>
    <col min="7183" max="7183" width="7.88671875" style="3178" customWidth="1"/>
    <col min="7184" max="7184" width="10" style="3178" customWidth="1"/>
    <col min="7185" max="7186" width="15.44140625" style="3178" customWidth="1"/>
    <col min="7187" max="7187" width="12.88671875" style="3178" customWidth="1"/>
    <col min="7188" max="7188" width="15" style="3178" customWidth="1"/>
    <col min="7189" max="7189" width="11.21875" style="3178" customWidth="1"/>
    <col min="7190" max="7190" width="17.88671875" style="3178" customWidth="1"/>
    <col min="7191" max="7191" width="7.88671875" style="3178" customWidth="1"/>
    <col min="7192" max="7195" width="9" style="3178" customWidth="1"/>
    <col min="7196" max="7196" width="21.77734375" style="3178" customWidth="1"/>
    <col min="7197" max="7197" width="7.88671875" style="3178" customWidth="1"/>
    <col min="7198" max="7198" width="32" style="3178" customWidth="1"/>
    <col min="7199" max="7201" width="10.6640625" style="3178" customWidth="1"/>
    <col min="7202" max="7203" width="16" style="3178" customWidth="1"/>
    <col min="7204" max="7205" width="14.33203125" style="3178" customWidth="1"/>
    <col min="7206" max="7207" width="21.88671875" style="3178" customWidth="1"/>
    <col min="7208" max="7208" width="6.21875" style="3178" customWidth="1"/>
    <col min="7209" max="7209" width="16.109375" style="3178" customWidth="1"/>
    <col min="7210" max="7210" width="16.88671875" style="3178" customWidth="1"/>
    <col min="7211" max="7212" width="20.109375" style="3178" customWidth="1"/>
    <col min="7213" max="7424" width="9" style="3178"/>
    <col min="7425" max="7425" width="62.44140625" style="3178" customWidth="1"/>
    <col min="7426" max="7426" width="6.21875" style="3178" customWidth="1"/>
    <col min="7427" max="7427" width="13.88671875" style="3178" customWidth="1"/>
    <col min="7428" max="7428" width="9.6640625" style="3178" customWidth="1"/>
    <col min="7429" max="7429" width="4.6640625" style="3178" customWidth="1"/>
    <col min="7430" max="7430" width="62.44140625" style="3178" customWidth="1"/>
    <col min="7431" max="7431" width="7.88671875" style="3178" customWidth="1"/>
    <col min="7432" max="7432" width="24" style="3178" customWidth="1"/>
    <col min="7433" max="7433" width="19.44140625" style="3178" customWidth="1"/>
    <col min="7434" max="7435" width="13.88671875" style="3178" customWidth="1"/>
    <col min="7436" max="7436" width="17" style="3178" customWidth="1"/>
    <col min="7437" max="7437" width="7.88671875" style="3178" customWidth="1"/>
    <col min="7438" max="7438" width="9.21875" style="3178" customWidth="1"/>
    <col min="7439" max="7439" width="7.88671875" style="3178" customWidth="1"/>
    <col min="7440" max="7440" width="10" style="3178" customWidth="1"/>
    <col min="7441" max="7442" width="15.44140625" style="3178" customWidth="1"/>
    <col min="7443" max="7443" width="12.88671875" style="3178" customWidth="1"/>
    <col min="7444" max="7444" width="15" style="3178" customWidth="1"/>
    <col min="7445" max="7445" width="11.21875" style="3178" customWidth="1"/>
    <col min="7446" max="7446" width="17.88671875" style="3178" customWidth="1"/>
    <col min="7447" max="7447" width="7.88671875" style="3178" customWidth="1"/>
    <col min="7448" max="7451" width="9" style="3178" customWidth="1"/>
    <col min="7452" max="7452" width="21.77734375" style="3178" customWidth="1"/>
    <col min="7453" max="7453" width="7.88671875" style="3178" customWidth="1"/>
    <col min="7454" max="7454" width="32" style="3178" customWidth="1"/>
    <col min="7455" max="7457" width="10.6640625" style="3178" customWidth="1"/>
    <col min="7458" max="7459" width="16" style="3178" customWidth="1"/>
    <col min="7460" max="7461" width="14.33203125" style="3178" customWidth="1"/>
    <col min="7462" max="7463" width="21.88671875" style="3178" customWidth="1"/>
    <col min="7464" max="7464" width="6.21875" style="3178" customWidth="1"/>
    <col min="7465" max="7465" width="16.109375" style="3178" customWidth="1"/>
    <col min="7466" max="7466" width="16.88671875" style="3178" customWidth="1"/>
    <col min="7467" max="7468" width="20.109375" style="3178" customWidth="1"/>
    <col min="7469" max="7680" width="9" style="3178"/>
    <col min="7681" max="7681" width="62.44140625" style="3178" customWidth="1"/>
    <col min="7682" max="7682" width="6.21875" style="3178" customWidth="1"/>
    <col min="7683" max="7683" width="13.88671875" style="3178" customWidth="1"/>
    <col min="7684" max="7684" width="9.6640625" style="3178" customWidth="1"/>
    <col min="7685" max="7685" width="4.6640625" style="3178" customWidth="1"/>
    <col min="7686" max="7686" width="62.44140625" style="3178" customWidth="1"/>
    <col min="7687" max="7687" width="7.88671875" style="3178" customWidth="1"/>
    <col min="7688" max="7688" width="24" style="3178" customWidth="1"/>
    <col min="7689" max="7689" width="19.44140625" style="3178" customWidth="1"/>
    <col min="7690" max="7691" width="13.88671875" style="3178" customWidth="1"/>
    <col min="7692" max="7692" width="17" style="3178" customWidth="1"/>
    <col min="7693" max="7693" width="7.88671875" style="3178" customWidth="1"/>
    <col min="7694" max="7694" width="9.21875" style="3178" customWidth="1"/>
    <col min="7695" max="7695" width="7.88671875" style="3178" customWidth="1"/>
    <col min="7696" max="7696" width="10" style="3178" customWidth="1"/>
    <col min="7697" max="7698" width="15.44140625" style="3178" customWidth="1"/>
    <col min="7699" max="7699" width="12.88671875" style="3178" customWidth="1"/>
    <col min="7700" max="7700" width="15" style="3178" customWidth="1"/>
    <col min="7701" max="7701" width="11.21875" style="3178" customWidth="1"/>
    <col min="7702" max="7702" width="17.88671875" style="3178" customWidth="1"/>
    <col min="7703" max="7703" width="7.88671875" style="3178" customWidth="1"/>
    <col min="7704" max="7707" width="9" style="3178" customWidth="1"/>
    <col min="7708" max="7708" width="21.77734375" style="3178" customWidth="1"/>
    <col min="7709" max="7709" width="7.88671875" style="3178" customWidth="1"/>
    <col min="7710" max="7710" width="32" style="3178" customWidth="1"/>
    <col min="7711" max="7713" width="10.6640625" style="3178" customWidth="1"/>
    <col min="7714" max="7715" width="16" style="3178" customWidth="1"/>
    <col min="7716" max="7717" width="14.33203125" style="3178" customWidth="1"/>
    <col min="7718" max="7719" width="21.88671875" style="3178" customWidth="1"/>
    <col min="7720" max="7720" width="6.21875" style="3178" customWidth="1"/>
    <col min="7721" max="7721" width="16.109375" style="3178" customWidth="1"/>
    <col min="7722" max="7722" width="16.88671875" style="3178" customWidth="1"/>
    <col min="7723" max="7724" width="20.109375" style="3178" customWidth="1"/>
    <col min="7725" max="7936" width="9" style="3178"/>
    <col min="7937" max="7937" width="62.44140625" style="3178" customWidth="1"/>
    <col min="7938" max="7938" width="6.21875" style="3178" customWidth="1"/>
    <col min="7939" max="7939" width="13.88671875" style="3178" customWidth="1"/>
    <col min="7940" max="7940" width="9.6640625" style="3178" customWidth="1"/>
    <col min="7941" max="7941" width="4.6640625" style="3178" customWidth="1"/>
    <col min="7942" max="7942" width="62.44140625" style="3178" customWidth="1"/>
    <col min="7943" max="7943" width="7.88671875" style="3178" customWidth="1"/>
    <col min="7944" max="7944" width="24" style="3178" customWidth="1"/>
    <col min="7945" max="7945" width="19.44140625" style="3178" customWidth="1"/>
    <col min="7946" max="7947" width="13.88671875" style="3178" customWidth="1"/>
    <col min="7948" max="7948" width="17" style="3178" customWidth="1"/>
    <col min="7949" max="7949" width="7.88671875" style="3178" customWidth="1"/>
    <col min="7950" max="7950" width="9.21875" style="3178" customWidth="1"/>
    <col min="7951" max="7951" width="7.88671875" style="3178" customWidth="1"/>
    <col min="7952" max="7952" width="10" style="3178" customWidth="1"/>
    <col min="7953" max="7954" width="15.44140625" style="3178" customWidth="1"/>
    <col min="7955" max="7955" width="12.88671875" style="3178" customWidth="1"/>
    <col min="7956" max="7956" width="15" style="3178" customWidth="1"/>
    <col min="7957" max="7957" width="11.21875" style="3178" customWidth="1"/>
    <col min="7958" max="7958" width="17.88671875" style="3178" customWidth="1"/>
    <col min="7959" max="7959" width="7.88671875" style="3178" customWidth="1"/>
    <col min="7960" max="7963" width="9" style="3178" customWidth="1"/>
    <col min="7964" max="7964" width="21.77734375" style="3178" customWidth="1"/>
    <col min="7965" max="7965" width="7.88671875" style="3178" customWidth="1"/>
    <col min="7966" max="7966" width="32" style="3178" customWidth="1"/>
    <col min="7967" max="7969" width="10.6640625" style="3178" customWidth="1"/>
    <col min="7970" max="7971" width="16" style="3178" customWidth="1"/>
    <col min="7972" max="7973" width="14.33203125" style="3178" customWidth="1"/>
    <col min="7974" max="7975" width="21.88671875" style="3178" customWidth="1"/>
    <col min="7976" max="7976" width="6.21875" style="3178" customWidth="1"/>
    <col min="7977" max="7977" width="16.109375" style="3178" customWidth="1"/>
    <col min="7978" max="7978" width="16.88671875" style="3178" customWidth="1"/>
    <col min="7979" max="7980" width="20.109375" style="3178" customWidth="1"/>
    <col min="7981" max="8192" width="9" style="3178"/>
    <col min="8193" max="8193" width="62.44140625" style="3178" customWidth="1"/>
    <col min="8194" max="8194" width="6.21875" style="3178" customWidth="1"/>
    <col min="8195" max="8195" width="13.88671875" style="3178" customWidth="1"/>
    <col min="8196" max="8196" width="9.6640625" style="3178" customWidth="1"/>
    <col min="8197" max="8197" width="4.6640625" style="3178" customWidth="1"/>
    <col min="8198" max="8198" width="62.44140625" style="3178" customWidth="1"/>
    <col min="8199" max="8199" width="7.88671875" style="3178" customWidth="1"/>
    <col min="8200" max="8200" width="24" style="3178" customWidth="1"/>
    <col min="8201" max="8201" width="19.44140625" style="3178" customWidth="1"/>
    <col min="8202" max="8203" width="13.88671875" style="3178" customWidth="1"/>
    <col min="8204" max="8204" width="17" style="3178" customWidth="1"/>
    <col min="8205" max="8205" width="7.88671875" style="3178" customWidth="1"/>
    <col min="8206" max="8206" width="9.21875" style="3178" customWidth="1"/>
    <col min="8207" max="8207" width="7.88671875" style="3178" customWidth="1"/>
    <col min="8208" max="8208" width="10" style="3178" customWidth="1"/>
    <col min="8209" max="8210" width="15.44140625" style="3178" customWidth="1"/>
    <col min="8211" max="8211" width="12.88671875" style="3178" customWidth="1"/>
    <col min="8212" max="8212" width="15" style="3178" customWidth="1"/>
    <col min="8213" max="8213" width="11.21875" style="3178" customWidth="1"/>
    <col min="8214" max="8214" width="17.88671875" style="3178" customWidth="1"/>
    <col min="8215" max="8215" width="7.88671875" style="3178" customWidth="1"/>
    <col min="8216" max="8219" width="9" style="3178" customWidth="1"/>
    <col min="8220" max="8220" width="21.77734375" style="3178" customWidth="1"/>
    <col min="8221" max="8221" width="7.88671875" style="3178" customWidth="1"/>
    <col min="8222" max="8222" width="32" style="3178" customWidth="1"/>
    <col min="8223" max="8225" width="10.6640625" style="3178" customWidth="1"/>
    <col min="8226" max="8227" width="16" style="3178" customWidth="1"/>
    <col min="8228" max="8229" width="14.33203125" style="3178" customWidth="1"/>
    <col min="8230" max="8231" width="21.88671875" style="3178" customWidth="1"/>
    <col min="8232" max="8232" width="6.21875" style="3178" customWidth="1"/>
    <col min="8233" max="8233" width="16.109375" style="3178" customWidth="1"/>
    <col min="8234" max="8234" width="16.88671875" style="3178" customWidth="1"/>
    <col min="8235" max="8236" width="20.109375" style="3178" customWidth="1"/>
    <col min="8237" max="8448" width="9" style="3178"/>
    <col min="8449" max="8449" width="62.44140625" style="3178" customWidth="1"/>
    <col min="8450" max="8450" width="6.21875" style="3178" customWidth="1"/>
    <col min="8451" max="8451" width="13.88671875" style="3178" customWidth="1"/>
    <col min="8452" max="8452" width="9.6640625" style="3178" customWidth="1"/>
    <col min="8453" max="8453" width="4.6640625" style="3178" customWidth="1"/>
    <col min="8454" max="8454" width="62.44140625" style="3178" customWidth="1"/>
    <col min="8455" max="8455" width="7.88671875" style="3178" customWidth="1"/>
    <col min="8456" max="8456" width="24" style="3178" customWidth="1"/>
    <col min="8457" max="8457" width="19.44140625" style="3178" customWidth="1"/>
    <col min="8458" max="8459" width="13.88671875" style="3178" customWidth="1"/>
    <col min="8460" max="8460" width="17" style="3178" customWidth="1"/>
    <col min="8461" max="8461" width="7.88671875" style="3178" customWidth="1"/>
    <col min="8462" max="8462" width="9.21875" style="3178" customWidth="1"/>
    <col min="8463" max="8463" width="7.88671875" style="3178" customWidth="1"/>
    <col min="8464" max="8464" width="10" style="3178" customWidth="1"/>
    <col min="8465" max="8466" width="15.44140625" style="3178" customWidth="1"/>
    <col min="8467" max="8467" width="12.88671875" style="3178" customWidth="1"/>
    <col min="8468" max="8468" width="15" style="3178" customWidth="1"/>
    <col min="8469" max="8469" width="11.21875" style="3178" customWidth="1"/>
    <col min="8470" max="8470" width="17.88671875" style="3178" customWidth="1"/>
    <col min="8471" max="8471" width="7.88671875" style="3178" customWidth="1"/>
    <col min="8472" max="8475" width="9" style="3178" customWidth="1"/>
    <col min="8476" max="8476" width="21.77734375" style="3178" customWidth="1"/>
    <col min="8477" max="8477" width="7.88671875" style="3178" customWidth="1"/>
    <col min="8478" max="8478" width="32" style="3178" customWidth="1"/>
    <col min="8479" max="8481" width="10.6640625" style="3178" customWidth="1"/>
    <col min="8482" max="8483" width="16" style="3178" customWidth="1"/>
    <col min="8484" max="8485" width="14.33203125" style="3178" customWidth="1"/>
    <col min="8486" max="8487" width="21.88671875" style="3178" customWidth="1"/>
    <col min="8488" max="8488" width="6.21875" style="3178" customWidth="1"/>
    <col min="8489" max="8489" width="16.109375" style="3178" customWidth="1"/>
    <col min="8490" max="8490" width="16.88671875" style="3178" customWidth="1"/>
    <col min="8491" max="8492" width="20.109375" style="3178" customWidth="1"/>
    <col min="8493" max="8704" width="9" style="3178"/>
    <col min="8705" max="8705" width="62.44140625" style="3178" customWidth="1"/>
    <col min="8706" max="8706" width="6.21875" style="3178" customWidth="1"/>
    <col min="8707" max="8707" width="13.88671875" style="3178" customWidth="1"/>
    <col min="8708" max="8708" width="9.6640625" style="3178" customWidth="1"/>
    <col min="8709" max="8709" width="4.6640625" style="3178" customWidth="1"/>
    <col min="8710" max="8710" width="62.44140625" style="3178" customWidth="1"/>
    <col min="8711" max="8711" width="7.88671875" style="3178" customWidth="1"/>
    <col min="8712" max="8712" width="24" style="3178" customWidth="1"/>
    <col min="8713" max="8713" width="19.44140625" style="3178" customWidth="1"/>
    <col min="8714" max="8715" width="13.88671875" style="3178" customWidth="1"/>
    <col min="8716" max="8716" width="17" style="3178" customWidth="1"/>
    <col min="8717" max="8717" width="7.88671875" style="3178" customWidth="1"/>
    <col min="8718" max="8718" width="9.21875" style="3178" customWidth="1"/>
    <col min="8719" max="8719" width="7.88671875" style="3178" customWidth="1"/>
    <col min="8720" max="8720" width="10" style="3178" customWidth="1"/>
    <col min="8721" max="8722" width="15.44140625" style="3178" customWidth="1"/>
    <col min="8723" max="8723" width="12.88671875" style="3178" customWidth="1"/>
    <col min="8724" max="8724" width="15" style="3178" customWidth="1"/>
    <col min="8725" max="8725" width="11.21875" style="3178" customWidth="1"/>
    <col min="8726" max="8726" width="17.88671875" style="3178" customWidth="1"/>
    <col min="8727" max="8727" width="7.88671875" style="3178" customWidth="1"/>
    <col min="8728" max="8731" width="9" style="3178" customWidth="1"/>
    <col min="8732" max="8732" width="21.77734375" style="3178" customWidth="1"/>
    <col min="8733" max="8733" width="7.88671875" style="3178" customWidth="1"/>
    <col min="8734" max="8734" width="32" style="3178" customWidth="1"/>
    <col min="8735" max="8737" width="10.6640625" style="3178" customWidth="1"/>
    <col min="8738" max="8739" width="16" style="3178" customWidth="1"/>
    <col min="8740" max="8741" width="14.33203125" style="3178" customWidth="1"/>
    <col min="8742" max="8743" width="21.88671875" style="3178" customWidth="1"/>
    <col min="8744" max="8744" width="6.21875" style="3178" customWidth="1"/>
    <col min="8745" max="8745" width="16.109375" style="3178" customWidth="1"/>
    <col min="8746" max="8746" width="16.88671875" style="3178" customWidth="1"/>
    <col min="8747" max="8748" width="20.109375" style="3178" customWidth="1"/>
    <col min="8749" max="8960" width="9" style="3178"/>
    <col min="8961" max="8961" width="62.44140625" style="3178" customWidth="1"/>
    <col min="8962" max="8962" width="6.21875" style="3178" customWidth="1"/>
    <col min="8963" max="8963" width="13.88671875" style="3178" customWidth="1"/>
    <col min="8964" max="8964" width="9.6640625" style="3178" customWidth="1"/>
    <col min="8965" max="8965" width="4.6640625" style="3178" customWidth="1"/>
    <col min="8966" max="8966" width="62.44140625" style="3178" customWidth="1"/>
    <col min="8967" max="8967" width="7.88671875" style="3178" customWidth="1"/>
    <col min="8968" max="8968" width="24" style="3178" customWidth="1"/>
    <col min="8969" max="8969" width="19.44140625" style="3178" customWidth="1"/>
    <col min="8970" max="8971" width="13.88671875" style="3178" customWidth="1"/>
    <col min="8972" max="8972" width="17" style="3178" customWidth="1"/>
    <col min="8973" max="8973" width="7.88671875" style="3178" customWidth="1"/>
    <col min="8974" max="8974" width="9.21875" style="3178" customWidth="1"/>
    <col min="8975" max="8975" width="7.88671875" style="3178" customWidth="1"/>
    <col min="8976" max="8976" width="10" style="3178" customWidth="1"/>
    <col min="8977" max="8978" width="15.44140625" style="3178" customWidth="1"/>
    <col min="8979" max="8979" width="12.88671875" style="3178" customWidth="1"/>
    <col min="8980" max="8980" width="15" style="3178" customWidth="1"/>
    <col min="8981" max="8981" width="11.21875" style="3178" customWidth="1"/>
    <col min="8982" max="8982" width="17.88671875" style="3178" customWidth="1"/>
    <col min="8983" max="8983" width="7.88671875" style="3178" customWidth="1"/>
    <col min="8984" max="8987" width="9" style="3178" customWidth="1"/>
    <col min="8988" max="8988" width="21.77734375" style="3178" customWidth="1"/>
    <col min="8989" max="8989" width="7.88671875" style="3178" customWidth="1"/>
    <col min="8990" max="8990" width="32" style="3178" customWidth="1"/>
    <col min="8991" max="8993" width="10.6640625" style="3178" customWidth="1"/>
    <col min="8994" max="8995" width="16" style="3178" customWidth="1"/>
    <col min="8996" max="8997" width="14.33203125" style="3178" customWidth="1"/>
    <col min="8998" max="8999" width="21.88671875" style="3178" customWidth="1"/>
    <col min="9000" max="9000" width="6.21875" style="3178" customWidth="1"/>
    <col min="9001" max="9001" width="16.109375" style="3178" customWidth="1"/>
    <col min="9002" max="9002" width="16.88671875" style="3178" customWidth="1"/>
    <col min="9003" max="9004" width="20.109375" style="3178" customWidth="1"/>
    <col min="9005" max="9216" width="9" style="3178"/>
    <col min="9217" max="9217" width="62.44140625" style="3178" customWidth="1"/>
    <col min="9218" max="9218" width="6.21875" style="3178" customWidth="1"/>
    <col min="9219" max="9219" width="13.88671875" style="3178" customWidth="1"/>
    <col min="9220" max="9220" width="9.6640625" style="3178" customWidth="1"/>
    <col min="9221" max="9221" width="4.6640625" style="3178" customWidth="1"/>
    <col min="9222" max="9222" width="62.44140625" style="3178" customWidth="1"/>
    <col min="9223" max="9223" width="7.88671875" style="3178" customWidth="1"/>
    <col min="9224" max="9224" width="24" style="3178" customWidth="1"/>
    <col min="9225" max="9225" width="19.44140625" style="3178" customWidth="1"/>
    <col min="9226" max="9227" width="13.88671875" style="3178" customWidth="1"/>
    <col min="9228" max="9228" width="17" style="3178" customWidth="1"/>
    <col min="9229" max="9229" width="7.88671875" style="3178" customWidth="1"/>
    <col min="9230" max="9230" width="9.21875" style="3178" customWidth="1"/>
    <col min="9231" max="9231" width="7.88671875" style="3178" customWidth="1"/>
    <col min="9232" max="9232" width="10" style="3178" customWidth="1"/>
    <col min="9233" max="9234" width="15.44140625" style="3178" customWidth="1"/>
    <col min="9235" max="9235" width="12.88671875" style="3178" customWidth="1"/>
    <col min="9236" max="9236" width="15" style="3178" customWidth="1"/>
    <col min="9237" max="9237" width="11.21875" style="3178" customWidth="1"/>
    <col min="9238" max="9238" width="17.88671875" style="3178" customWidth="1"/>
    <col min="9239" max="9239" width="7.88671875" style="3178" customWidth="1"/>
    <col min="9240" max="9243" width="9" style="3178" customWidth="1"/>
    <col min="9244" max="9244" width="21.77734375" style="3178" customWidth="1"/>
    <col min="9245" max="9245" width="7.88671875" style="3178" customWidth="1"/>
    <col min="9246" max="9246" width="32" style="3178" customWidth="1"/>
    <col min="9247" max="9249" width="10.6640625" style="3178" customWidth="1"/>
    <col min="9250" max="9251" width="16" style="3178" customWidth="1"/>
    <col min="9252" max="9253" width="14.33203125" style="3178" customWidth="1"/>
    <col min="9254" max="9255" width="21.88671875" style="3178" customWidth="1"/>
    <col min="9256" max="9256" width="6.21875" style="3178" customWidth="1"/>
    <col min="9257" max="9257" width="16.109375" style="3178" customWidth="1"/>
    <col min="9258" max="9258" width="16.88671875" style="3178" customWidth="1"/>
    <col min="9259" max="9260" width="20.109375" style="3178" customWidth="1"/>
    <col min="9261" max="9472" width="9" style="3178"/>
    <col min="9473" max="9473" width="62.44140625" style="3178" customWidth="1"/>
    <col min="9474" max="9474" width="6.21875" style="3178" customWidth="1"/>
    <col min="9475" max="9475" width="13.88671875" style="3178" customWidth="1"/>
    <col min="9476" max="9476" width="9.6640625" style="3178" customWidth="1"/>
    <col min="9477" max="9477" width="4.6640625" style="3178" customWidth="1"/>
    <col min="9478" max="9478" width="62.44140625" style="3178" customWidth="1"/>
    <col min="9479" max="9479" width="7.88671875" style="3178" customWidth="1"/>
    <col min="9480" max="9480" width="24" style="3178" customWidth="1"/>
    <col min="9481" max="9481" width="19.44140625" style="3178" customWidth="1"/>
    <col min="9482" max="9483" width="13.88671875" style="3178" customWidth="1"/>
    <col min="9484" max="9484" width="17" style="3178" customWidth="1"/>
    <col min="9485" max="9485" width="7.88671875" style="3178" customWidth="1"/>
    <col min="9486" max="9486" width="9.21875" style="3178" customWidth="1"/>
    <col min="9487" max="9487" width="7.88671875" style="3178" customWidth="1"/>
    <col min="9488" max="9488" width="10" style="3178" customWidth="1"/>
    <col min="9489" max="9490" width="15.44140625" style="3178" customWidth="1"/>
    <col min="9491" max="9491" width="12.88671875" style="3178" customWidth="1"/>
    <col min="9492" max="9492" width="15" style="3178" customWidth="1"/>
    <col min="9493" max="9493" width="11.21875" style="3178" customWidth="1"/>
    <col min="9494" max="9494" width="17.88671875" style="3178" customWidth="1"/>
    <col min="9495" max="9495" width="7.88671875" style="3178" customWidth="1"/>
    <col min="9496" max="9499" width="9" style="3178" customWidth="1"/>
    <col min="9500" max="9500" width="21.77734375" style="3178" customWidth="1"/>
    <col min="9501" max="9501" width="7.88671875" style="3178" customWidth="1"/>
    <col min="9502" max="9502" width="32" style="3178" customWidth="1"/>
    <col min="9503" max="9505" width="10.6640625" style="3178" customWidth="1"/>
    <col min="9506" max="9507" width="16" style="3178" customWidth="1"/>
    <col min="9508" max="9509" width="14.33203125" style="3178" customWidth="1"/>
    <col min="9510" max="9511" width="21.88671875" style="3178" customWidth="1"/>
    <col min="9512" max="9512" width="6.21875" style="3178" customWidth="1"/>
    <col min="9513" max="9513" width="16.109375" style="3178" customWidth="1"/>
    <col min="9514" max="9514" width="16.88671875" style="3178" customWidth="1"/>
    <col min="9515" max="9516" width="20.109375" style="3178" customWidth="1"/>
    <col min="9517" max="9728" width="9" style="3178"/>
    <col min="9729" max="9729" width="62.44140625" style="3178" customWidth="1"/>
    <col min="9730" max="9730" width="6.21875" style="3178" customWidth="1"/>
    <col min="9731" max="9731" width="13.88671875" style="3178" customWidth="1"/>
    <col min="9732" max="9732" width="9.6640625" style="3178" customWidth="1"/>
    <col min="9733" max="9733" width="4.6640625" style="3178" customWidth="1"/>
    <col min="9734" max="9734" width="62.44140625" style="3178" customWidth="1"/>
    <col min="9735" max="9735" width="7.88671875" style="3178" customWidth="1"/>
    <col min="9736" max="9736" width="24" style="3178" customWidth="1"/>
    <col min="9737" max="9737" width="19.44140625" style="3178" customWidth="1"/>
    <col min="9738" max="9739" width="13.88671875" style="3178" customWidth="1"/>
    <col min="9740" max="9740" width="17" style="3178" customWidth="1"/>
    <col min="9741" max="9741" width="7.88671875" style="3178" customWidth="1"/>
    <col min="9742" max="9742" width="9.21875" style="3178" customWidth="1"/>
    <col min="9743" max="9743" width="7.88671875" style="3178" customWidth="1"/>
    <col min="9744" max="9744" width="10" style="3178" customWidth="1"/>
    <col min="9745" max="9746" width="15.44140625" style="3178" customWidth="1"/>
    <col min="9747" max="9747" width="12.88671875" style="3178" customWidth="1"/>
    <col min="9748" max="9748" width="15" style="3178" customWidth="1"/>
    <col min="9749" max="9749" width="11.21875" style="3178" customWidth="1"/>
    <col min="9750" max="9750" width="17.88671875" style="3178" customWidth="1"/>
    <col min="9751" max="9751" width="7.88671875" style="3178" customWidth="1"/>
    <col min="9752" max="9755" width="9" style="3178" customWidth="1"/>
    <col min="9756" max="9756" width="21.77734375" style="3178" customWidth="1"/>
    <col min="9757" max="9757" width="7.88671875" style="3178" customWidth="1"/>
    <col min="9758" max="9758" width="32" style="3178" customWidth="1"/>
    <col min="9759" max="9761" width="10.6640625" style="3178" customWidth="1"/>
    <col min="9762" max="9763" width="16" style="3178" customWidth="1"/>
    <col min="9764" max="9765" width="14.33203125" style="3178" customWidth="1"/>
    <col min="9766" max="9767" width="21.88671875" style="3178" customWidth="1"/>
    <col min="9768" max="9768" width="6.21875" style="3178" customWidth="1"/>
    <col min="9769" max="9769" width="16.109375" style="3178" customWidth="1"/>
    <col min="9770" max="9770" width="16.88671875" style="3178" customWidth="1"/>
    <col min="9771" max="9772" width="20.109375" style="3178" customWidth="1"/>
    <col min="9773" max="9984" width="9" style="3178"/>
    <col min="9985" max="9985" width="62.44140625" style="3178" customWidth="1"/>
    <col min="9986" max="9986" width="6.21875" style="3178" customWidth="1"/>
    <col min="9987" max="9987" width="13.88671875" style="3178" customWidth="1"/>
    <col min="9988" max="9988" width="9.6640625" style="3178" customWidth="1"/>
    <col min="9989" max="9989" width="4.6640625" style="3178" customWidth="1"/>
    <col min="9990" max="9990" width="62.44140625" style="3178" customWidth="1"/>
    <col min="9991" max="9991" width="7.88671875" style="3178" customWidth="1"/>
    <col min="9992" max="9992" width="24" style="3178" customWidth="1"/>
    <col min="9993" max="9993" width="19.44140625" style="3178" customWidth="1"/>
    <col min="9994" max="9995" width="13.88671875" style="3178" customWidth="1"/>
    <col min="9996" max="9996" width="17" style="3178" customWidth="1"/>
    <col min="9997" max="9997" width="7.88671875" style="3178" customWidth="1"/>
    <col min="9998" max="9998" width="9.21875" style="3178" customWidth="1"/>
    <col min="9999" max="9999" width="7.88671875" style="3178" customWidth="1"/>
    <col min="10000" max="10000" width="10" style="3178" customWidth="1"/>
    <col min="10001" max="10002" width="15.44140625" style="3178" customWidth="1"/>
    <col min="10003" max="10003" width="12.88671875" style="3178" customWidth="1"/>
    <col min="10004" max="10004" width="15" style="3178" customWidth="1"/>
    <col min="10005" max="10005" width="11.21875" style="3178" customWidth="1"/>
    <col min="10006" max="10006" width="17.88671875" style="3178" customWidth="1"/>
    <col min="10007" max="10007" width="7.88671875" style="3178" customWidth="1"/>
    <col min="10008" max="10011" width="9" style="3178" customWidth="1"/>
    <col min="10012" max="10012" width="21.77734375" style="3178" customWidth="1"/>
    <col min="10013" max="10013" width="7.88671875" style="3178" customWidth="1"/>
    <col min="10014" max="10014" width="32" style="3178" customWidth="1"/>
    <col min="10015" max="10017" width="10.6640625" style="3178" customWidth="1"/>
    <col min="10018" max="10019" width="16" style="3178" customWidth="1"/>
    <col min="10020" max="10021" width="14.33203125" style="3178" customWidth="1"/>
    <col min="10022" max="10023" width="21.88671875" style="3178" customWidth="1"/>
    <col min="10024" max="10024" width="6.21875" style="3178" customWidth="1"/>
    <col min="10025" max="10025" width="16.109375" style="3178" customWidth="1"/>
    <col min="10026" max="10026" width="16.88671875" style="3178" customWidth="1"/>
    <col min="10027" max="10028" width="20.109375" style="3178" customWidth="1"/>
    <col min="10029" max="10240" width="9" style="3178"/>
    <col min="10241" max="10241" width="62.44140625" style="3178" customWidth="1"/>
    <col min="10242" max="10242" width="6.21875" style="3178" customWidth="1"/>
    <col min="10243" max="10243" width="13.88671875" style="3178" customWidth="1"/>
    <col min="10244" max="10244" width="9.6640625" style="3178" customWidth="1"/>
    <col min="10245" max="10245" width="4.6640625" style="3178" customWidth="1"/>
    <col min="10246" max="10246" width="62.44140625" style="3178" customWidth="1"/>
    <col min="10247" max="10247" width="7.88671875" style="3178" customWidth="1"/>
    <col min="10248" max="10248" width="24" style="3178" customWidth="1"/>
    <col min="10249" max="10249" width="19.44140625" style="3178" customWidth="1"/>
    <col min="10250" max="10251" width="13.88671875" style="3178" customWidth="1"/>
    <col min="10252" max="10252" width="17" style="3178" customWidth="1"/>
    <col min="10253" max="10253" width="7.88671875" style="3178" customWidth="1"/>
    <col min="10254" max="10254" width="9.21875" style="3178" customWidth="1"/>
    <col min="10255" max="10255" width="7.88671875" style="3178" customWidth="1"/>
    <col min="10256" max="10256" width="10" style="3178" customWidth="1"/>
    <col min="10257" max="10258" width="15.44140625" style="3178" customWidth="1"/>
    <col min="10259" max="10259" width="12.88671875" style="3178" customWidth="1"/>
    <col min="10260" max="10260" width="15" style="3178" customWidth="1"/>
    <col min="10261" max="10261" width="11.21875" style="3178" customWidth="1"/>
    <col min="10262" max="10262" width="17.88671875" style="3178" customWidth="1"/>
    <col min="10263" max="10263" width="7.88671875" style="3178" customWidth="1"/>
    <col min="10264" max="10267" width="9" style="3178" customWidth="1"/>
    <col min="10268" max="10268" width="21.77734375" style="3178" customWidth="1"/>
    <col min="10269" max="10269" width="7.88671875" style="3178" customWidth="1"/>
    <col min="10270" max="10270" width="32" style="3178" customWidth="1"/>
    <col min="10271" max="10273" width="10.6640625" style="3178" customWidth="1"/>
    <col min="10274" max="10275" width="16" style="3178" customWidth="1"/>
    <col min="10276" max="10277" width="14.33203125" style="3178" customWidth="1"/>
    <col min="10278" max="10279" width="21.88671875" style="3178" customWidth="1"/>
    <col min="10280" max="10280" width="6.21875" style="3178" customWidth="1"/>
    <col min="10281" max="10281" width="16.109375" style="3178" customWidth="1"/>
    <col min="10282" max="10282" width="16.88671875" style="3178" customWidth="1"/>
    <col min="10283" max="10284" width="20.109375" style="3178" customWidth="1"/>
    <col min="10285" max="10496" width="9" style="3178"/>
    <col min="10497" max="10497" width="62.44140625" style="3178" customWidth="1"/>
    <col min="10498" max="10498" width="6.21875" style="3178" customWidth="1"/>
    <col min="10499" max="10499" width="13.88671875" style="3178" customWidth="1"/>
    <col min="10500" max="10500" width="9.6640625" style="3178" customWidth="1"/>
    <col min="10501" max="10501" width="4.6640625" style="3178" customWidth="1"/>
    <col min="10502" max="10502" width="62.44140625" style="3178" customWidth="1"/>
    <col min="10503" max="10503" width="7.88671875" style="3178" customWidth="1"/>
    <col min="10504" max="10504" width="24" style="3178" customWidth="1"/>
    <col min="10505" max="10505" width="19.44140625" style="3178" customWidth="1"/>
    <col min="10506" max="10507" width="13.88671875" style="3178" customWidth="1"/>
    <col min="10508" max="10508" width="17" style="3178" customWidth="1"/>
    <col min="10509" max="10509" width="7.88671875" style="3178" customWidth="1"/>
    <col min="10510" max="10510" width="9.21875" style="3178" customWidth="1"/>
    <col min="10511" max="10511" width="7.88671875" style="3178" customWidth="1"/>
    <col min="10512" max="10512" width="10" style="3178" customWidth="1"/>
    <col min="10513" max="10514" width="15.44140625" style="3178" customWidth="1"/>
    <col min="10515" max="10515" width="12.88671875" style="3178" customWidth="1"/>
    <col min="10516" max="10516" width="15" style="3178" customWidth="1"/>
    <col min="10517" max="10517" width="11.21875" style="3178" customWidth="1"/>
    <col min="10518" max="10518" width="17.88671875" style="3178" customWidth="1"/>
    <col min="10519" max="10519" width="7.88671875" style="3178" customWidth="1"/>
    <col min="10520" max="10523" width="9" style="3178" customWidth="1"/>
    <col min="10524" max="10524" width="21.77734375" style="3178" customWidth="1"/>
    <col min="10525" max="10525" width="7.88671875" style="3178" customWidth="1"/>
    <col min="10526" max="10526" width="32" style="3178" customWidth="1"/>
    <col min="10527" max="10529" width="10.6640625" style="3178" customWidth="1"/>
    <col min="10530" max="10531" width="16" style="3178" customWidth="1"/>
    <col min="10532" max="10533" width="14.33203125" style="3178" customWidth="1"/>
    <col min="10534" max="10535" width="21.88671875" style="3178" customWidth="1"/>
    <col min="10536" max="10536" width="6.21875" style="3178" customWidth="1"/>
    <col min="10537" max="10537" width="16.109375" style="3178" customWidth="1"/>
    <col min="10538" max="10538" width="16.88671875" style="3178" customWidth="1"/>
    <col min="10539" max="10540" width="20.109375" style="3178" customWidth="1"/>
    <col min="10541" max="10752" width="9" style="3178"/>
    <col min="10753" max="10753" width="62.44140625" style="3178" customWidth="1"/>
    <col min="10754" max="10754" width="6.21875" style="3178" customWidth="1"/>
    <col min="10755" max="10755" width="13.88671875" style="3178" customWidth="1"/>
    <col min="10756" max="10756" width="9.6640625" style="3178" customWidth="1"/>
    <col min="10757" max="10757" width="4.6640625" style="3178" customWidth="1"/>
    <col min="10758" max="10758" width="62.44140625" style="3178" customWidth="1"/>
    <col min="10759" max="10759" width="7.88671875" style="3178" customWidth="1"/>
    <col min="10760" max="10760" width="24" style="3178" customWidth="1"/>
    <col min="10761" max="10761" width="19.44140625" style="3178" customWidth="1"/>
    <col min="10762" max="10763" width="13.88671875" style="3178" customWidth="1"/>
    <col min="10764" max="10764" width="17" style="3178" customWidth="1"/>
    <col min="10765" max="10765" width="7.88671875" style="3178" customWidth="1"/>
    <col min="10766" max="10766" width="9.21875" style="3178" customWidth="1"/>
    <col min="10767" max="10767" width="7.88671875" style="3178" customWidth="1"/>
    <col min="10768" max="10768" width="10" style="3178" customWidth="1"/>
    <col min="10769" max="10770" width="15.44140625" style="3178" customWidth="1"/>
    <col min="10771" max="10771" width="12.88671875" style="3178" customWidth="1"/>
    <col min="10772" max="10772" width="15" style="3178" customWidth="1"/>
    <col min="10773" max="10773" width="11.21875" style="3178" customWidth="1"/>
    <col min="10774" max="10774" width="17.88671875" style="3178" customWidth="1"/>
    <col min="10775" max="10775" width="7.88671875" style="3178" customWidth="1"/>
    <col min="10776" max="10779" width="9" style="3178" customWidth="1"/>
    <col min="10780" max="10780" width="21.77734375" style="3178" customWidth="1"/>
    <col min="10781" max="10781" width="7.88671875" style="3178" customWidth="1"/>
    <col min="10782" max="10782" width="32" style="3178" customWidth="1"/>
    <col min="10783" max="10785" width="10.6640625" style="3178" customWidth="1"/>
    <col min="10786" max="10787" width="16" style="3178" customWidth="1"/>
    <col min="10788" max="10789" width="14.33203125" style="3178" customWidth="1"/>
    <col min="10790" max="10791" width="21.88671875" style="3178" customWidth="1"/>
    <col min="10792" max="10792" width="6.21875" style="3178" customWidth="1"/>
    <col min="10793" max="10793" width="16.109375" style="3178" customWidth="1"/>
    <col min="10794" max="10794" width="16.88671875" style="3178" customWidth="1"/>
    <col min="10795" max="10796" width="20.109375" style="3178" customWidth="1"/>
    <col min="10797" max="11008" width="9" style="3178"/>
    <col min="11009" max="11009" width="62.44140625" style="3178" customWidth="1"/>
    <col min="11010" max="11010" width="6.21875" style="3178" customWidth="1"/>
    <col min="11011" max="11011" width="13.88671875" style="3178" customWidth="1"/>
    <col min="11012" max="11012" width="9.6640625" style="3178" customWidth="1"/>
    <col min="11013" max="11013" width="4.6640625" style="3178" customWidth="1"/>
    <col min="11014" max="11014" width="62.44140625" style="3178" customWidth="1"/>
    <col min="11015" max="11015" width="7.88671875" style="3178" customWidth="1"/>
    <col min="11016" max="11016" width="24" style="3178" customWidth="1"/>
    <col min="11017" max="11017" width="19.44140625" style="3178" customWidth="1"/>
    <col min="11018" max="11019" width="13.88671875" style="3178" customWidth="1"/>
    <col min="11020" max="11020" width="17" style="3178" customWidth="1"/>
    <col min="11021" max="11021" width="7.88671875" style="3178" customWidth="1"/>
    <col min="11022" max="11022" width="9.21875" style="3178" customWidth="1"/>
    <col min="11023" max="11023" width="7.88671875" style="3178" customWidth="1"/>
    <col min="11024" max="11024" width="10" style="3178" customWidth="1"/>
    <col min="11025" max="11026" width="15.44140625" style="3178" customWidth="1"/>
    <col min="11027" max="11027" width="12.88671875" style="3178" customWidth="1"/>
    <col min="11028" max="11028" width="15" style="3178" customWidth="1"/>
    <col min="11029" max="11029" width="11.21875" style="3178" customWidth="1"/>
    <col min="11030" max="11030" width="17.88671875" style="3178" customWidth="1"/>
    <col min="11031" max="11031" width="7.88671875" style="3178" customWidth="1"/>
    <col min="11032" max="11035" width="9" style="3178" customWidth="1"/>
    <col min="11036" max="11036" width="21.77734375" style="3178" customWidth="1"/>
    <col min="11037" max="11037" width="7.88671875" style="3178" customWidth="1"/>
    <col min="11038" max="11038" width="32" style="3178" customWidth="1"/>
    <col min="11039" max="11041" width="10.6640625" style="3178" customWidth="1"/>
    <col min="11042" max="11043" width="16" style="3178" customWidth="1"/>
    <col min="11044" max="11045" width="14.33203125" style="3178" customWidth="1"/>
    <col min="11046" max="11047" width="21.88671875" style="3178" customWidth="1"/>
    <col min="11048" max="11048" width="6.21875" style="3178" customWidth="1"/>
    <col min="11049" max="11049" width="16.109375" style="3178" customWidth="1"/>
    <col min="11050" max="11050" width="16.88671875" style="3178" customWidth="1"/>
    <col min="11051" max="11052" width="20.109375" style="3178" customWidth="1"/>
    <col min="11053" max="11264" width="9" style="3178"/>
    <col min="11265" max="11265" width="62.44140625" style="3178" customWidth="1"/>
    <col min="11266" max="11266" width="6.21875" style="3178" customWidth="1"/>
    <col min="11267" max="11267" width="13.88671875" style="3178" customWidth="1"/>
    <col min="11268" max="11268" width="9.6640625" style="3178" customWidth="1"/>
    <col min="11269" max="11269" width="4.6640625" style="3178" customWidth="1"/>
    <col min="11270" max="11270" width="62.44140625" style="3178" customWidth="1"/>
    <col min="11271" max="11271" width="7.88671875" style="3178" customWidth="1"/>
    <col min="11272" max="11272" width="24" style="3178" customWidth="1"/>
    <col min="11273" max="11273" width="19.44140625" style="3178" customWidth="1"/>
    <col min="11274" max="11275" width="13.88671875" style="3178" customWidth="1"/>
    <col min="11276" max="11276" width="17" style="3178" customWidth="1"/>
    <col min="11277" max="11277" width="7.88671875" style="3178" customWidth="1"/>
    <col min="11278" max="11278" width="9.21875" style="3178" customWidth="1"/>
    <col min="11279" max="11279" width="7.88671875" style="3178" customWidth="1"/>
    <col min="11280" max="11280" width="10" style="3178" customWidth="1"/>
    <col min="11281" max="11282" width="15.44140625" style="3178" customWidth="1"/>
    <col min="11283" max="11283" width="12.88671875" style="3178" customWidth="1"/>
    <col min="11284" max="11284" width="15" style="3178" customWidth="1"/>
    <col min="11285" max="11285" width="11.21875" style="3178" customWidth="1"/>
    <col min="11286" max="11286" width="17.88671875" style="3178" customWidth="1"/>
    <col min="11287" max="11287" width="7.88671875" style="3178" customWidth="1"/>
    <col min="11288" max="11291" width="9" style="3178" customWidth="1"/>
    <col min="11292" max="11292" width="21.77734375" style="3178" customWidth="1"/>
    <col min="11293" max="11293" width="7.88671875" style="3178" customWidth="1"/>
    <col min="11294" max="11294" width="32" style="3178" customWidth="1"/>
    <col min="11295" max="11297" width="10.6640625" style="3178" customWidth="1"/>
    <col min="11298" max="11299" width="16" style="3178" customWidth="1"/>
    <col min="11300" max="11301" width="14.33203125" style="3178" customWidth="1"/>
    <col min="11302" max="11303" width="21.88671875" style="3178" customWidth="1"/>
    <col min="11304" max="11304" width="6.21875" style="3178" customWidth="1"/>
    <col min="11305" max="11305" width="16.109375" style="3178" customWidth="1"/>
    <col min="11306" max="11306" width="16.88671875" style="3178" customWidth="1"/>
    <col min="11307" max="11308" width="20.109375" style="3178" customWidth="1"/>
    <col min="11309" max="11520" width="9" style="3178"/>
    <col min="11521" max="11521" width="62.44140625" style="3178" customWidth="1"/>
    <col min="11522" max="11522" width="6.21875" style="3178" customWidth="1"/>
    <col min="11523" max="11523" width="13.88671875" style="3178" customWidth="1"/>
    <col min="11524" max="11524" width="9.6640625" style="3178" customWidth="1"/>
    <col min="11525" max="11525" width="4.6640625" style="3178" customWidth="1"/>
    <col min="11526" max="11526" width="62.44140625" style="3178" customWidth="1"/>
    <col min="11527" max="11527" width="7.88671875" style="3178" customWidth="1"/>
    <col min="11528" max="11528" width="24" style="3178" customWidth="1"/>
    <col min="11529" max="11529" width="19.44140625" style="3178" customWidth="1"/>
    <col min="11530" max="11531" width="13.88671875" style="3178" customWidth="1"/>
    <col min="11532" max="11532" width="17" style="3178" customWidth="1"/>
    <col min="11533" max="11533" width="7.88671875" style="3178" customWidth="1"/>
    <col min="11534" max="11534" width="9.21875" style="3178" customWidth="1"/>
    <col min="11535" max="11535" width="7.88671875" style="3178" customWidth="1"/>
    <col min="11536" max="11536" width="10" style="3178" customWidth="1"/>
    <col min="11537" max="11538" width="15.44140625" style="3178" customWidth="1"/>
    <col min="11539" max="11539" width="12.88671875" style="3178" customWidth="1"/>
    <col min="11540" max="11540" width="15" style="3178" customWidth="1"/>
    <col min="11541" max="11541" width="11.21875" style="3178" customWidth="1"/>
    <col min="11542" max="11542" width="17.88671875" style="3178" customWidth="1"/>
    <col min="11543" max="11543" width="7.88671875" style="3178" customWidth="1"/>
    <col min="11544" max="11547" width="9" style="3178" customWidth="1"/>
    <col min="11548" max="11548" width="21.77734375" style="3178" customWidth="1"/>
    <col min="11549" max="11549" width="7.88671875" style="3178" customWidth="1"/>
    <col min="11550" max="11550" width="32" style="3178" customWidth="1"/>
    <col min="11551" max="11553" width="10.6640625" style="3178" customWidth="1"/>
    <col min="11554" max="11555" width="16" style="3178" customWidth="1"/>
    <col min="11556" max="11557" width="14.33203125" style="3178" customWidth="1"/>
    <col min="11558" max="11559" width="21.88671875" style="3178" customWidth="1"/>
    <col min="11560" max="11560" width="6.21875" style="3178" customWidth="1"/>
    <col min="11561" max="11561" width="16.109375" style="3178" customWidth="1"/>
    <col min="11562" max="11562" width="16.88671875" style="3178" customWidth="1"/>
    <col min="11563" max="11564" width="20.109375" style="3178" customWidth="1"/>
    <col min="11565" max="11776" width="9" style="3178"/>
    <col min="11777" max="11777" width="62.44140625" style="3178" customWidth="1"/>
    <col min="11778" max="11778" width="6.21875" style="3178" customWidth="1"/>
    <col min="11779" max="11779" width="13.88671875" style="3178" customWidth="1"/>
    <col min="11780" max="11780" width="9.6640625" style="3178" customWidth="1"/>
    <col min="11781" max="11781" width="4.6640625" style="3178" customWidth="1"/>
    <col min="11782" max="11782" width="62.44140625" style="3178" customWidth="1"/>
    <col min="11783" max="11783" width="7.88671875" style="3178" customWidth="1"/>
    <col min="11784" max="11784" width="24" style="3178" customWidth="1"/>
    <col min="11785" max="11785" width="19.44140625" style="3178" customWidth="1"/>
    <col min="11786" max="11787" width="13.88671875" style="3178" customWidth="1"/>
    <col min="11788" max="11788" width="17" style="3178" customWidth="1"/>
    <col min="11789" max="11789" width="7.88671875" style="3178" customWidth="1"/>
    <col min="11790" max="11790" width="9.21875" style="3178" customWidth="1"/>
    <col min="11791" max="11791" width="7.88671875" style="3178" customWidth="1"/>
    <col min="11792" max="11792" width="10" style="3178" customWidth="1"/>
    <col min="11793" max="11794" width="15.44140625" style="3178" customWidth="1"/>
    <col min="11795" max="11795" width="12.88671875" style="3178" customWidth="1"/>
    <col min="11796" max="11796" width="15" style="3178" customWidth="1"/>
    <col min="11797" max="11797" width="11.21875" style="3178" customWidth="1"/>
    <col min="11798" max="11798" width="17.88671875" style="3178" customWidth="1"/>
    <col min="11799" max="11799" width="7.88671875" style="3178" customWidth="1"/>
    <col min="11800" max="11803" width="9" style="3178" customWidth="1"/>
    <col min="11804" max="11804" width="21.77734375" style="3178" customWidth="1"/>
    <col min="11805" max="11805" width="7.88671875" style="3178" customWidth="1"/>
    <col min="11806" max="11806" width="32" style="3178" customWidth="1"/>
    <col min="11807" max="11809" width="10.6640625" style="3178" customWidth="1"/>
    <col min="11810" max="11811" width="16" style="3178" customWidth="1"/>
    <col min="11812" max="11813" width="14.33203125" style="3178" customWidth="1"/>
    <col min="11814" max="11815" width="21.88671875" style="3178" customWidth="1"/>
    <col min="11816" max="11816" width="6.21875" style="3178" customWidth="1"/>
    <col min="11817" max="11817" width="16.109375" style="3178" customWidth="1"/>
    <col min="11818" max="11818" width="16.88671875" style="3178" customWidth="1"/>
    <col min="11819" max="11820" width="20.109375" style="3178" customWidth="1"/>
    <col min="11821" max="12032" width="9" style="3178"/>
    <col min="12033" max="12033" width="62.44140625" style="3178" customWidth="1"/>
    <col min="12034" max="12034" width="6.21875" style="3178" customWidth="1"/>
    <col min="12035" max="12035" width="13.88671875" style="3178" customWidth="1"/>
    <col min="12036" max="12036" width="9.6640625" style="3178" customWidth="1"/>
    <col min="12037" max="12037" width="4.6640625" style="3178" customWidth="1"/>
    <col min="12038" max="12038" width="62.44140625" style="3178" customWidth="1"/>
    <col min="12039" max="12039" width="7.88671875" style="3178" customWidth="1"/>
    <col min="12040" max="12040" width="24" style="3178" customWidth="1"/>
    <col min="12041" max="12041" width="19.44140625" style="3178" customWidth="1"/>
    <col min="12042" max="12043" width="13.88671875" style="3178" customWidth="1"/>
    <col min="12044" max="12044" width="17" style="3178" customWidth="1"/>
    <col min="12045" max="12045" width="7.88671875" style="3178" customWidth="1"/>
    <col min="12046" max="12046" width="9.21875" style="3178" customWidth="1"/>
    <col min="12047" max="12047" width="7.88671875" style="3178" customWidth="1"/>
    <col min="12048" max="12048" width="10" style="3178" customWidth="1"/>
    <col min="12049" max="12050" width="15.44140625" style="3178" customWidth="1"/>
    <col min="12051" max="12051" width="12.88671875" style="3178" customWidth="1"/>
    <col min="12052" max="12052" width="15" style="3178" customWidth="1"/>
    <col min="12053" max="12053" width="11.21875" style="3178" customWidth="1"/>
    <col min="12054" max="12054" width="17.88671875" style="3178" customWidth="1"/>
    <col min="12055" max="12055" width="7.88671875" style="3178" customWidth="1"/>
    <col min="12056" max="12059" width="9" style="3178" customWidth="1"/>
    <col min="12060" max="12060" width="21.77734375" style="3178" customWidth="1"/>
    <col min="12061" max="12061" width="7.88671875" style="3178" customWidth="1"/>
    <col min="12062" max="12062" width="32" style="3178" customWidth="1"/>
    <col min="12063" max="12065" width="10.6640625" style="3178" customWidth="1"/>
    <col min="12066" max="12067" width="16" style="3178" customWidth="1"/>
    <col min="12068" max="12069" width="14.33203125" style="3178" customWidth="1"/>
    <col min="12070" max="12071" width="21.88671875" style="3178" customWidth="1"/>
    <col min="12072" max="12072" width="6.21875" style="3178" customWidth="1"/>
    <col min="12073" max="12073" width="16.109375" style="3178" customWidth="1"/>
    <col min="12074" max="12074" width="16.88671875" style="3178" customWidth="1"/>
    <col min="12075" max="12076" width="20.109375" style="3178" customWidth="1"/>
    <col min="12077" max="12288" width="9" style="3178"/>
    <col min="12289" max="12289" width="62.44140625" style="3178" customWidth="1"/>
    <col min="12290" max="12290" width="6.21875" style="3178" customWidth="1"/>
    <col min="12291" max="12291" width="13.88671875" style="3178" customWidth="1"/>
    <col min="12292" max="12292" width="9.6640625" style="3178" customWidth="1"/>
    <col min="12293" max="12293" width="4.6640625" style="3178" customWidth="1"/>
    <col min="12294" max="12294" width="62.44140625" style="3178" customWidth="1"/>
    <col min="12295" max="12295" width="7.88671875" style="3178" customWidth="1"/>
    <col min="12296" max="12296" width="24" style="3178" customWidth="1"/>
    <col min="12297" max="12297" width="19.44140625" style="3178" customWidth="1"/>
    <col min="12298" max="12299" width="13.88671875" style="3178" customWidth="1"/>
    <col min="12300" max="12300" width="17" style="3178" customWidth="1"/>
    <col min="12301" max="12301" width="7.88671875" style="3178" customWidth="1"/>
    <col min="12302" max="12302" width="9.21875" style="3178" customWidth="1"/>
    <col min="12303" max="12303" width="7.88671875" style="3178" customWidth="1"/>
    <col min="12304" max="12304" width="10" style="3178" customWidth="1"/>
    <col min="12305" max="12306" width="15.44140625" style="3178" customWidth="1"/>
    <col min="12307" max="12307" width="12.88671875" style="3178" customWidth="1"/>
    <col min="12308" max="12308" width="15" style="3178" customWidth="1"/>
    <col min="12309" max="12309" width="11.21875" style="3178" customWidth="1"/>
    <col min="12310" max="12310" width="17.88671875" style="3178" customWidth="1"/>
    <col min="12311" max="12311" width="7.88671875" style="3178" customWidth="1"/>
    <col min="12312" max="12315" width="9" style="3178" customWidth="1"/>
    <col min="12316" max="12316" width="21.77734375" style="3178" customWidth="1"/>
    <col min="12317" max="12317" width="7.88671875" style="3178" customWidth="1"/>
    <col min="12318" max="12318" width="32" style="3178" customWidth="1"/>
    <col min="12319" max="12321" width="10.6640625" style="3178" customWidth="1"/>
    <col min="12322" max="12323" width="16" style="3178" customWidth="1"/>
    <col min="12324" max="12325" width="14.33203125" style="3178" customWidth="1"/>
    <col min="12326" max="12327" width="21.88671875" style="3178" customWidth="1"/>
    <col min="12328" max="12328" width="6.21875" style="3178" customWidth="1"/>
    <col min="12329" max="12329" width="16.109375" style="3178" customWidth="1"/>
    <col min="12330" max="12330" width="16.88671875" style="3178" customWidth="1"/>
    <col min="12331" max="12332" width="20.109375" style="3178" customWidth="1"/>
    <col min="12333" max="12544" width="9" style="3178"/>
    <col min="12545" max="12545" width="62.44140625" style="3178" customWidth="1"/>
    <col min="12546" max="12546" width="6.21875" style="3178" customWidth="1"/>
    <col min="12547" max="12547" width="13.88671875" style="3178" customWidth="1"/>
    <col min="12548" max="12548" width="9.6640625" style="3178" customWidth="1"/>
    <col min="12549" max="12549" width="4.6640625" style="3178" customWidth="1"/>
    <col min="12550" max="12550" width="62.44140625" style="3178" customWidth="1"/>
    <col min="12551" max="12551" width="7.88671875" style="3178" customWidth="1"/>
    <col min="12552" max="12552" width="24" style="3178" customWidth="1"/>
    <col min="12553" max="12553" width="19.44140625" style="3178" customWidth="1"/>
    <col min="12554" max="12555" width="13.88671875" style="3178" customWidth="1"/>
    <col min="12556" max="12556" width="17" style="3178" customWidth="1"/>
    <col min="12557" max="12557" width="7.88671875" style="3178" customWidth="1"/>
    <col min="12558" max="12558" width="9.21875" style="3178" customWidth="1"/>
    <col min="12559" max="12559" width="7.88671875" style="3178" customWidth="1"/>
    <col min="12560" max="12560" width="10" style="3178" customWidth="1"/>
    <col min="12561" max="12562" width="15.44140625" style="3178" customWidth="1"/>
    <col min="12563" max="12563" width="12.88671875" style="3178" customWidth="1"/>
    <col min="12564" max="12564" width="15" style="3178" customWidth="1"/>
    <col min="12565" max="12565" width="11.21875" style="3178" customWidth="1"/>
    <col min="12566" max="12566" width="17.88671875" style="3178" customWidth="1"/>
    <col min="12567" max="12567" width="7.88671875" style="3178" customWidth="1"/>
    <col min="12568" max="12571" width="9" style="3178" customWidth="1"/>
    <col min="12572" max="12572" width="21.77734375" style="3178" customWidth="1"/>
    <col min="12573" max="12573" width="7.88671875" style="3178" customWidth="1"/>
    <col min="12574" max="12574" width="32" style="3178" customWidth="1"/>
    <col min="12575" max="12577" width="10.6640625" style="3178" customWidth="1"/>
    <col min="12578" max="12579" width="16" style="3178" customWidth="1"/>
    <col min="12580" max="12581" width="14.33203125" style="3178" customWidth="1"/>
    <col min="12582" max="12583" width="21.88671875" style="3178" customWidth="1"/>
    <col min="12584" max="12584" width="6.21875" style="3178" customWidth="1"/>
    <col min="12585" max="12585" width="16.109375" style="3178" customWidth="1"/>
    <col min="12586" max="12586" width="16.88671875" style="3178" customWidth="1"/>
    <col min="12587" max="12588" width="20.109375" style="3178" customWidth="1"/>
    <col min="12589" max="12800" width="9" style="3178"/>
    <col min="12801" max="12801" width="62.44140625" style="3178" customWidth="1"/>
    <col min="12802" max="12802" width="6.21875" style="3178" customWidth="1"/>
    <col min="12803" max="12803" width="13.88671875" style="3178" customWidth="1"/>
    <col min="12804" max="12804" width="9.6640625" style="3178" customWidth="1"/>
    <col min="12805" max="12805" width="4.6640625" style="3178" customWidth="1"/>
    <col min="12806" max="12806" width="62.44140625" style="3178" customWidth="1"/>
    <col min="12807" max="12807" width="7.88671875" style="3178" customWidth="1"/>
    <col min="12808" max="12808" width="24" style="3178" customWidth="1"/>
    <col min="12809" max="12809" width="19.44140625" style="3178" customWidth="1"/>
    <col min="12810" max="12811" width="13.88671875" style="3178" customWidth="1"/>
    <col min="12812" max="12812" width="17" style="3178" customWidth="1"/>
    <col min="12813" max="12813" width="7.88671875" style="3178" customWidth="1"/>
    <col min="12814" max="12814" width="9.21875" style="3178" customWidth="1"/>
    <col min="12815" max="12815" width="7.88671875" style="3178" customWidth="1"/>
    <col min="12816" max="12816" width="10" style="3178" customWidth="1"/>
    <col min="12817" max="12818" width="15.44140625" style="3178" customWidth="1"/>
    <col min="12819" max="12819" width="12.88671875" style="3178" customWidth="1"/>
    <col min="12820" max="12820" width="15" style="3178" customWidth="1"/>
    <col min="12821" max="12821" width="11.21875" style="3178" customWidth="1"/>
    <col min="12822" max="12822" width="17.88671875" style="3178" customWidth="1"/>
    <col min="12823" max="12823" width="7.88671875" style="3178" customWidth="1"/>
    <col min="12824" max="12827" width="9" style="3178" customWidth="1"/>
    <col min="12828" max="12828" width="21.77734375" style="3178" customWidth="1"/>
    <col min="12829" max="12829" width="7.88671875" style="3178" customWidth="1"/>
    <col min="12830" max="12830" width="32" style="3178" customWidth="1"/>
    <col min="12831" max="12833" width="10.6640625" style="3178" customWidth="1"/>
    <col min="12834" max="12835" width="16" style="3178" customWidth="1"/>
    <col min="12836" max="12837" width="14.33203125" style="3178" customWidth="1"/>
    <col min="12838" max="12839" width="21.88671875" style="3178" customWidth="1"/>
    <col min="12840" max="12840" width="6.21875" style="3178" customWidth="1"/>
    <col min="12841" max="12841" width="16.109375" style="3178" customWidth="1"/>
    <col min="12842" max="12842" width="16.88671875" style="3178" customWidth="1"/>
    <col min="12843" max="12844" width="20.109375" style="3178" customWidth="1"/>
    <col min="12845" max="13056" width="9" style="3178"/>
    <col min="13057" max="13057" width="62.44140625" style="3178" customWidth="1"/>
    <col min="13058" max="13058" width="6.21875" style="3178" customWidth="1"/>
    <col min="13059" max="13059" width="13.88671875" style="3178" customWidth="1"/>
    <col min="13060" max="13060" width="9.6640625" style="3178" customWidth="1"/>
    <col min="13061" max="13061" width="4.6640625" style="3178" customWidth="1"/>
    <col min="13062" max="13062" width="62.44140625" style="3178" customWidth="1"/>
    <col min="13063" max="13063" width="7.88671875" style="3178" customWidth="1"/>
    <col min="13064" max="13064" width="24" style="3178" customWidth="1"/>
    <col min="13065" max="13065" width="19.44140625" style="3178" customWidth="1"/>
    <col min="13066" max="13067" width="13.88671875" style="3178" customWidth="1"/>
    <col min="13068" max="13068" width="17" style="3178" customWidth="1"/>
    <col min="13069" max="13069" width="7.88671875" style="3178" customWidth="1"/>
    <col min="13070" max="13070" width="9.21875" style="3178" customWidth="1"/>
    <col min="13071" max="13071" width="7.88671875" style="3178" customWidth="1"/>
    <col min="13072" max="13072" width="10" style="3178" customWidth="1"/>
    <col min="13073" max="13074" width="15.44140625" style="3178" customWidth="1"/>
    <col min="13075" max="13075" width="12.88671875" style="3178" customWidth="1"/>
    <col min="13076" max="13076" width="15" style="3178" customWidth="1"/>
    <col min="13077" max="13077" width="11.21875" style="3178" customWidth="1"/>
    <col min="13078" max="13078" width="17.88671875" style="3178" customWidth="1"/>
    <col min="13079" max="13079" width="7.88671875" style="3178" customWidth="1"/>
    <col min="13080" max="13083" width="9" style="3178" customWidth="1"/>
    <col min="13084" max="13084" width="21.77734375" style="3178" customWidth="1"/>
    <col min="13085" max="13085" width="7.88671875" style="3178" customWidth="1"/>
    <col min="13086" max="13086" width="32" style="3178" customWidth="1"/>
    <col min="13087" max="13089" width="10.6640625" style="3178" customWidth="1"/>
    <col min="13090" max="13091" width="16" style="3178" customWidth="1"/>
    <col min="13092" max="13093" width="14.33203125" style="3178" customWidth="1"/>
    <col min="13094" max="13095" width="21.88671875" style="3178" customWidth="1"/>
    <col min="13096" max="13096" width="6.21875" style="3178" customWidth="1"/>
    <col min="13097" max="13097" width="16.109375" style="3178" customWidth="1"/>
    <col min="13098" max="13098" width="16.88671875" style="3178" customWidth="1"/>
    <col min="13099" max="13100" width="20.109375" style="3178" customWidth="1"/>
    <col min="13101" max="13312" width="9" style="3178"/>
    <col min="13313" max="13313" width="62.44140625" style="3178" customWidth="1"/>
    <col min="13314" max="13314" width="6.21875" style="3178" customWidth="1"/>
    <col min="13315" max="13315" width="13.88671875" style="3178" customWidth="1"/>
    <col min="13316" max="13316" width="9.6640625" style="3178" customWidth="1"/>
    <col min="13317" max="13317" width="4.6640625" style="3178" customWidth="1"/>
    <col min="13318" max="13318" width="62.44140625" style="3178" customWidth="1"/>
    <col min="13319" max="13319" width="7.88671875" style="3178" customWidth="1"/>
    <col min="13320" max="13320" width="24" style="3178" customWidth="1"/>
    <col min="13321" max="13321" width="19.44140625" style="3178" customWidth="1"/>
    <col min="13322" max="13323" width="13.88671875" style="3178" customWidth="1"/>
    <col min="13324" max="13324" width="17" style="3178" customWidth="1"/>
    <col min="13325" max="13325" width="7.88671875" style="3178" customWidth="1"/>
    <col min="13326" max="13326" width="9.21875" style="3178" customWidth="1"/>
    <col min="13327" max="13327" width="7.88671875" style="3178" customWidth="1"/>
    <col min="13328" max="13328" width="10" style="3178" customWidth="1"/>
    <col min="13329" max="13330" width="15.44140625" style="3178" customWidth="1"/>
    <col min="13331" max="13331" width="12.88671875" style="3178" customWidth="1"/>
    <col min="13332" max="13332" width="15" style="3178" customWidth="1"/>
    <col min="13333" max="13333" width="11.21875" style="3178" customWidth="1"/>
    <col min="13334" max="13334" width="17.88671875" style="3178" customWidth="1"/>
    <col min="13335" max="13335" width="7.88671875" style="3178" customWidth="1"/>
    <col min="13336" max="13339" width="9" style="3178" customWidth="1"/>
    <col min="13340" max="13340" width="21.77734375" style="3178" customWidth="1"/>
    <col min="13341" max="13341" width="7.88671875" style="3178" customWidth="1"/>
    <col min="13342" max="13342" width="32" style="3178" customWidth="1"/>
    <col min="13343" max="13345" width="10.6640625" style="3178" customWidth="1"/>
    <col min="13346" max="13347" width="16" style="3178" customWidth="1"/>
    <col min="13348" max="13349" width="14.33203125" style="3178" customWidth="1"/>
    <col min="13350" max="13351" width="21.88671875" style="3178" customWidth="1"/>
    <col min="13352" max="13352" width="6.21875" style="3178" customWidth="1"/>
    <col min="13353" max="13353" width="16.109375" style="3178" customWidth="1"/>
    <col min="13354" max="13354" width="16.88671875" style="3178" customWidth="1"/>
    <col min="13355" max="13356" width="20.109375" style="3178" customWidth="1"/>
    <col min="13357" max="13568" width="9" style="3178"/>
    <col min="13569" max="13569" width="62.44140625" style="3178" customWidth="1"/>
    <col min="13570" max="13570" width="6.21875" style="3178" customWidth="1"/>
    <col min="13571" max="13571" width="13.88671875" style="3178" customWidth="1"/>
    <col min="13572" max="13572" width="9.6640625" style="3178" customWidth="1"/>
    <col min="13573" max="13573" width="4.6640625" style="3178" customWidth="1"/>
    <col min="13574" max="13574" width="62.44140625" style="3178" customWidth="1"/>
    <col min="13575" max="13575" width="7.88671875" style="3178" customWidth="1"/>
    <col min="13576" max="13576" width="24" style="3178" customWidth="1"/>
    <col min="13577" max="13577" width="19.44140625" style="3178" customWidth="1"/>
    <col min="13578" max="13579" width="13.88671875" style="3178" customWidth="1"/>
    <col min="13580" max="13580" width="17" style="3178" customWidth="1"/>
    <col min="13581" max="13581" width="7.88671875" style="3178" customWidth="1"/>
    <col min="13582" max="13582" width="9.21875" style="3178" customWidth="1"/>
    <col min="13583" max="13583" width="7.88671875" style="3178" customWidth="1"/>
    <col min="13584" max="13584" width="10" style="3178" customWidth="1"/>
    <col min="13585" max="13586" width="15.44140625" style="3178" customWidth="1"/>
    <col min="13587" max="13587" width="12.88671875" style="3178" customWidth="1"/>
    <col min="13588" max="13588" width="15" style="3178" customWidth="1"/>
    <col min="13589" max="13589" width="11.21875" style="3178" customWidth="1"/>
    <col min="13590" max="13590" width="17.88671875" style="3178" customWidth="1"/>
    <col min="13591" max="13591" width="7.88671875" style="3178" customWidth="1"/>
    <col min="13592" max="13595" width="9" style="3178" customWidth="1"/>
    <col min="13596" max="13596" width="21.77734375" style="3178" customWidth="1"/>
    <col min="13597" max="13597" width="7.88671875" style="3178" customWidth="1"/>
    <col min="13598" max="13598" width="32" style="3178" customWidth="1"/>
    <col min="13599" max="13601" width="10.6640625" style="3178" customWidth="1"/>
    <col min="13602" max="13603" width="16" style="3178" customWidth="1"/>
    <col min="13604" max="13605" width="14.33203125" style="3178" customWidth="1"/>
    <col min="13606" max="13607" width="21.88671875" style="3178" customWidth="1"/>
    <col min="13608" max="13608" width="6.21875" style="3178" customWidth="1"/>
    <col min="13609" max="13609" width="16.109375" style="3178" customWidth="1"/>
    <col min="13610" max="13610" width="16.88671875" style="3178" customWidth="1"/>
    <col min="13611" max="13612" width="20.109375" style="3178" customWidth="1"/>
    <col min="13613" max="13824" width="9" style="3178"/>
    <col min="13825" max="13825" width="62.44140625" style="3178" customWidth="1"/>
    <col min="13826" max="13826" width="6.21875" style="3178" customWidth="1"/>
    <col min="13827" max="13827" width="13.88671875" style="3178" customWidth="1"/>
    <col min="13828" max="13828" width="9.6640625" style="3178" customWidth="1"/>
    <col min="13829" max="13829" width="4.6640625" style="3178" customWidth="1"/>
    <col min="13830" max="13830" width="62.44140625" style="3178" customWidth="1"/>
    <col min="13831" max="13831" width="7.88671875" style="3178" customWidth="1"/>
    <col min="13832" max="13832" width="24" style="3178" customWidth="1"/>
    <col min="13833" max="13833" width="19.44140625" style="3178" customWidth="1"/>
    <col min="13834" max="13835" width="13.88671875" style="3178" customWidth="1"/>
    <col min="13836" max="13836" width="17" style="3178" customWidth="1"/>
    <col min="13837" max="13837" width="7.88671875" style="3178" customWidth="1"/>
    <col min="13838" max="13838" width="9.21875" style="3178" customWidth="1"/>
    <col min="13839" max="13839" width="7.88671875" style="3178" customWidth="1"/>
    <col min="13840" max="13840" width="10" style="3178" customWidth="1"/>
    <col min="13841" max="13842" width="15.44140625" style="3178" customWidth="1"/>
    <col min="13843" max="13843" width="12.88671875" style="3178" customWidth="1"/>
    <col min="13844" max="13844" width="15" style="3178" customWidth="1"/>
    <col min="13845" max="13845" width="11.21875" style="3178" customWidth="1"/>
    <col min="13846" max="13846" width="17.88671875" style="3178" customWidth="1"/>
    <col min="13847" max="13847" width="7.88671875" style="3178" customWidth="1"/>
    <col min="13848" max="13851" width="9" style="3178" customWidth="1"/>
    <col min="13852" max="13852" width="21.77734375" style="3178" customWidth="1"/>
    <col min="13853" max="13853" width="7.88671875" style="3178" customWidth="1"/>
    <col min="13854" max="13854" width="32" style="3178" customWidth="1"/>
    <col min="13855" max="13857" width="10.6640625" style="3178" customWidth="1"/>
    <col min="13858" max="13859" width="16" style="3178" customWidth="1"/>
    <col min="13860" max="13861" width="14.33203125" style="3178" customWidth="1"/>
    <col min="13862" max="13863" width="21.88671875" style="3178" customWidth="1"/>
    <col min="13864" max="13864" width="6.21875" style="3178" customWidth="1"/>
    <col min="13865" max="13865" width="16.109375" style="3178" customWidth="1"/>
    <col min="13866" max="13866" width="16.88671875" style="3178" customWidth="1"/>
    <col min="13867" max="13868" width="20.109375" style="3178" customWidth="1"/>
    <col min="13869" max="14080" width="9" style="3178"/>
    <col min="14081" max="14081" width="62.44140625" style="3178" customWidth="1"/>
    <col min="14082" max="14082" width="6.21875" style="3178" customWidth="1"/>
    <col min="14083" max="14083" width="13.88671875" style="3178" customWidth="1"/>
    <col min="14084" max="14084" width="9.6640625" style="3178" customWidth="1"/>
    <col min="14085" max="14085" width="4.6640625" style="3178" customWidth="1"/>
    <col min="14086" max="14086" width="62.44140625" style="3178" customWidth="1"/>
    <col min="14087" max="14087" width="7.88671875" style="3178" customWidth="1"/>
    <col min="14088" max="14088" width="24" style="3178" customWidth="1"/>
    <col min="14089" max="14089" width="19.44140625" style="3178" customWidth="1"/>
    <col min="14090" max="14091" width="13.88671875" style="3178" customWidth="1"/>
    <col min="14092" max="14092" width="17" style="3178" customWidth="1"/>
    <col min="14093" max="14093" width="7.88671875" style="3178" customWidth="1"/>
    <col min="14094" max="14094" width="9.21875" style="3178" customWidth="1"/>
    <col min="14095" max="14095" width="7.88671875" style="3178" customWidth="1"/>
    <col min="14096" max="14096" width="10" style="3178" customWidth="1"/>
    <col min="14097" max="14098" width="15.44140625" style="3178" customWidth="1"/>
    <col min="14099" max="14099" width="12.88671875" style="3178" customWidth="1"/>
    <col min="14100" max="14100" width="15" style="3178" customWidth="1"/>
    <col min="14101" max="14101" width="11.21875" style="3178" customWidth="1"/>
    <col min="14102" max="14102" width="17.88671875" style="3178" customWidth="1"/>
    <col min="14103" max="14103" width="7.88671875" style="3178" customWidth="1"/>
    <col min="14104" max="14107" width="9" style="3178" customWidth="1"/>
    <col min="14108" max="14108" width="21.77734375" style="3178" customWidth="1"/>
    <col min="14109" max="14109" width="7.88671875" style="3178" customWidth="1"/>
    <col min="14110" max="14110" width="32" style="3178" customWidth="1"/>
    <col min="14111" max="14113" width="10.6640625" style="3178" customWidth="1"/>
    <col min="14114" max="14115" width="16" style="3178" customWidth="1"/>
    <col min="14116" max="14117" width="14.33203125" style="3178" customWidth="1"/>
    <col min="14118" max="14119" width="21.88671875" style="3178" customWidth="1"/>
    <col min="14120" max="14120" width="6.21875" style="3178" customWidth="1"/>
    <col min="14121" max="14121" width="16.109375" style="3178" customWidth="1"/>
    <col min="14122" max="14122" width="16.88671875" style="3178" customWidth="1"/>
    <col min="14123" max="14124" width="20.109375" style="3178" customWidth="1"/>
    <col min="14125" max="14336" width="9" style="3178"/>
    <col min="14337" max="14337" width="62.44140625" style="3178" customWidth="1"/>
    <col min="14338" max="14338" width="6.21875" style="3178" customWidth="1"/>
    <col min="14339" max="14339" width="13.88671875" style="3178" customWidth="1"/>
    <col min="14340" max="14340" width="9.6640625" style="3178" customWidth="1"/>
    <col min="14341" max="14341" width="4.6640625" style="3178" customWidth="1"/>
    <col min="14342" max="14342" width="62.44140625" style="3178" customWidth="1"/>
    <col min="14343" max="14343" width="7.88671875" style="3178" customWidth="1"/>
    <col min="14344" max="14344" width="24" style="3178" customWidth="1"/>
    <col min="14345" max="14345" width="19.44140625" style="3178" customWidth="1"/>
    <col min="14346" max="14347" width="13.88671875" style="3178" customWidth="1"/>
    <col min="14348" max="14348" width="17" style="3178" customWidth="1"/>
    <col min="14349" max="14349" width="7.88671875" style="3178" customWidth="1"/>
    <col min="14350" max="14350" width="9.21875" style="3178" customWidth="1"/>
    <col min="14351" max="14351" width="7.88671875" style="3178" customWidth="1"/>
    <col min="14352" max="14352" width="10" style="3178" customWidth="1"/>
    <col min="14353" max="14354" width="15.44140625" style="3178" customWidth="1"/>
    <col min="14355" max="14355" width="12.88671875" style="3178" customWidth="1"/>
    <col min="14356" max="14356" width="15" style="3178" customWidth="1"/>
    <col min="14357" max="14357" width="11.21875" style="3178" customWidth="1"/>
    <col min="14358" max="14358" width="17.88671875" style="3178" customWidth="1"/>
    <col min="14359" max="14359" width="7.88671875" style="3178" customWidth="1"/>
    <col min="14360" max="14363" width="9" style="3178" customWidth="1"/>
    <col min="14364" max="14364" width="21.77734375" style="3178" customWidth="1"/>
    <col min="14365" max="14365" width="7.88671875" style="3178" customWidth="1"/>
    <col min="14366" max="14366" width="32" style="3178" customWidth="1"/>
    <col min="14367" max="14369" width="10.6640625" style="3178" customWidth="1"/>
    <col min="14370" max="14371" width="16" style="3178" customWidth="1"/>
    <col min="14372" max="14373" width="14.33203125" style="3178" customWidth="1"/>
    <col min="14374" max="14375" width="21.88671875" style="3178" customWidth="1"/>
    <col min="14376" max="14376" width="6.21875" style="3178" customWidth="1"/>
    <col min="14377" max="14377" width="16.109375" style="3178" customWidth="1"/>
    <col min="14378" max="14378" width="16.88671875" style="3178" customWidth="1"/>
    <col min="14379" max="14380" width="20.109375" style="3178" customWidth="1"/>
    <col min="14381" max="14592" width="9" style="3178"/>
    <col min="14593" max="14593" width="62.44140625" style="3178" customWidth="1"/>
    <col min="14594" max="14594" width="6.21875" style="3178" customWidth="1"/>
    <col min="14595" max="14595" width="13.88671875" style="3178" customWidth="1"/>
    <col min="14596" max="14596" width="9.6640625" style="3178" customWidth="1"/>
    <col min="14597" max="14597" width="4.6640625" style="3178" customWidth="1"/>
    <col min="14598" max="14598" width="62.44140625" style="3178" customWidth="1"/>
    <col min="14599" max="14599" width="7.88671875" style="3178" customWidth="1"/>
    <col min="14600" max="14600" width="24" style="3178" customWidth="1"/>
    <col min="14601" max="14601" width="19.44140625" style="3178" customWidth="1"/>
    <col min="14602" max="14603" width="13.88671875" style="3178" customWidth="1"/>
    <col min="14604" max="14604" width="17" style="3178" customWidth="1"/>
    <col min="14605" max="14605" width="7.88671875" style="3178" customWidth="1"/>
    <col min="14606" max="14606" width="9.21875" style="3178" customWidth="1"/>
    <col min="14607" max="14607" width="7.88671875" style="3178" customWidth="1"/>
    <col min="14608" max="14608" width="10" style="3178" customWidth="1"/>
    <col min="14609" max="14610" width="15.44140625" style="3178" customWidth="1"/>
    <col min="14611" max="14611" width="12.88671875" style="3178" customWidth="1"/>
    <col min="14612" max="14612" width="15" style="3178" customWidth="1"/>
    <col min="14613" max="14613" width="11.21875" style="3178" customWidth="1"/>
    <col min="14614" max="14614" width="17.88671875" style="3178" customWidth="1"/>
    <col min="14615" max="14615" width="7.88671875" style="3178" customWidth="1"/>
    <col min="14616" max="14619" width="9" style="3178" customWidth="1"/>
    <col min="14620" max="14620" width="21.77734375" style="3178" customWidth="1"/>
    <col min="14621" max="14621" width="7.88671875" style="3178" customWidth="1"/>
    <col min="14622" max="14622" width="32" style="3178" customWidth="1"/>
    <col min="14623" max="14625" width="10.6640625" style="3178" customWidth="1"/>
    <col min="14626" max="14627" width="16" style="3178" customWidth="1"/>
    <col min="14628" max="14629" width="14.33203125" style="3178" customWidth="1"/>
    <col min="14630" max="14631" width="21.88671875" style="3178" customWidth="1"/>
    <col min="14632" max="14632" width="6.21875" style="3178" customWidth="1"/>
    <col min="14633" max="14633" width="16.109375" style="3178" customWidth="1"/>
    <col min="14634" max="14634" width="16.88671875" style="3178" customWidth="1"/>
    <col min="14635" max="14636" width="20.109375" style="3178" customWidth="1"/>
    <col min="14637" max="14848" width="9" style="3178"/>
    <col min="14849" max="14849" width="62.44140625" style="3178" customWidth="1"/>
    <col min="14850" max="14850" width="6.21875" style="3178" customWidth="1"/>
    <col min="14851" max="14851" width="13.88671875" style="3178" customWidth="1"/>
    <col min="14852" max="14852" width="9.6640625" style="3178" customWidth="1"/>
    <col min="14853" max="14853" width="4.6640625" style="3178" customWidth="1"/>
    <col min="14854" max="14854" width="62.44140625" style="3178" customWidth="1"/>
    <col min="14855" max="14855" width="7.88671875" style="3178" customWidth="1"/>
    <col min="14856" max="14856" width="24" style="3178" customWidth="1"/>
    <col min="14857" max="14857" width="19.44140625" style="3178" customWidth="1"/>
    <col min="14858" max="14859" width="13.88671875" style="3178" customWidth="1"/>
    <col min="14860" max="14860" width="17" style="3178" customWidth="1"/>
    <col min="14861" max="14861" width="7.88671875" style="3178" customWidth="1"/>
    <col min="14862" max="14862" width="9.21875" style="3178" customWidth="1"/>
    <col min="14863" max="14863" width="7.88671875" style="3178" customWidth="1"/>
    <col min="14864" max="14864" width="10" style="3178" customWidth="1"/>
    <col min="14865" max="14866" width="15.44140625" style="3178" customWidth="1"/>
    <col min="14867" max="14867" width="12.88671875" style="3178" customWidth="1"/>
    <col min="14868" max="14868" width="15" style="3178" customWidth="1"/>
    <col min="14869" max="14869" width="11.21875" style="3178" customWidth="1"/>
    <col min="14870" max="14870" width="17.88671875" style="3178" customWidth="1"/>
    <col min="14871" max="14871" width="7.88671875" style="3178" customWidth="1"/>
    <col min="14872" max="14875" width="9" style="3178" customWidth="1"/>
    <col min="14876" max="14876" width="21.77734375" style="3178" customWidth="1"/>
    <col min="14877" max="14877" width="7.88671875" style="3178" customWidth="1"/>
    <col min="14878" max="14878" width="32" style="3178" customWidth="1"/>
    <col min="14879" max="14881" width="10.6640625" style="3178" customWidth="1"/>
    <col min="14882" max="14883" width="16" style="3178" customWidth="1"/>
    <col min="14884" max="14885" width="14.33203125" style="3178" customWidth="1"/>
    <col min="14886" max="14887" width="21.88671875" style="3178" customWidth="1"/>
    <col min="14888" max="14888" width="6.21875" style="3178" customWidth="1"/>
    <col min="14889" max="14889" width="16.109375" style="3178" customWidth="1"/>
    <col min="14890" max="14890" width="16.88671875" style="3178" customWidth="1"/>
    <col min="14891" max="14892" width="20.109375" style="3178" customWidth="1"/>
    <col min="14893" max="15104" width="9" style="3178"/>
    <col min="15105" max="15105" width="62.44140625" style="3178" customWidth="1"/>
    <col min="15106" max="15106" width="6.21875" style="3178" customWidth="1"/>
    <col min="15107" max="15107" width="13.88671875" style="3178" customWidth="1"/>
    <col min="15108" max="15108" width="9.6640625" style="3178" customWidth="1"/>
    <col min="15109" max="15109" width="4.6640625" style="3178" customWidth="1"/>
    <col min="15110" max="15110" width="62.44140625" style="3178" customWidth="1"/>
    <col min="15111" max="15111" width="7.88671875" style="3178" customWidth="1"/>
    <col min="15112" max="15112" width="24" style="3178" customWidth="1"/>
    <col min="15113" max="15113" width="19.44140625" style="3178" customWidth="1"/>
    <col min="15114" max="15115" width="13.88671875" style="3178" customWidth="1"/>
    <col min="15116" max="15116" width="17" style="3178" customWidth="1"/>
    <col min="15117" max="15117" width="7.88671875" style="3178" customWidth="1"/>
    <col min="15118" max="15118" width="9.21875" style="3178" customWidth="1"/>
    <col min="15119" max="15119" width="7.88671875" style="3178" customWidth="1"/>
    <col min="15120" max="15120" width="10" style="3178" customWidth="1"/>
    <col min="15121" max="15122" width="15.44140625" style="3178" customWidth="1"/>
    <col min="15123" max="15123" width="12.88671875" style="3178" customWidth="1"/>
    <col min="15124" max="15124" width="15" style="3178" customWidth="1"/>
    <col min="15125" max="15125" width="11.21875" style="3178" customWidth="1"/>
    <col min="15126" max="15126" width="17.88671875" style="3178" customWidth="1"/>
    <col min="15127" max="15127" width="7.88671875" style="3178" customWidth="1"/>
    <col min="15128" max="15131" width="9" style="3178" customWidth="1"/>
    <col min="15132" max="15132" width="21.77734375" style="3178" customWidth="1"/>
    <col min="15133" max="15133" width="7.88671875" style="3178" customWidth="1"/>
    <col min="15134" max="15134" width="32" style="3178" customWidth="1"/>
    <col min="15135" max="15137" width="10.6640625" style="3178" customWidth="1"/>
    <col min="15138" max="15139" width="16" style="3178" customWidth="1"/>
    <col min="15140" max="15141" width="14.33203125" style="3178" customWidth="1"/>
    <col min="15142" max="15143" width="21.88671875" style="3178" customWidth="1"/>
    <col min="15144" max="15144" width="6.21875" style="3178" customWidth="1"/>
    <col min="15145" max="15145" width="16.109375" style="3178" customWidth="1"/>
    <col min="15146" max="15146" width="16.88671875" style="3178" customWidth="1"/>
    <col min="15147" max="15148" width="20.109375" style="3178" customWidth="1"/>
    <col min="15149" max="15360" width="9" style="3178"/>
    <col min="15361" max="15361" width="62.44140625" style="3178" customWidth="1"/>
    <col min="15362" max="15362" width="6.21875" style="3178" customWidth="1"/>
    <col min="15363" max="15363" width="13.88671875" style="3178" customWidth="1"/>
    <col min="15364" max="15364" width="9.6640625" style="3178" customWidth="1"/>
    <col min="15365" max="15365" width="4.6640625" style="3178" customWidth="1"/>
    <col min="15366" max="15366" width="62.44140625" style="3178" customWidth="1"/>
    <col min="15367" max="15367" width="7.88671875" style="3178" customWidth="1"/>
    <col min="15368" max="15368" width="24" style="3178" customWidth="1"/>
    <col min="15369" max="15369" width="19.44140625" style="3178" customWidth="1"/>
    <col min="15370" max="15371" width="13.88671875" style="3178" customWidth="1"/>
    <col min="15372" max="15372" width="17" style="3178" customWidth="1"/>
    <col min="15373" max="15373" width="7.88671875" style="3178" customWidth="1"/>
    <col min="15374" max="15374" width="9.21875" style="3178" customWidth="1"/>
    <col min="15375" max="15375" width="7.88671875" style="3178" customWidth="1"/>
    <col min="15376" max="15376" width="10" style="3178" customWidth="1"/>
    <col min="15377" max="15378" width="15.44140625" style="3178" customWidth="1"/>
    <col min="15379" max="15379" width="12.88671875" style="3178" customWidth="1"/>
    <col min="15380" max="15380" width="15" style="3178" customWidth="1"/>
    <col min="15381" max="15381" width="11.21875" style="3178" customWidth="1"/>
    <col min="15382" max="15382" width="17.88671875" style="3178" customWidth="1"/>
    <col min="15383" max="15383" width="7.88671875" style="3178" customWidth="1"/>
    <col min="15384" max="15387" width="9" style="3178" customWidth="1"/>
    <col min="15388" max="15388" width="21.77734375" style="3178" customWidth="1"/>
    <col min="15389" max="15389" width="7.88671875" style="3178" customWidth="1"/>
    <col min="15390" max="15390" width="32" style="3178" customWidth="1"/>
    <col min="15391" max="15393" width="10.6640625" style="3178" customWidth="1"/>
    <col min="15394" max="15395" width="16" style="3178" customWidth="1"/>
    <col min="15396" max="15397" width="14.33203125" style="3178" customWidth="1"/>
    <col min="15398" max="15399" width="21.88671875" style="3178" customWidth="1"/>
    <col min="15400" max="15400" width="6.21875" style="3178" customWidth="1"/>
    <col min="15401" max="15401" width="16.109375" style="3178" customWidth="1"/>
    <col min="15402" max="15402" width="16.88671875" style="3178" customWidth="1"/>
    <col min="15403" max="15404" width="20.109375" style="3178" customWidth="1"/>
    <col min="15405" max="15616" width="9" style="3178"/>
    <col min="15617" max="15617" width="62.44140625" style="3178" customWidth="1"/>
    <col min="15618" max="15618" width="6.21875" style="3178" customWidth="1"/>
    <col min="15619" max="15619" width="13.88671875" style="3178" customWidth="1"/>
    <col min="15620" max="15620" width="9.6640625" style="3178" customWidth="1"/>
    <col min="15621" max="15621" width="4.6640625" style="3178" customWidth="1"/>
    <col min="15622" max="15622" width="62.44140625" style="3178" customWidth="1"/>
    <col min="15623" max="15623" width="7.88671875" style="3178" customWidth="1"/>
    <col min="15624" max="15624" width="24" style="3178" customWidth="1"/>
    <col min="15625" max="15625" width="19.44140625" style="3178" customWidth="1"/>
    <col min="15626" max="15627" width="13.88671875" style="3178" customWidth="1"/>
    <col min="15628" max="15628" width="17" style="3178" customWidth="1"/>
    <col min="15629" max="15629" width="7.88671875" style="3178" customWidth="1"/>
    <col min="15630" max="15630" width="9.21875" style="3178" customWidth="1"/>
    <col min="15631" max="15631" width="7.88671875" style="3178" customWidth="1"/>
    <col min="15632" max="15632" width="10" style="3178" customWidth="1"/>
    <col min="15633" max="15634" width="15.44140625" style="3178" customWidth="1"/>
    <col min="15635" max="15635" width="12.88671875" style="3178" customWidth="1"/>
    <col min="15636" max="15636" width="15" style="3178" customWidth="1"/>
    <col min="15637" max="15637" width="11.21875" style="3178" customWidth="1"/>
    <col min="15638" max="15638" width="17.88671875" style="3178" customWidth="1"/>
    <col min="15639" max="15639" width="7.88671875" style="3178" customWidth="1"/>
    <col min="15640" max="15643" width="9" style="3178" customWidth="1"/>
    <col min="15644" max="15644" width="21.77734375" style="3178" customWidth="1"/>
    <col min="15645" max="15645" width="7.88671875" style="3178" customWidth="1"/>
    <col min="15646" max="15646" width="32" style="3178" customWidth="1"/>
    <col min="15647" max="15649" width="10.6640625" style="3178" customWidth="1"/>
    <col min="15650" max="15651" width="16" style="3178" customWidth="1"/>
    <col min="15652" max="15653" width="14.33203125" style="3178" customWidth="1"/>
    <col min="15654" max="15655" width="21.88671875" style="3178" customWidth="1"/>
    <col min="15656" max="15656" width="6.21875" style="3178" customWidth="1"/>
    <col min="15657" max="15657" width="16.109375" style="3178" customWidth="1"/>
    <col min="15658" max="15658" width="16.88671875" style="3178" customWidth="1"/>
    <col min="15659" max="15660" width="20.109375" style="3178" customWidth="1"/>
    <col min="15661" max="15872" width="9" style="3178"/>
    <col min="15873" max="15873" width="62.44140625" style="3178" customWidth="1"/>
    <col min="15874" max="15874" width="6.21875" style="3178" customWidth="1"/>
    <col min="15875" max="15875" width="13.88671875" style="3178" customWidth="1"/>
    <col min="15876" max="15876" width="9.6640625" style="3178" customWidth="1"/>
    <col min="15877" max="15877" width="4.6640625" style="3178" customWidth="1"/>
    <col min="15878" max="15878" width="62.44140625" style="3178" customWidth="1"/>
    <col min="15879" max="15879" width="7.88671875" style="3178" customWidth="1"/>
    <col min="15880" max="15880" width="24" style="3178" customWidth="1"/>
    <col min="15881" max="15881" width="19.44140625" style="3178" customWidth="1"/>
    <col min="15882" max="15883" width="13.88671875" style="3178" customWidth="1"/>
    <col min="15884" max="15884" width="17" style="3178" customWidth="1"/>
    <col min="15885" max="15885" width="7.88671875" style="3178" customWidth="1"/>
    <col min="15886" max="15886" width="9.21875" style="3178" customWidth="1"/>
    <col min="15887" max="15887" width="7.88671875" style="3178" customWidth="1"/>
    <col min="15888" max="15888" width="10" style="3178" customWidth="1"/>
    <col min="15889" max="15890" width="15.44140625" style="3178" customWidth="1"/>
    <col min="15891" max="15891" width="12.88671875" style="3178" customWidth="1"/>
    <col min="15892" max="15892" width="15" style="3178" customWidth="1"/>
    <col min="15893" max="15893" width="11.21875" style="3178" customWidth="1"/>
    <col min="15894" max="15894" width="17.88671875" style="3178" customWidth="1"/>
    <col min="15895" max="15895" width="7.88671875" style="3178" customWidth="1"/>
    <col min="15896" max="15899" width="9" style="3178" customWidth="1"/>
    <col min="15900" max="15900" width="21.77734375" style="3178" customWidth="1"/>
    <col min="15901" max="15901" width="7.88671875" style="3178" customWidth="1"/>
    <col min="15902" max="15902" width="32" style="3178" customWidth="1"/>
    <col min="15903" max="15905" width="10.6640625" style="3178" customWidth="1"/>
    <col min="15906" max="15907" width="16" style="3178" customWidth="1"/>
    <col min="15908" max="15909" width="14.33203125" style="3178" customWidth="1"/>
    <col min="15910" max="15911" width="21.88671875" style="3178" customWidth="1"/>
    <col min="15912" max="15912" width="6.21875" style="3178" customWidth="1"/>
    <col min="15913" max="15913" width="16.109375" style="3178" customWidth="1"/>
    <col min="15914" max="15914" width="16.88671875" style="3178" customWidth="1"/>
    <col min="15915" max="15916" width="20.109375" style="3178" customWidth="1"/>
    <col min="15917" max="16128" width="9" style="3178"/>
    <col min="16129" max="16129" width="62.44140625" style="3178" customWidth="1"/>
    <col min="16130" max="16130" width="6.21875" style="3178" customWidth="1"/>
    <col min="16131" max="16131" width="13.88671875" style="3178" customWidth="1"/>
    <col min="16132" max="16132" width="9.6640625" style="3178" customWidth="1"/>
    <col min="16133" max="16133" width="4.6640625" style="3178" customWidth="1"/>
    <col min="16134" max="16134" width="62.44140625" style="3178" customWidth="1"/>
    <col min="16135" max="16135" width="7.88671875" style="3178" customWidth="1"/>
    <col min="16136" max="16136" width="24" style="3178" customWidth="1"/>
    <col min="16137" max="16137" width="19.44140625" style="3178" customWidth="1"/>
    <col min="16138" max="16139" width="13.88671875" style="3178" customWidth="1"/>
    <col min="16140" max="16140" width="17" style="3178" customWidth="1"/>
    <col min="16141" max="16141" width="7.88671875" style="3178" customWidth="1"/>
    <col min="16142" max="16142" width="9.21875" style="3178" customWidth="1"/>
    <col min="16143" max="16143" width="7.88671875" style="3178" customWidth="1"/>
    <col min="16144" max="16144" width="10" style="3178" customWidth="1"/>
    <col min="16145" max="16146" width="15.44140625" style="3178" customWidth="1"/>
    <col min="16147" max="16147" width="12.88671875" style="3178" customWidth="1"/>
    <col min="16148" max="16148" width="15" style="3178" customWidth="1"/>
    <col min="16149" max="16149" width="11.21875" style="3178" customWidth="1"/>
    <col min="16150" max="16150" width="17.88671875" style="3178" customWidth="1"/>
    <col min="16151" max="16151" width="7.88671875" style="3178" customWidth="1"/>
    <col min="16152" max="16155" width="9" style="3178" customWidth="1"/>
    <col min="16156" max="16156" width="21.77734375" style="3178" customWidth="1"/>
    <col min="16157" max="16157" width="7.88671875" style="3178" customWidth="1"/>
    <col min="16158" max="16158" width="32" style="3178" customWidth="1"/>
    <col min="16159" max="16161" width="10.6640625" style="3178" customWidth="1"/>
    <col min="16162" max="16163" width="16" style="3178" customWidth="1"/>
    <col min="16164" max="16165" width="14.33203125" style="3178" customWidth="1"/>
    <col min="16166" max="16167" width="21.88671875" style="3178" customWidth="1"/>
    <col min="16168" max="16168" width="6.21875" style="3178" customWidth="1"/>
    <col min="16169" max="16169" width="16.109375" style="3178" customWidth="1"/>
    <col min="16170" max="16170" width="16.88671875" style="3178" customWidth="1"/>
    <col min="16171" max="16172" width="20.109375" style="3178" customWidth="1"/>
    <col min="16173" max="16384" width="9" style="3178"/>
  </cols>
  <sheetData>
    <row r="1" spans="1:45" s="3214" customFormat="1">
      <c r="A1" s="3214" t="s">
        <v>3001</v>
      </c>
      <c r="B1" s="3214" t="s">
        <v>3002</v>
      </c>
      <c r="C1" s="3214" t="s">
        <v>3003</v>
      </c>
      <c r="D1" s="3214" t="s">
        <v>3004</v>
      </c>
      <c r="E1" s="3214" t="s">
        <v>3005</v>
      </c>
      <c r="F1" s="3214" t="s">
        <v>3006</v>
      </c>
      <c r="G1" s="3214" t="s">
        <v>3007</v>
      </c>
      <c r="H1" s="3214" t="s">
        <v>3008</v>
      </c>
      <c r="I1" s="3214" t="s">
        <v>3009</v>
      </c>
      <c r="J1" s="3214" t="s">
        <v>3010</v>
      </c>
      <c r="K1" s="3214" t="s">
        <v>3011</v>
      </c>
      <c r="L1" s="3214" t="s">
        <v>2033</v>
      </c>
      <c r="M1" s="3214" t="s">
        <v>3012</v>
      </c>
      <c r="N1" s="3214" t="s">
        <v>3013</v>
      </c>
      <c r="O1" s="3214" t="s">
        <v>3014</v>
      </c>
      <c r="P1" s="3214" t="s">
        <v>3015</v>
      </c>
      <c r="Q1" s="3214" t="s">
        <v>3016</v>
      </c>
      <c r="R1" s="3214" t="s">
        <v>3017</v>
      </c>
      <c r="S1" s="3214" t="s">
        <v>3018</v>
      </c>
      <c r="T1" s="3214" t="s">
        <v>3019</v>
      </c>
      <c r="U1" s="3214" t="s">
        <v>3020</v>
      </c>
      <c r="V1" s="3214" t="s">
        <v>3021</v>
      </c>
      <c r="W1" s="3214" t="s">
        <v>3022</v>
      </c>
      <c r="X1" s="3214" t="s">
        <v>3023</v>
      </c>
      <c r="Y1" s="3214" t="s">
        <v>3024</v>
      </c>
      <c r="Z1" s="3214" t="s">
        <v>3025</v>
      </c>
      <c r="AA1" s="3214" t="s">
        <v>3026</v>
      </c>
      <c r="AB1" s="3214" t="s">
        <v>3027</v>
      </c>
      <c r="AC1" s="3214" t="s">
        <v>3028</v>
      </c>
      <c r="AD1" s="3214" t="s">
        <v>3029</v>
      </c>
      <c r="AE1" s="3214" t="s">
        <v>3030</v>
      </c>
      <c r="AF1" s="3214" t="s">
        <v>3031</v>
      </c>
      <c r="AG1" s="3214" t="s">
        <v>3032</v>
      </c>
      <c r="AH1" s="3214" t="s">
        <v>3033</v>
      </c>
      <c r="AI1" s="3214" t="s">
        <v>3034</v>
      </c>
      <c r="AJ1" s="3214" t="s">
        <v>3035</v>
      </c>
      <c r="AK1" s="3214" t="s">
        <v>3036</v>
      </c>
      <c r="AL1" s="3214" t="s">
        <v>3037</v>
      </c>
      <c r="AM1" s="3214" t="s">
        <v>3038</v>
      </c>
      <c r="AN1" s="3214" t="s">
        <v>3039</v>
      </c>
      <c r="AO1" s="3214" t="s">
        <v>3040</v>
      </c>
      <c r="AP1" s="3214" t="s">
        <v>3041</v>
      </c>
      <c r="AQ1" s="3214" t="s">
        <v>3042</v>
      </c>
      <c r="AR1" s="3214" t="s">
        <v>3043</v>
      </c>
      <c r="AS1" s="3215" t="s">
        <v>3364</v>
      </c>
    </row>
    <row r="2" spans="1:45" s="3214" customFormat="1" hidden="1">
      <c r="A2" s="3214" t="s">
        <v>3365</v>
      </c>
      <c r="B2" s="3214" t="s">
        <v>3044</v>
      </c>
      <c r="C2" s="3214" t="s">
        <v>3051</v>
      </c>
      <c r="D2" s="3214" t="s">
        <v>3251</v>
      </c>
      <c r="E2" s="3214" t="s">
        <v>2816</v>
      </c>
      <c r="F2" s="3214" t="s">
        <v>3365</v>
      </c>
      <c r="G2" s="3214" t="s">
        <v>3366</v>
      </c>
      <c r="H2" s="3214" t="s">
        <v>3367</v>
      </c>
      <c r="I2" s="3214" t="s">
        <v>3253</v>
      </c>
      <c r="J2" s="3214">
        <v>53865.56</v>
      </c>
      <c r="K2" s="3214">
        <v>118288.8</v>
      </c>
      <c r="L2" s="3214" t="s">
        <v>3368</v>
      </c>
      <c r="M2" s="3214" t="s">
        <v>2816</v>
      </c>
      <c r="N2" s="3214" t="s">
        <v>3369</v>
      </c>
      <c r="O2" s="3214" t="s">
        <v>2816</v>
      </c>
      <c r="P2" s="3214" t="s">
        <v>3370</v>
      </c>
      <c r="Q2" s="3214" t="s">
        <v>2816</v>
      </c>
      <c r="R2" s="3214" t="s">
        <v>2816</v>
      </c>
      <c r="S2" s="3214" t="s">
        <v>2816</v>
      </c>
      <c r="T2" s="3214" t="s">
        <v>3371</v>
      </c>
      <c r="U2" s="3214" t="s">
        <v>2816</v>
      </c>
      <c r="V2" s="3214" t="s">
        <v>2816</v>
      </c>
      <c r="W2" s="3214" t="s">
        <v>3048</v>
      </c>
      <c r="X2" s="3214" t="s">
        <v>3372</v>
      </c>
      <c r="Y2" s="3214" t="s">
        <v>3373</v>
      </c>
      <c r="Z2" s="3214" t="s">
        <v>3373</v>
      </c>
      <c r="AA2" s="3214" t="s">
        <v>3373</v>
      </c>
      <c r="AB2" s="3214" t="s">
        <v>3374</v>
      </c>
      <c r="AC2" s="3214" t="s">
        <v>3049</v>
      </c>
      <c r="AD2" s="3214" t="s">
        <v>3375</v>
      </c>
      <c r="AE2" s="3214">
        <v>60000</v>
      </c>
      <c r="AF2" s="3214">
        <v>75000</v>
      </c>
      <c r="AG2" s="3214">
        <v>107000</v>
      </c>
      <c r="AH2" s="3214">
        <v>928.24</v>
      </c>
      <c r="AI2" s="3214">
        <v>1324.28</v>
      </c>
      <c r="AJ2" s="3214">
        <v>6340.41</v>
      </c>
      <c r="AK2" s="3214">
        <v>9045.65</v>
      </c>
      <c r="AL2" s="3214" t="s">
        <v>2816</v>
      </c>
      <c r="AM2" s="3214" t="s">
        <v>2816</v>
      </c>
      <c r="AN2" s="3214">
        <v>42.67</v>
      </c>
      <c r="AO2" s="3214" t="s">
        <v>3376</v>
      </c>
      <c r="AP2" s="3214" t="s">
        <v>2816</v>
      </c>
      <c r="AQ2" s="3214" t="s">
        <v>2816</v>
      </c>
      <c r="AR2" s="3214" t="s">
        <v>2816</v>
      </c>
      <c r="AS2" s="3214" t="s">
        <v>3377</v>
      </c>
    </row>
    <row r="3" spans="1:45" s="3217" customFormat="1" hidden="1">
      <c r="A3" s="3217" t="s">
        <v>3378</v>
      </c>
      <c r="B3" s="3217" t="s">
        <v>3044</v>
      </c>
      <c r="C3" s="3217" t="s">
        <v>3051</v>
      </c>
      <c r="D3" s="3217" t="s">
        <v>3251</v>
      </c>
      <c r="E3" s="3217" t="s">
        <v>2816</v>
      </c>
      <c r="F3" s="3217" t="s">
        <v>3378</v>
      </c>
      <c r="G3" s="3217" t="s">
        <v>3366</v>
      </c>
      <c r="H3" s="3217" t="s">
        <v>3379</v>
      </c>
      <c r="I3" s="3217" t="s">
        <v>3253</v>
      </c>
      <c r="J3" s="3217">
        <v>37240.43</v>
      </c>
      <c r="K3" s="3217">
        <v>130341.5</v>
      </c>
      <c r="L3" s="3217" t="s">
        <v>3380</v>
      </c>
      <c r="M3" s="3217" t="s">
        <v>2816</v>
      </c>
      <c r="N3" s="3217" t="s">
        <v>3381</v>
      </c>
      <c r="O3" s="3217" t="s">
        <v>2816</v>
      </c>
      <c r="P3" s="3217" t="s">
        <v>3370</v>
      </c>
      <c r="Q3" s="3217" t="s">
        <v>2816</v>
      </c>
      <c r="R3" s="3217" t="s">
        <v>2816</v>
      </c>
      <c r="S3" s="3217" t="s">
        <v>2816</v>
      </c>
      <c r="T3" s="3217" t="s">
        <v>3371</v>
      </c>
      <c r="U3" s="3217" t="s">
        <v>2816</v>
      </c>
      <c r="V3" s="3217" t="s">
        <v>2816</v>
      </c>
      <c r="W3" s="3217" t="s">
        <v>3048</v>
      </c>
      <c r="X3" s="3217" t="s">
        <v>3382</v>
      </c>
      <c r="Y3" s="3217" t="s">
        <v>3383</v>
      </c>
      <c r="Z3" s="3217" t="s">
        <v>3383</v>
      </c>
      <c r="AA3" s="3217" t="s">
        <v>3383</v>
      </c>
      <c r="AB3" s="3217" t="s">
        <v>3384</v>
      </c>
      <c r="AC3" s="3217" t="s">
        <v>3049</v>
      </c>
      <c r="AD3" s="3217" t="s">
        <v>3385</v>
      </c>
      <c r="AE3" s="3217">
        <v>12000</v>
      </c>
      <c r="AF3" s="3217">
        <v>52000</v>
      </c>
      <c r="AG3" s="3217">
        <v>52000</v>
      </c>
      <c r="AH3" s="3217">
        <v>930.89</v>
      </c>
      <c r="AI3" s="3217">
        <v>930.89</v>
      </c>
      <c r="AJ3" s="3217">
        <v>3989.51</v>
      </c>
      <c r="AK3" s="3217">
        <v>3989.51</v>
      </c>
      <c r="AL3" s="3217" t="s">
        <v>2816</v>
      </c>
      <c r="AM3" s="3217" t="s">
        <v>2816</v>
      </c>
      <c r="AN3" s="3217">
        <v>0</v>
      </c>
      <c r="AO3" s="3217" t="s">
        <v>3386</v>
      </c>
      <c r="AP3" s="3217" t="s">
        <v>2816</v>
      </c>
      <c r="AQ3" s="3217" t="s">
        <v>2816</v>
      </c>
      <c r="AR3" s="3217" t="s">
        <v>2816</v>
      </c>
      <c r="AS3" s="3217" t="s">
        <v>3377</v>
      </c>
    </row>
    <row r="4" spans="1:45" s="3214" customFormat="1" hidden="1">
      <c r="A4" s="3214" t="s">
        <v>3387</v>
      </c>
      <c r="B4" s="3214" t="s">
        <v>3044</v>
      </c>
      <c r="C4" s="3214" t="s">
        <v>3051</v>
      </c>
      <c r="D4" s="3214" t="s">
        <v>3251</v>
      </c>
      <c r="E4" s="3214" t="s">
        <v>2816</v>
      </c>
      <c r="F4" s="3214" t="s">
        <v>3387</v>
      </c>
      <c r="G4" s="3214" t="s">
        <v>3366</v>
      </c>
      <c r="H4" s="3214" t="s">
        <v>3388</v>
      </c>
      <c r="I4" s="3214" t="s">
        <v>3389</v>
      </c>
      <c r="J4" s="3214">
        <v>91359.58</v>
      </c>
      <c r="K4" s="3214">
        <v>294817.40000000002</v>
      </c>
      <c r="L4" s="3214" t="s">
        <v>3390</v>
      </c>
      <c r="M4" s="3214" t="s">
        <v>2816</v>
      </c>
      <c r="N4" s="3214" t="s">
        <v>3369</v>
      </c>
      <c r="O4" s="3214" t="s">
        <v>2816</v>
      </c>
      <c r="P4" s="3214" t="s">
        <v>3370</v>
      </c>
      <c r="Q4" s="3214" t="s">
        <v>2816</v>
      </c>
      <c r="R4" s="3214" t="s">
        <v>2816</v>
      </c>
      <c r="S4" s="3214" t="s">
        <v>2816</v>
      </c>
      <c r="T4" s="3214" t="s">
        <v>3371</v>
      </c>
      <c r="U4" s="3214" t="s">
        <v>2816</v>
      </c>
      <c r="V4" s="3214" t="s">
        <v>2816</v>
      </c>
      <c r="W4" s="3214" t="s">
        <v>3048</v>
      </c>
      <c r="X4" s="3214" t="s">
        <v>3382</v>
      </c>
      <c r="Y4" s="3214" t="s">
        <v>3383</v>
      </c>
      <c r="Z4" s="3214" t="s">
        <v>3383</v>
      </c>
      <c r="AA4" s="3214" t="s">
        <v>3383</v>
      </c>
      <c r="AB4" s="3214" t="s">
        <v>3384</v>
      </c>
      <c r="AC4" s="3214" t="s">
        <v>3049</v>
      </c>
      <c r="AD4" s="3214" t="s">
        <v>3391</v>
      </c>
      <c r="AE4" s="3214">
        <v>26000</v>
      </c>
      <c r="AF4" s="3214">
        <v>117000</v>
      </c>
      <c r="AG4" s="3214">
        <v>117000</v>
      </c>
      <c r="AH4" s="3214">
        <v>853.77</v>
      </c>
      <c r="AI4" s="3214">
        <v>853.77</v>
      </c>
      <c r="AJ4" s="3214">
        <v>3968.55</v>
      </c>
      <c r="AK4" s="3214">
        <v>3968.55</v>
      </c>
      <c r="AL4" s="3214" t="s">
        <v>2816</v>
      </c>
      <c r="AM4" s="3214" t="s">
        <v>2816</v>
      </c>
      <c r="AN4" s="3214">
        <v>0</v>
      </c>
      <c r="AO4" s="3214" t="s">
        <v>3392</v>
      </c>
      <c r="AP4" s="3214" t="s">
        <v>2816</v>
      </c>
      <c r="AQ4" s="3214" t="s">
        <v>2816</v>
      </c>
      <c r="AR4" s="3214" t="s">
        <v>2816</v>
      </c>
      <c r="AS4" s="3214" t="s">
        <v>3377</v>
      </c>
    </row>
    <row r="5" spans="1:45" s="3214" customFormat="1" hidden="1">
      <c r="A5" s="3214" t="s">
        <v>3393</v>
      </c>
      <c r="B5" s="3214" t="s">
        <v>3044</v>
      </c>
      <c r="C5" s="3214" t="s">
        <v>3051</v>
      </c>
      <c r="D5" s="3214" t="s">
        <v>3251</v>
      </c>
      <c r="E5" s="3214" t="s">
        <v>2816</v>
      </c>
      <c r="F5" s="3214" t="s">
        <v>3393</v>
      </c>
      <c r="G5" s="3214" t="s">
        <v>3366</v>
      </c>
      <c r="H5" s="3214" t="s">
        <v>3394</v>
      </c>
      <c r="I5" s="3214" t="s">
        <v>3253</v>
      </c>
      <c r="J5" s="3214">
        <v>25673.07</v>
      </c>
      <c r="K5" s="3214">
        <v>100125</v>
      </c>
      <c r="L5" s="3214" t="s">
        <v>3395</v>
      </c>
      <c r="M5" s="3214" t="s">
        <v>2816</v>
      </c>
      <c r="N5" s="3214" t="s">
        <v>3396</v>
      </c>
      <c r="O5" s="3214" t="s">
        <v>2816</v>
      </c>
      <c r="P5" s="3214" t="s">
        <v>3370</v>
      </c>
      <c r="Q5" s="3214" t="s">
        <v>2816</v>
      </c>
      <c r="R5" s="3214" t="s">
        <v>2816</v>
      </c>
      <c r="S5" s="3214" t="s">
        <v>2816</v>
      </c>
      <c r="T5" s="3214" t="s">
        <v>3371</v>
      </c>
      <c r="U5" s="3214" t="s">
        <v>2816</v>
      </c>
      <c r="V5" s="3214" t="s">
        <v>2816</v>
      </c>
      <c r="W5" s="3214" t="s">
        <v>3048</v>
      </c>
      <c r="X5" s="3214" t="s">
        <v>3382</v>
      </c>
      <c r="Y5" s="3214" t="s">
        <v>3383</v>
      </c>
      <c r="Z5" s="3214" t="s">
        <v>3383</v>
      </c>
      <c r="AA5" s="3214" t="s">
        <v>3383</v>
      </c>
      <c r="AB5" s="3214" t="s">
        <v>3384</v>
      </c>
      <c r="AC5" s="3214" t="s">
        <v>3049</v>
      </c>
      <c r="AD5" s="3214" t="s">
        <v>3397</v>
      </c>
      <c r="AE5" s="3214">
        <v>10000</v>
      </c>
      <c r="AF5" s="3214">
        <v>39000</v>
      </c>
      <c r="AG5" s="3214">
        <v>39000</v>
      </c>
      <c r="AH5" s="3214">
        <v>1012.73</v>
      </c>
      <c r="AI5" s="3214">
        <v>1012.73</v>
      </c>
      <c r="AJ5" s="3214">
        <v>3895.13</v>
      </c>
      <c r="AK5" s="3214">
        <v>3895.13</v>
      </c>
      <c r="AL5" s="3214" t="s">
        <v>2816</v>
      </c>
      <c r="AM5" s="3214" t="s">
        <v>2816</v>
      </c>
      <c r="AN5" s="3214">
        <v>0</v>
      </c>
      <c r="AO5" s="3214" t="s">
        <v>3386</v>
      </c>
      <c r="AP5" s="3214" t="s">
        <v>2816</v>
      </c>
      <c r="AQ5" s="3214" t="s">
        <v>2816</v>
      </c>
      <c r="AR5" s="3214" t="s">
        <v>2816</v>
      </c>
      <c r="AS5" s="3214" t="s">
        <v>3377</v>
      </c>
    </row>
    <row r="6" spans="1:45" s="3214" customFormat="1" hidden="1">
      <c r="A6" s="3214" t="s">
        <v>3398</v>
      </c>
      <c r="B6" s="3214" t="s">
        <v>3044</v>
      </c>
      <c r="C6" s="3214" t="s">
        <v>3051</v>
      </c>
      <c r="D6" s="3214" t="s">
        <v>3251</v>
      </c>
      <c r="E6" s="3214" t="s">
        <v>2816</v>
      </c>
      <c r="F6" s="3214" t="s">
        <v>3398</v>
      </c>
      <c r="G6" s="3214" t="s">
        <v>3366</v>
      </c>
      <c r="H6" s="3214" t="s">
        <v>3399</v>
      </c>
      <c r="I6" s="3214" t="s">
        <v>3253</v>
      </c>
      <c r="J6" s="3214">
        <v>36042</v>
      </c>
      <c r="K6" s="3214">
        <v>100917.6</v>
      </c>
      <c r="L6" s="3214" t="s">
        <v>3400</v>
      </c>
      <c r="M6" s="3214" t="s">
        <v>2816</v>
      </c>
      <c r="N6" s="3214" t="s">
        <v>3396</v>
      </c>
      <c r="O6" s="3214" t="s">
        <v>2816</v>
      </c>
      <c r="P6" s="3214" t="s">
        <v>3370</v>
      </c>
      <c r="Q6" s="3214" t="s">
        <v>2816</v>
      </c>
      <c r="R6" s="3214" t="s">
        <v>2816</v>
      </c>
      <c r="S6" s="3214" t="s">
        <v>2816</v>
      </c>
      <c r="T6" s="3214" t="s">
        <v>3371</v>
      </c>
      <c r="U6" s="3214" t="s">
        <v>2816</v>
      </c>
      <c r="V6" s="3214" t="s">
        <v>2816</v>
      </c>
      <c r="W6" s="3214" t="s">
        <v>3048</v>
      </c>
      <c r="X6" s="3214" t="s">
        <v>3382</v>
      </c>
      <c r="Y6" s="3214" t="s">
        <v>3383</v>
      </c>
      <c r="Z6" s="3214" t="s">
        <v>3383</v>
      </c>
      <c r="AA6" s="3214" t="s">
        <v>3383</v>
      </c>
      <c r="AB6" s="3214" t="s">
        <v>3401</v>
      </c>
      <c r="AC6" s="3214" t="s">
        <v>3049</v>
      </c>
      <c r="AD6" s="3214" t="s">
        <v>3375</v>
      </c>
      <c r="AE6" s="3214">
        <v>40000</v>
      </c>
      <c r="AF6" s="3214">
        <v>50000</v>
      </c>
      <c r="AG6" s="3214">
        <v>72400</v>
      </c>
      <c r="AH6" s="3214">
        <v>924.85</v>
      </c>
      <c r="AI6" s="3214">
        <v>1339.18</v>
      </c>
      <c r="AJ6" s="3214">
        <v>4954.53</v>
      </c>
      <c r="AK6" s="3214">
        <v>7174.17</v>
      </c>
      <c r="AL6" s="3214" t="s">
        <v>2816</v>
      </c>
      <c r="AM6" s="3214" t="s">
        <v>2816</v>
      </c>
      <c r="AN6" s="3214">
        <v>44.8</v>
      </c>
      <c r="AO6" s="3214" t="s">
        <v>3386</v>
      </c>
      <c r="AP6" s="3214" t="s">
        <v>2816</v>
      </c>
      <c r="AQ6" s="3214" t="s">
        <v>2816</v>
      </c>
      <c r="AR6" s="3214" t="s">
        <v>2816</v>
      </c>
      <c r="AS6" s="3214" t="s">
        <v>3377</v>
      </c>
    </row>
    <row r="7" spans="1:45" s="3214" customFormat="1" hidden="1">
      <c r="A7" s="3214" t="s">
        <v>3402</v>
      </c>
      <c r="B7" s="3214" t="s">
        <v>3044</v>
      </c>
      <c r="C7" s="3214" t="s">
        <v>3051</v>
      </c>
      <c r="D7" s="3214" t="s">
        <v>3170</v>
      </c>
      <c r="E7" s="3214" t="s">
        <v>2816</v>
      </c>
      <c r="F7" s="3214" t="s">
        <v>3402</v>
      </c>
      <c r="G7" s="3214" t="s">
        <v>3366</v>
      </c>
      <c r="H7" s="3214" t="s">
        <v>3403</v>
      </c>
      <c r="I7" s="3214" t="s">
        <v>3404</v>
      </c>
      <c r="J7" s="3214">
        <v>46069.59</v>
      </c>
      <c r="K7" s="3214">
        <v>129080</v>
      </c>
      <c r="L7" s="3214" t="s">
        <v>3405</v>
      </c>
      <c r="M7" s="3214" t="s">
        <v>2816</v>
      </c>
      <c r="N7" s="3214" t="s">
        <v>3406</v>
      </c>
      <c r="O7" s="3214" t="s">
        <v>2816</v>
      </c>
      <c r="P7" s="3214" t="s">
        <v>3370</v>
      </c>
      <c r="Q7" s="3214" t="s">
        <v>2816</v>
      </c>
      <c r="R7" s="3214" t="s">
        <v>2816</v>
      </c>
      <c r="S7" s="3214" t="s">
        <v>2816</v>
      </c>
      <c r="T7" s="3214" t="s">
        <v>3407</v>
      </c>
      <c r="U7" s="3214" t="s">
        <v>2816</v>
      </c>
      <c r="V7" s="3214" t="s">
        <v>2816</v>
      </c>
      <c r="W7" s="3214" t="s">
        <v>3048</v>
      </c>
      <c r="X7" s="3214" t="s">
        <v>3408</v>
      </c>
      <c r="Y7" s="3214" t="s">
        <v>3409</v>
      </c>
      <c r="Z7" s="3214" t="s">
        <v>3409</v>
      </c>
      <c r="AA7" s="3214" t="s">
        <v>3409</v>
      </c>
      <c r="AB7" s="3214" t="s">
        <v>3410</v>
      </c>
      <c r="AC7" s="3214" t="s">
        <v>3049</v>
      </c>
      <c r="AD7" s="3214" t="s">
        <v>3411</v>
      </c>
      <c r="AE7" s="3214">
        <v>40000</v>
      </c>
      <c r="AF7" s="3214">
        <v>77600</v>
      </c>
      <c r="AG7" s="3214">
        <v>91600</v>
      </c>
      <c r="AH7" s="3214">
        <v>1122.94</v>
      </c>
      <c r="AI7" s="3214">
        <v>1325.53</v>
      </c>
      <c r="AJ7" s="3214">
        <v>6011.77</v>
      </c>
      <c r="AK7" s="3214">
        <v>7096.36</v>
      </c>
      <c r="AL7" s="3214" t="s">
        <v>2816</v>
      </c>
      <c r="AM7" s="3214" t="s">
        <v>2816</v>
      </c>
      <c r="AN7" s="3214">
        <v>18.04</v>
      </c>
      <c r="AO7" s="3214" t="s">
        <v>3412</v>
      </c>
      <c r="AP7" s="3214" t="s">
        <v>2816</v>
      </c>
      <c r="AQ7" s="3214" t="s">
        <v>2816</v>
      </c>
      <c r="AR7" s="3214" t="s">
        <v>2816</v>
      </c>
      <c r="AS7" s="3214" t="s">
        <v>3377</v>
      </c>
    </row>
    <row r="8" spans="1:45" s="3218" customFormat="1">
      <c r="A8" s="3218" t="s">
        <v>3523</v>
      </c>
      <c r="B8" s="3218" t="s">
        <v>3044</v>
      </c>
      <c r="C8" s="3218" t="s">
        <v>3045</v>
      </c>
      <c r="D8" s="3218" t="s">
        <v>3151</v>
      </c>
      <c r="E8" s="3218" t="s">
        <v>2816</v>
      </c>
      <c r="F8" s="3218" t="s">
        <v>3159</v>
      </c>
      <c r="G8" s="3218" t="s">
        <v>3366</v>
      </c>
      <c r="H8" s="3218" t="s">
        <v>3413</v>
      </c>
      <c r="I8" s="3218" t="s">
        <v>3045</v>
      </c>
      <c r="J8" s="3218">
        <v>8200.6200000000008</v>
      </c>
      <c r="K8" s="3218">
        <v>22961.74</v>
      </c>
      <c r="L8" s="3218" t="s">
        <v>3405</v>
      </c>
      <c r="M8" s="3218" t="s">
        <v>2816</v>
      </c>
      <c r="N8" s="3218" t="s">
        <v>3396</v>
      </c>
      <c r="O8" s="3214" t="s">
        <v>2816</v>
      </c>
      <c r="P8" s="3214" t="s">
        <v>3370</v>
      </c>
      <c r="Q8" s="3214" t="s">
        <v>2816</v>
      </c>
      <c r="R8" s="3214" t="s">
        <v>2816</v>
      </c>
      <c r="S8" s="3214" t="s">
        <v>2816</v>
      </c>
      <c r="T8" s="3214" t="s">
        <v>3414</v>
      </c>
      <c r="U8" s="3214" t="s">
        <v>2816</v>
      </c>
      <c r="V8" s="3214" t="s">
        <v>2816</v>
      </c>
      <c r="W8" s="3218" t="s">
        <v>3048</v>
      </c>
      <c r="X8" s="3218" t="s">
        <v>3408</v>
      </c>
      <c r="Y8" s="3218" t="s">
        <v>3409</v>
      </c>
      <c r="Z8" s="3218" t="s">
        <v>3409</v>
      </c>
      <c r="AA8" s="3218" t="s">
        <v>3409</v>
      </c>
      <c r="AB8" s="3218" t="s">
        <v>3410</v>
      </c>
      <c r="AC8" s="3218" t="s">
        <v>3049</v>
      </c>
      <c r="AD8" s="3218" t="s">
        <v>3415</v>
      </c>
      <c r="AE8" s="3218">
        <v>8500</v>
      </c>
      <c r="AF8" s="3218">
        <v>16515</v>
      </c>
      <c r="AG8" s="3218">
        <v>16515</v>
      </c>
      <c r="AH8" s="3218">
        <v>1342.58</v>
      </c>
      <c r="AI8" s="3218">
        <v>1342.58</v>
      </c>
      <c r="AJ8" s="3218">
        <v>7192.39</v>
      </c>
      <c r="AK8" s="3218">
        <v>7192.39</v>
      </c>
      <c r="AL8" s="3218" t="s">
        <v>2816</v>
      </c>
      <c r="AM8" s="3218" t="s">
        <v>2816</v>
      </c>
      <c r="AN8" s="3218">
        <v>0</v>
      </c>
      <c r="AO8" s="3218" t="s">
        <v>3050</v>
      </c>
      <c r="AP8" s="3218" t="s">
        <v>2816</v>
      </c>
      <c r="AQ8" s="3218" t="s">
        <v>2816</v>
      </c>
      <c r="AR8" s="3218" t="s">
        <v>2816</v>
      </c>
      <c r="AS8" s="3218" t="s">
        <v>3377</v>
      </c>
    </row>
    <row r="9" spans="1:45" s="3214" customFormat="1" hidden="1">
      <c r="A9" s="3214" t="s">
        <v>3416</v>
      </c>
      <c r="B9" s="3214" t="s">
        <v>3044</v>
      </c>
      <c r="C9" s="3214" t="s">
        <v>3051</v>
      </c>
      <c r="D9" s="3214" t="s">
        <v>3170</v>
      </c>
      <c r="E9" s="3214" t="s">
        <v>2816</v>
      </c>
      <c r="F9" s="3214" t="s">
        <v>3416</v>
      </c>
      <c r="G9" s="3214" t="s">
        <v>3366</v>
      </c>
      <c r="H9" s="3214" t="s">
        <v>3417</v>
      </c>
      <c r="I9" s="3214" t="s">
        <v>3418</v>
      </c>
      <c r="J9" s="3214">
        <v>39283.89</v>
      </c>
      <c r="K9" s="3214">
        <v>210168.8</v>
      </c>
      <c r="L9" s="3214" t="s">
        <v>3419</v>
      </c>
      <c r="M9" s="3214" t="s">
        <v>3420</v>
      </c>
      <c r="N9" s="3214" t="s">
        <v>3421</v>
      </c>
      <c r="O9" s="3214" t="s">
        <v>2816</v>
      </c>
      <c r="P9" s="3214" t="s">
        <v>2816</v>
      </c>
      <c r="Q9" s="3214" t="s">
        <v>2816</v>
      </c>
      <c r="R9" s="3214" t="s">
        <v>2816</v>
      </c>
      <c r="S9" s="3214" t="s">
        <v>2816</v>
      </c>
      <c r="T9" s="3214" t="s">
        <v>2816</v>
      </c>
      <c r="U9" s="3214" t="s">
        <v>2816</v>
      </c>
      <c r="V9" s="3214" t="s">
        <v>2816</v>
      </c>
      <c r="W9" s="3214" t="s">
        <v>3048</v>
      </c>
      <c r="X9" s="3214" t="s">
        <v>3422</v>
      </c>
      <c r="Y9" s="3214" t="s">
        <v>3423</v>
      </c>
      <c r="Z9" s="3214" t="s">
        <v>3423</v>
      </c>
      <c r="AA9" s="3214" t="s">
        <v>3423</v>
      </c>
      <c r="AB9" s="3214" t="s">
        <v>3424</v>
      </c>
      <c r="AC9" s="3214" t="s">
        <v>3049</v>
      </c>
      <c r="AD9" s="3214" t="s">
        <v>3425</v>
      </c>
      <c r="AE9" s="3214">
        <v>16095</v>
      </c>
      <c r="AF9" s="3214">
        <v>32190</v>
      </c>
      <c r="AG9" s="3214">
        <v>32190</v>
      </c>
      <c r="AH9" s="3214">
        <v>546.28</v>
      </c>
      <c r="AI9" s="3214">
        <v>546.28</v>
      </c>
      <c r="AJ9" s="3214">
        <v>1531.62</v>
      </c>
      <c r="AK9" s="3214">
        <v>1531.63</v>
      </c>
      <c r="AL9" s="3214" t="s">
        <v>2816</v>
      </c>
      <c r="AM9" s="3214" t="s">
        <v>2816</v>
      </c>
      <c r="AN9" s="3214">
        <v>0</v>
      </c>
      <c r="AO9" s="3214" t="s">
        <v>3426</v>
      </c>
      <c r="AP9" s="3214" t="s">
        <v>2816</v>
      </c>
      <c r="AQ9" s="3214" t="s">
        <v>2816</v>
      </c>
      <c r="AR9" s="3214" t="s">
        <v>2816</v>
      </c>
      <c r="AS9" s="3214" t="s">
        <v>3377</v>
      </c>
    </row>
    <row r="10" spans="1:45" s="3217" customFormat="1" hidden="1">
      <c r="A10" s="3217" t="s">
        <v>3427</v>
      </c>
      <c r="B10" s="3217" t="s">
        <v>3044</v>
      </c>
      <c r="C10" s="3217" t="s">
        <v>3051</v>
      </c>
      <c r="D10" s="3217" t="s">
        <v>3170</v>
      </c>
      <c r="E10" s="3217" t="s">
        <v>2816</v>
      </c>
      <c r="F10" s="3217" t="s">
        <v>3427</v>
      </c>
      <c r="G10" s="3217" t="s">
        <v>3366</v>
      </c>
      <c r="H10" s="3217" t="s">
        <v>3428</v>
      </c>
      <c r="I10" s="3217" t="s">
        <v>3253</v>
      </c>
      <c r="J10" s="3217">
        <v>138768.20000000001</v>
      </c>
      <c r="K10" s="3217">
        <v>362046.1</v>
      </c>
      <c r="L10" s="3217" t="s">
        <v>3429</v>
      </c>
      <c r="M10" s="3217" t="s">
        <v>2816</v>
      </c>
      <c r="N10" s="3217" t="s">
        <v>3430</v>
      </c>
      <c r="O10" s="3217" t="s">
        <v>2816</v>
      </c>
      <c r="P10" s="3217" t="s">
        <v>2816</v>
      </c>
      <c r="Q10" s="3217" t="s">
        <v>2816</v>
      </c>
      <c r="R10" s="3217" t="s">
        <v>2816</v>
      </c>
      <c r="S10" s="3217" t="s">
        <v>2816</v>
      </c>
      <c r="T10" s="3217" t="s">
        <v>3431</v>
      </c>
      <c r="U10" s="3217" t="s">
        <v>3432</v>
      </c>
      <c r="V10" s="3217" t="s">
        <v>2816</v>
      </c>
      <c r="W10" s="3217" t="s">
        <v>3048</v>
      </c>
      <c r="X10" s="3217" t="s">
        <v>3433</v>
      </c>
      <c r="Y10" s="3217" t="s">
        <v>3434</v>
      </c>
      <c r="Z10" s="3217" t="s">
        <v>3434</v>
      </c>
      <c r="AA10" s="3217" t="s">
        <v>3434</v>
      </c>
      <c r="AB10" s="3217" t="s">
        <v>3435</v>
      </c>
      <c r="AC10" s="3217" t="s">
        <v>3049</v>
      </c>
      <c r="AD10" s="3217" t="s">
        <v>3436</v>
      </c>
      <c r="AE10" s="3217">
        <v>130000</v>
      </c>
      <c r="AF10" s="3217">
        <v>242880</v>
      </c>
      <c r="AG10" s="3217">
        <v>242880</v>
      </c>
      <c r="AH10" s="3217">
        <v>1166.8399999999999</v>
      </c>
      <c r="AI10" s="3217">
        <v>1166.8399999999999</v>
      </c>
      <c r="AJ10" s="3217">
        <v>6708.53</v>
      </c>
      <c r="AK10" s="3217">
        <v>6708.53</v>
      </c>
      <c r="AL10" s="3217" t="s">
        <v>2816</v>
      </c>
      <c r="AM10" s="3217" t="s">
        <v>2816</v>
      </c>
      <c r="AN10" s="3217">
        <v>0</v>
      </c>
      <c r="AO10" s="3217" t="s">
        <v>3437</v>
      </c>
      <c r="AP10" s="3217" t="s">
        <v>2816</v>
      </c>
      <c r="AQ10" s="3217" t="s">
        <v>2816</v>
      </c>
      <c r="AR10" s="3217" t="s">
        <v>2816</v>
      </c>
      <c r="AS10" s="3217" t="s">
        <v>3377</v>
      </c>
    </row>
    <row r="11" spans="1:45" s="3214" customFormat="1" hidden="1">
      <c r="A11" s="3214" t="s">
        <v>3438</v>
      </c>
      <c r="B11" s="3214" t="s">
        <v>3044</v>
      </c>
      <c r="C11" s="3214" t="s">
        <v>3051</v>
      </c>
      <c r="D11" s="3214" t="s">
        <v>3170</v>
      </c>
      <c r="E11" s="3214" t="s">
        <v>2816</v>
      </c>
      <c r="F11" s="3214" t="s">
        <v>3438</v>
      </c>
      <c r="G11" s="3214" t="s">
        <v>3366</v>
      </c>
      <c r="H11" s="3214" t="s">
        <v>3439</v>
      </c>
      <c r="I11" s="3214" t="s">
        <v>3253</v>
      </c>
      <c r="J11" s="3214">
        <v>120241.3</v>
      </c>
      <c r="K11" s="3214">
        <v>300603.3</v>
      </c>
      <c r="L11" s="3214" t="s">
        <v>3440</v>
      </c>
      <c r="M11" s="3214" t="s">
        <v>2816</v>
      </c>
      <c r="N11" s="3214" t="s">
        <v>3396</v>
      </c>
      <c r="O11" s="3214" t="s">
        <v>2816</v>
      </c>
      <c r="P11" s="3214" t="s">
        <v>2816</v>
      </c>
      <c r="Q11" s="3214" t="s">
        <v>2816</v>
      </c>
      <c r="R11" s="3214" t="s">
        <v>2816</v>
      </c>
      <c r="S11" s="3214" t="s">
        <v>2816</v>
      </c>
      <c r="T11" s="3214" t="s">
        <v>3431</v>
      </c>
      <c r="U11" s="3214" t="s">
        <v>3431</v>
      </c>
      <c r="V11" s="3214" t="s">
        <v>2816</v>
      </c>
      <c r="W11" s="3214" t="s">
        <v>3048</v>
      </c>
      <c r="X11" s="3214" t="s">
        <v>3433</v>
      </c>
      <c r="Y11" s="3214" t="s">
        <v>3434</v>
      </c>
      <c r="Z11" s="3214" t="s">
        <v>3434</v>
      </c>
      <c r="AA11" s="3214" t="s">
        <v>3434</v>
      </c>
      <c r="AB11" s="3214" t="s">
        <v>3441</v>
      </c>
      <c r="AC11" s="3214" t="s">
        <v>3049</v>
      </c>
      <c r="AD11" s="3214" t="s">
        <v>3436</v>
      </c>
      <c r="AE11" s="3214">
        <v>110000</v>
      </c>
      <c r="AF11" s="3214">
        <v>216910</v>
      </c>
      <c r="AG11" s="3214">
        <v>242700</v>
      </c>
      <c r="AH11" s="3214">
        <v>1202.6400000000001</v>
      </c>
      <c r="AI11" s="3214">
        <v>1345.63</v>
      </c>
      <c r="AJ11" s="3214">
        <v>7215.82</v>
      </c>
      <c r="AK11" s="3214">
        <v>8073.76</v>
      </c>
      <c r="AL11" s="3214" t="s">
        <v>2816</v>
      </c>
      <c r="AM11" s="3214" t="s">
        <v>2816</v>
      </c>
      <c r="AN11" s="3214">
        <v>11.89</v>
      </c>
      <c r="AO11" s="3214" t="s">
        <v>3437</v>
      </c>
      <c r="AP11" s="3214" t="s">
        <v>2816</v>
      </c>
      <c r="AQ11" s="3214" t="s">
        <v>2816</v>
      </c>
      <c r="AR11" s="3214" t="s">
        <v>2816</v>
      </c>
      <c r="AS11" s="3214" t="s">
        <v>3377</v>
      </c>
    </row>
    <row r="12" spans="1:45" s="3214" customFormat="1" hidden="1">
      <c r="A12" s="3214" t="s">
        <v>3442</v>
      </c>
      <c r="B12" s="3214" t="s">
        <v>3044</v>
      </c>
      <c r="C12" s="3214" t="s">
        <v>3051</v>
      </c>
      <c r="D12" s="3214" t="s">
        <v>3251</v>
      </c>
      <c r="E12" s="3214" t="s">
        <v>2816</v>
      </c>
      <c r="F12" s="3214" t="s">
        <v>3442</v>
      </c>
      <c r="G12" s="3214" t="s">
        <v>3366</v>
      </c>
      <c r="H12" s="3214" t="s">
        <v>3443</v>
      </c>
      <c r="I12" s="3214" t="s">
        <v>3253</v>
      </c>
      <c r="J12" s="3214">
        <v>2535.52</v>
      </c>
      <c r="K12" s="3214">
        <v>19016.400000000001</v>
      </c>
      <c r="L12" s="3214" t="s">
        <v>3444</v>
      </c>
      <c r="M12" s="3214" t="s">
        <v>2816</v>
      </c>
      <c r="N12" s="3214" t="s">
        <v>3445</v>
      </c>
      <c r="O12" s="3214" t="s">
        <v>2816</v>
      </c>
      <c r="P12" s="3214" t="s">
        <v>3370</v>
      </c>
      <c r="Q12" s="3214" t="s">
        <v>2816</v>
      </c>
      <c r="R12" s="3214" t="s">
        <v>2816</v>
      </c>
      <c r="S12" s="3214" t="s">
        <v>2816</v>
      </c>
      <c r="T12" s="3214" t="s">
        <v>3371</v>
      </c>
      <c r="U12" s="3214" t="s">
        <v>3371</v>
      </c>
      <c r="V12" s="3214" t="s">
        <v>2816</v>
      </c>
      <c r="W12" s="3214" t="s">
        <v>3048</v>
      </c>
      <c r="X12" s="3214" t="s">
        <v>3446</v>
      </c>
      <c r="Y12" s="3214" t="s">
        <v>3447</v>
      </c>
      <c r="Z12" s="3214" t="s">
        <v>3447</v>
      </c>
      <c r="AA12" s="3214" t="s">
        <v>3447</v>
      </c>
      <c r="AB12" s="3214" t="s">
        <v>3448</v>
      </c>
      <c r="AC12" s="3214" t="s">
        <v>3049</v>
      </c>
      <c r="AD12" s="3214" t="s">
        <v>3449</v>
      </c>
      <c r="AE12" s="3214">
        <v>2000</v>
      </c>
      <c r="AF12" s="3214">
        <v>3368</v>
      </c>
      <c r="AG12" s="3214">
        <v>3368</v>
      </c>
      <c r="AH12" s="3214">
        <v>885.55</v>
      </c>
      <c r="AI12" s="3214">
        <v>885.55</v>
      </c>
      <c r="AJ12" s="3214">
        <v>1771.1</v>
      </c>
      <c r="AK12" s="3214">
        <v>1771.09</v>
      </c>
      <c r="AL12" s="3214" t="s">
        <v>2816</v>
      </c>
      <c r="AM12" s="3214" t="s">
        <v>2816</v>
      </c>
      <c r="AN12" s="3214">
        <v>0</v>
      </c>
      <c r="AO12" s="3214" t="s">
        <v>3450</v>
      </c>
      <c r="AP12" s="3214" t="s">
        <v>2816</v>
      </c>
      <c r="AQ12" s="3214" t="s">
        <v>2816</v>
      </c>
      <c r="AR12" s="3214" t="s">
        <v>2816</v>
      </c>
      <c r="AS12" s="3214" t="s">
        <v>3377</v>
      </c>
    </row>
    <row r="13" spans="1:45" s="3214" customFormat="1" hidden="1">
      <c r="A13" s="3214" t="s">
        <v>3451</v>
      </c>
      <c r="B13" s="3214" t="s">
        <v>3044</v>
      </c>
      <c r="C13" s="3214" t="s">
        <v>3045</v>
      </c>
      <c r="D13" s="3214" t="s">
        <v>3251</v>
      </c>
      <c r="E13" s="3214" t="s">
        <v>2816</v>
      </c>
      <c r="F13" s="3214" t="s">
        <v>3451</v>
      </c>
      <c r="G13" s="3214" t="s">
        <v>3366</v>
      </c>
      <c r="H13" s="3214" t="s">
        <v>3452</v>
      </c>
      <c r="I13" s="3214" t="s">
        <v>3045</v>
      </c>
      <c r="J13" s="3214">
        <v>7144.15</v>
      </c>
      <c r="K13" s="3214">
        <v>34363.360000000001</v>
      </c>
      <c r="L13" s="3214" t="s">
        <v>3453</v>
      </c>
      <c r="M13" s="3214" t="s">
        <v>2816</v>
      </c>
      <c r="N13" s="3214" t="s">
        <v>3454</v>
      </c>
      <c r="O13" s="3214" t="s">
        <v>2816</v>
      </c>
      <c r="P13" s="3214" t="s">
        <v>2816</v>
      </c>
      <c r="Q13" s="3214" t="s">
        <v>2816</v>
      </c>
      <c r="R13" s="3214" t="s">
        <v>2816</v>
      </c>
      <c r="S13" s="3214" t="s">
        <v>2816</v>
      </c>
      <c r="T13" s="3214" t="s">
        <v>2816</v>
      </c>
      <c r="U13" s="3214" t="s">
        <v>2816</v>
      </c>
      <c r="V13" s="3214" t="s">
        <v>2816</v>
      </c>
      <c r="W13" s="3214" t="s">
        <v>3048</v>
      </c>
      <c r="X13" s="3214" t="s">
        <v>3455</v>
      </c>
      <c r="Y13" s="3214" t="s">
        <v>3456</v>
      </c>
      <c r="Z13" s="3214" t="s">
        <v>3456</v>
      </c>
      <c r="AA13" s="3214" t="s">
        <v>3456</v>
      </c>
      <c r="AB13" s="3214" t="s">
        <v>3457</v>
      </c>
      <c r="AC13" s="3214" t="s">
        <v>3049</v>
      </c>
      <c r="AD13" s="3214" t="s">
        <v>3458</v>
      </c>
      <c r="AE13" s="3214">
        <v>1500</v>
      </c>
      <c r="AF13" s="3214">
        <v>2779</v>
      </c>
      <c r="AG13" s="3214">
        <v>2779</v>
      </c>
      <c r="AH13" s="3214">
        <v>259.33</v>
      </c>
      <c r="AI13" s="3214">
        <v>259.33</v>
      </c>
      <c r="AJ13" s="3214">
        <v>808.71</v>
      </c>
      <c r="AK13" s="3214">
        <v>808.71</v>
      </c>
      <c r="AL13" s="3214" t="s">
        <v>2816</v>
      </c>
      <c r="AM13" s="3214" t="s">
        <v>2816</v>
      </c>
      <c r="AN13" s="3214">
        <v>0</v>
      </c>
      <c r="AO13" s="3214" t="s">
        <v>3050</v>
      </c>
      <c r="AP13" s="3214" t="s">
        <v>2816</v>
      </c>
      <c r="AQ13" s="3214" t="s">
        <v>2816</v>
      </c>
      <c r="AR13" s="3214" t="s">
        <v>2816</v>
      </c>
      <c r="AS13" s="3214" t="s">
        <v>3377</v>
      </c>
    </row>
    <row r="14" spans="1:45" s="3214" customFormat="1" hidden="1">
      <c r="A14" s="3214" t="s">
        <v>3459</v>
      </c>
      <c r="B14" s="3214" t="s">
        <v>3044</v>
      </c>
      <c r="C14" s="3214" t="s">
        <v>3051</v>
      </c>
      <c r="D14" s="3214" t="s">
        <v>3251</v>
      </c>
      <c r="E14" s="3214" t="s">
        <v>2816</v>
      </c>
      <c r="F14" s="3214" t="s">
        <v>3459</v>
      </c>
      <c r="G14" s="3214" t="s">
        <v>3366</v>
      </c>
      <c r="H14" s="3214" t="s">
        <v>3460</v>
      </c>
      <c r="I14" s="3214" t="s">
        <v>3461</v>
      </c>
      <c r="J14" s="3214">
        <v>67609.210000000006</v>
      </c>
      <c r="K14" s="3214">
        <v>202827.6</v>
      </c>
      <c r="L14" s="3214" t="s">
        <v>3462</v>
      </c>
      <c r="M14" s="3214" t="s">
        <v>2816</v>
      </c>
      <c r="N14" s="3214" t="s">
        <v>3463</v>
      </c>
      <c r="O14" s="3214" t="s">
        <v>2816</v>
      </c>
      <c r="P14" s="3214" t="s">
        <v>3370</v>
      </c>
      <c r="Q14" s="3214" t="s">
        <v>2816</v>
      </c>
      <c r="R14" s="3214" t="s">
        <v>2816</v>
      </c>
      <c r="S14" s="3214" t="s">
        <v>2816</v>
      </c>
      <c r="T14" s="3214" t="s">
        <v>2816</v>
      </c>
      <c r="U14" s="3214" t="s">
        <v>2816</v>
      </c>
      <c r="V14" s="3214" t="s">
        <v>2816</v>
      </c>
      <c r="W14" s="3214" t="s">
        <v>3048</v>
      </c>
      <c r="X14" s="3214" t="s">
        <v>3464</v>
      </c>
      <c r="Y14" s="3214" t="s">
        <v>3465</v>
      </c>
      <c r="Z14" s="3214" t="s">
        <v>3465</v>
      </c>
      <c r="AA14" s="3214" t="s">
        <v>3465</v>
      </c>
      <c r="AB14" s="3214" t="s">
        <v>3466</v>
      </c>
      <c r="AC14" s="3214" t="s">
        <v>3049</v>
      </c>
      <c r="AD14" s="3214" t="s">
        <v>3467</v>
      </c>
      <c r="AE14" s="3214">
        <v>13491</v>
      </c>
      <c r="AF14" s="3214">
        <v>44970</v>
      </c>
      <c r="AG14" s="3214">
        <v>45970</v>
      </c>
      <c r="AH14" s="3214">
        <v>443.43</v>
      </c>
      <c r="AI14" s="3214">
        <v>453.29</v>
      </c>
      <c r="AJ14" s="3214">
        <v>2217.15</v>
      </c>
      <c r="AK14" s="3214">
        <v>2266.46</v>
      </c>
      <c r="AL14" s="3214" t="s">
        <v>2816</v>
      </c>
      <c r="AM14" s="3214" t="s">
        <v>2816</v>
      </c>
      <c r="AN14" s="3214">
        <v>2.2200000000000002</v>
      </c>
      <c r="AO14" s="3214" t="s">
        <v>3437</v>
      </c>
      <c r="AP14" s="3214" t="s">
        <v>2816</v>
      </c>
      <c r="AQ14" s="3214" t="s">
        <v>2816</v>
      </c>
      <c r="AR14" s="3214" t="s">
        <v>2816</v>
      </c>
      <c r="AS14" s="3214" t="s">
        <v>3377</v>
      </c>
    </row>
    <row r="15" spans="1:45" s="3214" customFormat="1" hidden="1">
      <c r="A15" s="3214" t="s">
        <v>3468</v>
      </c>
      <c r="B15" s="3214" t="s">
        <v>3044</v>
      </c>
      <c r="C15" s="3214" t="s">
        <v>3045</v>
      </c>
      <c r="D15" s="3214" t="s">
        <v>3469</v>
      </c>
      <c r="E15" s="3214" t="s">
        <v>2816</v>
      </c>
      <c r="F15" s="3214" t="s">
        <v>3468</v>
      </c>
      <c r="G15" s="3214" t="s">
        <v>3366</v>
      </c>
      <c r="H15" s="3214" t="s">
        <v>3470</v>
      </c>
      <c r="I15" s="3214" t="s">
        <v>3046</v>
      </c>
      <c r="J15" s="3214">
        <v>5286</v>
      </c>
      <c r="K15" s="3214">
        <v>52595.7</v>
      </c>
      <c r="L15" s="3214" t="s">
        <v>3471</v>
      </c>
      <c r="M15" s="3214" t="s">
        <v>2816</v>
      </c>
      <c r="N15" s="3214" t="s">
        <v>3472</v>
      </c>
      <c r="O15" s="3214" t="s">
        <v>2816</v>
      </c>
      <c r="P15" s="3214" t="s">
        <v>2816</v>
      </c>
      <c r="Q15" s="3214" t="s">
        <v>2816</v>
      </c>
      <c r="R15" s="3214" t="s">
        <v>2816</v>
      </c>
      <c r="S15" s="3214" t="s">
        <v>2816</v>
      </c>
      <c r="T15" s="3214" t="s">
        <v>2816</v>
      </c>
      <c r="U15" s="3214" t="s">
        <v>2816</v>
      </c>
      <c r="V15" s="3214" t="s">
        <v>2816</v>
      </c>
      <c r="W15" s="3214" t="s">
        <v>3053</v>
      </c>
      <c r="X15" s="3214" t="s">
        <v>3473</v>
      </c>
      <c r="Y15" s="3214" t="s">
        <v>3474</v>
      </c>
      <c r="Z15" s="3214" t="s">
        <v>3474</v>
      </c>
      <c r="AA15" s="3214" t="s">
        <v>3474</v>
      </c>
      <c r="AB15" s="3214" t="s">
        <v>3475</v>
      </c>
      <c r="AC15" s="3214" t="s">
        <v>3049</v>
      </c>
      <c r="AD15" s="3214" t="s">
        <v>3476</v>
      </c>
      <c r="AE15" s="3214">
        <v>1700</v>
      </c>
      <c r="AF15" s="3214">
        <v>3400</v>
      </c>
      <c r="AG15" s="3214">
        <v>3400</v>
      </c>
      <c r="AH15" s="3214">
        <v>428.81</v>
      </c>
      <c r="AI15" s="3214">
        <v>428.81</v>
      </c>
      <c r="AJ15" s="3214">
        <v>646.44000000000005</v>
      </c>
      <c r="AK15" s="3214">
        <v>646.44000000000005</v>
      </c>
      <c r="AL15" s="3214" t="s">
        <v>2816</v>
      </c>
      <c r="AM15" s="3214" t="s">
        <v>2816</v>
      </c>
      <c r="AN15" s="3214">
        <v>0</v>
      </c>
      <c r="AO15" s="3214" t="s">
        <v>3050</v>
      </c>
      <c r="AP15" s="3214" t="s">
        <v>2816</v>
      </c>
      <c r="AQ15" s="3214" t="s">
        <v>2816</v>
      </c>
      <c r="AR15" s="3214" t="s">
        <v>2816</v>
      </c>
      <c r="AS15" s="3214" t="s">
        <v>3377</v>
      </c>
    </row>
    <row r="16" spans="1:45" s="3214" customFormat="1" hidden="1">
      <c r="A16" s="3214" t="s">
        <v>3477</v>
      </c>
      <c r="B16" s="3214" t="s">
        <v>3044</v>
      </c>
      <c r="C16" s="3214" t="s">
        <v>3045</v>
      </c>
      <c r="D16" s="3214" t="s">
        <v>3170</v>
      </c>
      <c r="E16" s="3214" t="s">
        <v>2816</v>
      </c>
      <c r="F16" s="3214" t="s">
        <v>3477</v>
      </c>
      <c r="G16" s="3214" t="s">
        <v>3366</v>
      </c>
      <c r="H16" s="3214" t="s">
        <v>3478</v>
      </c>
      <c r="I16" s="3214" t="s">
        <v>3046</v>
      </c>
      <c r="J16" s="3214">
        <v>136.46</v>
      </c>
      <c r="K16" s="3214">
        <v>458.51</v>
      </c>
      <c r="L16" s="3214" t="s">
        <v>3479</v>
      </c>
      <c r="M16" s="3214" t="s">
        <v>2816</v>
      </c>
      <c r="N16" s="3214" t="s">
        <v>3480</v>
      </c>
      <c r="O16" s="3214" t="s">
        <v>2816</v>
      </c>
      <c r="P16" s="3214" t="s">
        <v>2816</v>
      </c>
      <c r="Q16" s="3214" t="s">
        <v>2816</v>
      </c>
      <c r="R16" s="3214" t="s">
        <v>2816</v>
      </c>
      <c r="S16" s="3214" t="s">
        <v>2816</v>
      </c>
      <c r="T16" s="3214" t="s">
        <v>2816</v>
      </c>
      <c r="U16" s="3214" t="s">
        <v>2816</v>
      </c>
      <c r="V16" s="3214" t="s">
        <v>2816</v>
      </c>
      <c r="W16" s="3214" t="s">
        <v>3048</v>
      </c>
      <c r="X16" s="3214" t="s">
        <v>3481</v>
      </c>
      <c r="Y16" s="3214" t="s">
        <v>3482</v>
      </c>
      <c r="Z16" s="3214" t="s">
        <v>3482</v>
      </c>
      <c r="AA16" s="3214" t="s">
        <v>3482</v>
      </c>
      <c r="AB16" s="3214" t="s">
        <v>3483</v>
      </c>
      <c r="AC16" s="3214" t="s">
        <v>3049</v>
      </c>
      <c r="AD16" s="3214" t="s">
        <v>3484</v>
      </c>
      <c r="AE16" s="3214">
        <v>27</v>
      </c>
      <c r="AF16" s="3214" t="s">
        <v>2816</v>
      </c>
      <c r="AG16" s="3214">
        <v>218.34</v>
      </c>
      <c r="AH16" s="3214" t="s">
        <v>2816</v>
      </c>
      <c r="AI16" s="3214">
        <v>1066.69</v>
      </c>
      <c r="AJ16" s="3214" t="s">
        <v>2816</v>
      </c>
      <c r="AK16" s="3214">
        <v>4762.1499999999996</v>
      </c>
      <c r="AL16" s="3214" t="s">
        <v>2816</v>
      </c>
      <c r="AM16" s="3214" t="s">
        <v>2816</v>
      </c>
      <c r="AN16" s="3214" t="s">
        <v>2816</v>
      </c>
      <c r="AO16" s="3214" t="s">
        <v>3050</v>
      </c>
      <c r="AP16" s="3214" t="s">
        <v>2816</v>
      </c>
      <c r="AQ16" s="3214" t="s">
        <v>2816</v>
      </c>
      <c r="AR16" s="3214" t="s">
        <v>2816</v>
      </c>
      <c r="AS16" s="3214" t="s">
        <v>3377</v>
      </c>
    </row>
    <row r="17" spans="1:45" s="3214" customFormat="1" hidden="1">
      <c r="A17" s="3214" t="s">
        <v>3477</v>
      </c>
      <c r="B17" s="3214" t="s">
        <v>3044</v>
      </c>
      <c r="C17" s="3214" t="s">
        <v>3045</v>
      </c>
      <c r="D17" s="3214" t="s">
        <v>3170</v>
      </c>
      <c r="E17" s="3214" t="s">
        <v>2816</v>
      </c>
      <c r="F17" s="3214" t="s">
        <v>3477</v>
      </c>
      <c r="G17" s="3214" t="s">
        <v>3366</v>
      </c>
      <c r="H17" s="3214" t="s">
        <v>3485</v>
      </c>
      <c r="I17" s="3214" t="s">
        <v>3046</v>
      </c>
      <c r="J17" s="3214">
        <v>65869.77</v>
      </c>
      <c r="K17" s="3214">
        <v>221322.4</v>
      </c>
      <c r="L17" s="3214" t="s">
        <v>3479</v>
      </c>
      <c r="M17" s="3214" t="s">
        <v>2816</v>
      </c>
      <c r="N17" s="3214" t="s">
        <v>3480</v>
      </c>
      <c r="O17" s="3214" t="s">
        <v>2816</v>
      </c>
      <c r="P17" s="3214" t="s">
        <v>2816</v>
      </c>
      <c r="Q17" s="3214" t="s">
        <v>2816</v>
      </c>
      <c r="R17" s="3214" t="s">
        <v>2816</v>
      </c>
      <c r="S17" s="3214" t="s">
        <v>2816</v>
      </c>
      <c r="T17" s="3214" t="s">
        <v>2816</v>
      </c>
      <c r="U17" s="3214" t="s">
        <v>2816</v>
      </c>
      <c r="V17" s="3214" t="s">
        <v>2816</v>
      </c>
      <c r="W17" s="3214" t="s">
        <v>3048</v>
      </c>
      <c r="X17" s="3214" t="s">
        <v>3481</v>
      </c>
      <c r="Y17" s="3214" t="s">
        <v>3486</v>
      </c>
      <c r="Z17" s="3214" t="s">
        <v>3486</v>
      </c>
      <c r="AA17" s="3214" t="s">
        <v>3486</v>
      </c>
      <c r="AB17" s="3214" t="s">
        <v>3483</v>
      </c>
      <c r="AC17" s="3214" t="s">
        <v>3049</v>
      </c>
      <c r="AD17" s="3214" t="s">
        <v>3487</v>
      </c>
      <c r="AE17" s="3214">
        <v>12943</v>
      </c>
      <c r="AF17" s="3214" t="s">
        <v>2816</v>
      </c>
      <c r="AG17" s="3214">
        <v>25886</v>
      </c>
      <c r="AH17" s="3214" t="s">
        <v>2816</v>
      </c>
      <c r="AI17" s="3214">
        <v>261.99</v>
      </c>
      <c r="AJ17" s="3214" t="s">
        <v>2816</v>
      </c>
      <c r="AK17" s="3214">
        <v>1169.5999999999999</v>
      </c>
      <c r="AL17" s="3214" t="s">
        <v>2816</v>
      </c>
      <c r="AM17" s="3214" t="s">
        <v>2816</v>
      </c>
      <c r="AN17" s="3214" t="s">
        <v>2816</v>
      </c>
      <c r="AO17" s="3214" t="s">
        <v>3050</v>
      </c>
      <c r="AP17" s="3214" t="s">
        <v>2816</v>
      </c>
      <c r="AQ17" s="3214" t="s">
        <v>2816</v>
      </c>
      <c r="AR17" s="3214" t="s">
        <v>2816</v>
      </c>
      <c r="AS17" s="3214" t="s">
        <v>3377</v>
      </c>
    </row>
    <row r="18" spans="1:45" s="3214" customFormat="1" hidden="1">
      <c r="A18" s="3214" t="s">
        <v>3477</v>
      </c>
      <c r="B18" s="3214" t="s">
        <v>3044</v>
      </c>
      <c r="C18" s="3214" t="s">
        <v>3045</v>
      </c>
      <c r="D18" s="3214" t="s">
        <v>3170</v>
      </c>
      <c r="E18" s="3214" t="s">
        <v>2816</v>
      </c>
      <c r="F18" s="3214" t="s">
        <v>3477</v>
      </c>
      <c r="G18" s="3214" t="s">
        <v>3366</v>
      </c>
      <c r="H18" s="3214" t="s">
        <v>3488</v>
      </c>
      <c r="I18" s="3214" t="s">
        <v>3046</v>
      </c>
      <c r="J18" s="3214">
        <v>55688.73</v>
      </c>
      <c r="K18" s="3214">
        <v>160383.5</v>
      </c>
      <c r="L18" s="3214" t="s">
        <v>3489</v>
      </c>
      <c r="M18" s="3214" t="s">
        <v>2816</v>
      </c>
      <c r="N18" s="3214" t="s">
        <v>3490</v>
      </c>
      <c r="O18" s="3214" t="s">
        <v>2816</v>
      </c>
      <c r="P18" s="3214" t="s">
        <v>2816</v>
      </c>
      <c r="Q18" s="3214" t="s">
        <v>2816</v>
      </c>
      <c r="R18" s="3214" t="s">
        <v>2816</v>
      </c>
      <c r="S18" s="3214" t="s">
        <v>2816</v>
      </c>
      <c r="T18" s="3214" t="s">
        <v>2816</v>
      </c>
      <c r="U18" s="3214" t="s">
        <v>2816</v>
      </c>
      <c r="V18" s="3214" t="s">
        <v>2816</v>
      </c>
      <c r="W18" s="3214" t="s">
        <v>3048</v>
      </c>
      <c r="X18" s="3214" t="s">
        <v>3481</v>
      </c>
      <c r="Y18" s="3214" t="s">
        <v>3486</v>
      </c>
      <c r="Z18" s="3214" t="s">
        <v>3486</v>
      </c>
      <c r="AA18" s="3214" t="s">
        <v>3486</v>
      </c>
      <c r="AB18" s="3214" t="s">
        <v>3483</v>
      </c>
      <c r="AC18" s="3214" t="s">
        <v>3049</v>
      </c>
      <c r="AD18" s="3214" t="s">
        <v>3491</v>
      </c>
      <c r="AE18" s="3214">
        <v>9709</v>
      </c>
      <c r="AF18" s="3214" t="s">
        <v>2816</v>
      </c>
      <c r="AG18" s="3214">
        <v>19417</v>
      </c>
      <c r="AH18" s="3214" t="s">
        <v>2816</v>
      </c>
      <c r="AI18" s="3214">
        <v>232.45</v>
      </c>
      <c r="AJ18" s="3214" t="s">
        <v>2816</v>
      </c>
      <c r="AK18" s="3214">
        <v>1210.6600000000001</v>
      </c>
      <c r="AL18" s="3214" t="s">
        <v>2816</v>
      </c>
      <c r="AM18" s="3214" t="s">
        <v>2816</v>
      </c>
      <c r="AN18" s="3214" t="s">
        <v>2816</v>
      </c>
      <c r="AO18" s="3214" t="s">
        <v>3050</v>
      </c>
      <c r="AP18" s="3214" t="s">
        <v>2816</v>
      </c>
      <c r="AQ18" s="3214" t="s">
        <v>2816</v>
      </c>
      <c r="AR18" s="3214" t="s">
        <v>2816</v>
      </c>
      <c r="AS18" s="3214" t="s">
        <v>3377</v>
      </c>
    </row>
    <row r="19" spans="1:45" s="3214" customFormat="1" hidden="1">
      <c r="A19" s="3214" t="s">
        <v>3477</v>
      </c>
      <c r="B19" s="3214" t="s">
        <v>3044</v>
      </c>
      <c r="C19" s="3214" t="s">
        <v>3045</v>
      </c>
      <c r="D19" s="3214" t="s">
        <v>3170</v>
      </c>
      <c r="E19" s="3214" t="s">
        <v>2816</v>
      </c>
      <c r="F19" s="3214" t="s">
        <v>3477</v>
      </c>
      <c r="G19" s="3214" t="s">
        <v>3366</v>
      </c>
      <c r="H19" s="3214" t="s">
        <v>3492</v>
      </c>
      <c r="I19" s="3214" t="s">
        <v>3046</v>
      </c>
      <c r="J19" s="3214">
        <v>1300.49</v>
      </c>
      <c r="K19" s="3214">
        <v>4369.6499999999996</v>
      </c>
      <c r="L19" s="3214" t="s">
        <v>3479</v>
      </c>
      <c r="M19" s="3214" t="s">
        <v>2816</v>
      </c>
      <c r="N19" s="3214" t="s">
        <v>3480</v>
      </c>
      <c r="O19" s="3214" t="s">
        <v>2816</v>
      </c>
      <c r="P19" s="3214" t="s">
        <v>2816</v>
      </c>
      <c r="Q19" s="3214" t="s">
        <v>2816</v>
      </c>
      <c r="R19" s="3214" t="s">
        <v>2816</v>
      </c>
      <c r="S19" s="3214" t="s">
        <v>2816</v>
      </c>
      <c r="T19" s="3214" t="s">
        <v>2816</v>
      </c>
      <c r="U19" s="3214" t="s">
        <v>2816</v>
      </c>
      <c r="V19" s="3214" t="s">
        <v>2816</v>
      </c>
      <c r="W19" s="3214" t="s">
        <v>3048</v>
      </c>
      <c r="X19" s="3214" t="s">
        <v>3481</v>
      </c>
      <c r="Y19" s="3214" t="s">
        <v>3486</v>
      </c>
      <c r="Z19" s="3214" t="s">
        <v>3486</v>
      </c>
      <c r="AA19" s="3214" t="s">
        <v>3486</v>
      </c>
      <c r="AB19" s="3214" t="s">
        <v>3483</v>
      </c>
      <c r="AC19" s="3214" t="s">
        <v>3049</v>
      </c>
      <c r="AD19" s="3214" t="s">
        <v>3487</v>
      </c>
      <c r="AE19" s="3214">
        <v>256</v>
      </c>
      <c r="AF19" s="3214" t="s">
        <v>2816</v>
      </c>
      <c r="AG19" s="3214">
        <v>512</v>
      </c>
      <c r="AH19" s="3214" t="s">
        <v>2816</v>
      </c>
      <c r="AI19" s="3214">
        <v>262.47000000000003</v>
      </c>
      <c r="AJ19" s="3214" t="s">
        <v>2816</v>
      </c>
      <c r="AK19" s="3214">
        <v>1171.72</v>
      </c>
      <c r="AL19" s="3214" t="s">
        <v>2816</v>
      </c>
      <c r="AM19" s="3214" t="s">
        <v>2816</v>
      </c>
      <c r="AN19" s="3214" t="s">
        <v>2816</v>
      </c>
      <c r="AO19" s="3214" t="s">
        <v>3050</v>
      </c>
      <c r="AP19" s="3214" t="s">
        <v>2816</v>
      </c>
      <c r="AQ19" s="3214" t="s">
        <v>2816</v>
      </c>
      <c r="AR19" s="3214" t="s">
        <v>2816</v>
      </c>
      <c r="AS19" s="3214" t="s">
        <v>3377</v>
      </c>
    </row>
    <row r="20" spans="1:45" s="3214" customFormat="1" hidden="1">
      <c r="A20" s="3214" t="s">
        <v>3493</v>
      </c>
      <c r="B20" s="3214" t="s">
        <v>3044</v>
      </c>
      <c r="C20" s="3214" t="s">
        <v>3051</v>
      </c>
      <c r="D20" s="3214" t="s">
        <v>3251</v>
      </c>
      <c r="E20" s="3214" t="s">
        <v>2816</v>
      </c>
      <c r="F20" s="3214" t="s">
        <v>3493</v>
      </c>
      <c r="G20" s="3214" t="s">
        <v>3366</v>
      </c>
      <c r="H20" s="3214" t="s">
        <v>3494</v>
      </c>
      <c r="I20" s="3214" t="s">
        <v>3495</v>
      </c>
      <c r="J20" s="3214">
        <v>34114.04</v>
      </c>
      <c r="K20" s="3214">
        <v>102342.1</v>
      </c>
      <c r="L20" s="3214" t="s">
        <v>3496</v>
      </c>
      <c r="M20" s="3214" t="s">
        <v>2816</v>
      </c>
      <c r="N20" s="3214" t="s">
        <v>3406</v>
      </c>
      <c r="O20" s="3214" t="s">
        <v>2816</v>
      </c>
      <c r="P20" s="3214" t="s">
        <v>3370</v>
      </c>
      <c r="Q20" s="3214" t="s">
        <v>2816</v>
      </c>
      <c r="R20" s="3214" t="s">
        <v>2816</v>
      </c>
      <c r="S20" s="3214" t="s">
        <v>2816</v>
      </c>
      <c r="T20" s="3214" t="s">
        <v>2816</v>
      </c>
      <c r="U20" s="3214" t="s">
        <v>2816</v>
      </c>
      <c r="V20" s="3214" t="s">
        <v>2816</v>
      </c>
      <c r="W20" s="3214" t="s">
        <v>3048</v>
      </c>
      <c r="X20" s="3214" t="s">
        <v>3497</v>
      </c>
      <c r="Y20" s="3214" t="s">
        <v>3156</v>
      </c>
      <c r="Z20" s="3214" t="s">
        <v>3156</v>
      </c>
      <c r="AA20" s="3214" t="s">
        <v>3156</v>
      </c>
      <c r="AB20" s="3214" t="s">
        <v>3498</v>
      </c>
      <c r="AC20" s="3214" t="s">
        <v>3049</v>
      </c>
      <c r="AD20" s="3214" t="s">
        <v>3499</v>
      </c>
      <c r="AE20" s="3214">
        <v>11300</v>
      </c>
      <c r="AF20" s="3214" t="s">
        <v>2816</v>
      </c>
      <c r="AG20" s="3214">
        <v>22600</v>
      </c>
      <c r="AH20" s="3214" t="s">
        <v>2816</v>
      </c>
      <c r="AI20" s="3214">
        <v>441.66</v>
      </c>
      <c r="AJ20" s="3214" t="s">
        <v>2816</v>
      </c>
      <c r="AK20" s="3214">
        <v>2208.2800000000002</v>
      </c>
      <c r="AL20" s="3214" t="s">
        <v>2816</v>
      </c>
      <c r="AM20" s="3214" t="s">
        <v>2816</v>
      </c>
      <c r="AN20" s="3214" t="s">
        <v>2816</v>
      </c>
      <c r="AO20" s="3214" t="s">
        <v>3060</v>
      </c>
      <c r="AP20" s="3214" t="s">
        <v>2816</v>
      </c>
      <c r="AQ20" s="3214" t="s">
        <v>2816</v>
      </c>
      <c r="AR20" s="3214" t="s">
        <v>2816</v>
      </c>
      <c r="AS20" s="3214" t="s">
        <v>3377</v>
      </c>
    </row>
    <row r="21" spans="1:45" s="3214" customFormat="1">
      <c r="A21" s="3214" t="s">
        <v>3150</v>
      </c>
      <c r="B21" s="3214" t="s">
        <v>3044</v>
      </c>
      <c r="C21" s="3214" t="s">
        <v>3045</v>
      </c>
      <c r="D21" s="3214" t="s">
        <v>3151</v>
      </c>
      <c r="E21" s="3214" t="s">
        <v>2816</v>
      </c>
      <c r="F21" s="3214" t="s">
        <v>3150</v>
      </c>
      <c r="G21" s="3214" t="s">
        <v>3052</v>
      </c>
      <c r="H21" s="3214" t="s">
        <v>3152</v>
      </c>
      <c r="I21" s="3214" t="s">
        <v>3046</v>
      </c>
      <c r="J21" s="3214">
        <v>7880.22</v>
      </c>
      <c r="K21" s="3214">
        <v>45626.47</v>
      </c>
      <c r="L21" s="3214" t="s">
        <v>3153</v>
      </c>
      <c r="M21" s="3214" t="s">
        <v>2816</v>
      </c>
      <c r="N21" s="3214" t="s">
        <v>3154</v>
      </c>
      <c r="O21" s="3214" t="s">
        <v>2816</v>
      </c>
      <c r="P21" s="3214" t="s">
        <v>2816</v>
      </c>
      <c r="Q21" s="3214" t="s">
        <v>2816</v>
      </c>
      <c r="R21" s="3214" t="s">
        <v>2816</v>
      </c>
      <c r="S21" s="3214" t="s">
        <v>2816</v>
      </c>
      <c r="T21" s="3214" t="s">
        <v>2816</v>
      </c>
      <c r="U21" s="3214" t="s">
        <v>2816</v>
      </c>
      <c r="V21" s="3214" t="s">
        <v>2816</v>
      </c>
      <c r="W21" s="3214" t="s">
        <v>3048</v>
      </c>
      <c r="X21" s="3214" t="s">
        <v>3155</v>
      </c>
      <c r="Y21" s="3214" t="s">
        <v>3156</v>
      </c>
      <c r="Z21" s="3214" t="s">
        <v>3156</v>
      </c>
      <c r="AA21" s="3214" t="s">
        <v>3156</v>
      </c>
      <c r="AB21" s="3214" t="s">
        <v>3157</v>
      </c>
      <c r="AC21" s="3214" t="s">
        <v>3049</v>
      </c>
      <c r="AD21" s="3214" t="s">
        <v>3158</v>
      </c>
      <c r="AE21" s="3214">
        <v>500</v>
      </c>
      <c r="AF21" s="3214" t="s">
        <v>2816</v>
      </c>
      <c r="AG21" s="3214">
        <v>2190</v>
      </c>
      <c r="AH21" s="3214" t="s">
        <v>2816</v>
      </c>
      <c r="AI21" s="3214">
        <v>185.27</v>
      </c>
      <c r="AJ21" s="3214" t="s">
        <v>2816</v>
      </c>
      <c r="AK21" s="3214">
        <v>479.98</v>
      </c>
      <c r="AL21" s="3214" t="s">
        <v>2816</v>
      </c>
      <c r="AM21" s="3214" t="s">
        <v>2816</v>
      </c>
      <c r="AN21" s="3214" t="s">
        <v>2816</v>
      </c>
      <c r="AO21" s="3214" t="s">
        <v>3050</v>
      </c>
      <c r="AP21" s="3214" t="s">
        <v>2816</v>
      </c>
      <c r="AQ21" s="3214" t="s">
        <v>2816</v>
      </c>
      <c r="AR21" s="3214" t="s">
        <v>2816</v>
      </c>
      <c r="AS21" s="3214" t="s">
        <v>3377</v>
      </c>
    </row>
    <row r="22" spans="1:45" s="3214" customFormat="1" hidden="1">
      <c r="A22" s="3214" t="s">
        <v>3500</v>
      </c>
      <c r="B22" s="3214" t="s">
        <v>3044</v>
      </c>
      <c r="C22" s="3214" t="s">
        <v>3045</v>
      </c>
      <c r="D22" s="3214" t="s">
        <v>3469</v>
      </c>
      <c r="E22" s="3214" t="s">
        <v>2816</v>
      </c>
      <c r="F22" s="3214" t="s">
        <v>3500</v>
      </c>
      <c r="G22" s="3214" t="s">
        <v>3366</v>
      </c>
      <c r="H22" s="3214" t="s">
        <v>3501</v>
      </c>
      <c r="I22" s="3214" t="s">
        <v>3046</v>
      </c>
      <c r="J22" s="3214">
        <v>5281.63</v>
      </c>
      <c r="K22" s="3214">
        <v>56724.71</v>
      </c>
      <c r="L22" s="3214" t="s">
        <v>3502</v>
      </c>
      <c r="M22" s="3214" t="s">
        <v>2816</v>
      </c>
      <c r="N22" s="3214" t="s">
        <v>3503</v>
      </c>
      <c r="O22" s="3214" t="s">
        <v>2816</v>
      </c>
      <c r="P22" s="3214" t="s">
        <v>2816</v>
      </c>
      <c r="Q22" s="3214" t="s">
        <v>2816</v>
      </c>
      <c r="R22" s="3214" t="s">
        <v>2816</v>
      </c>
      <c r="S22" s="3214" t="s">
        <v>2816</v>
      </c>
      <c r="T22" s="3214" t="s">
        <v>2816</v>
      </c>
      <c r="U22" s="3214" t="s">
        <v>2816</v>
      </c>
      <c r="V22" s="3214" t="s">
        <v>2816</v>
      </c>
      <c r="W22" s="3214" t="s">
        <v>3053</v>
      </c>
      <c r="X22" s="3214" t="s">
        <v>3504</v>
      </c>
      <c r="Y22" s="3214" t="s">
        <v>3505</v>
      </c>
      <c r="Z22" s="3214" t="s">
        <v>3505</v>
      </c>
      <c r="AA22" s="3214" t="s">
        <v>3505</v>
      </c>
      <c r="AB22" s="3214" t="s">
        <v>3506</v>
      </c>
      <c r="AC22" s="3214" t="s">
        <v>3049</v>
      </c>
      <c r="AD22" s="3214" t="s">
        <v>3507</v>
      </c>
      <c r="AE22" s="3214">
        <v>750</v>
      </c>
      <c r="AF22" s="3214" t="s">
        <v>2816</v>
      </c>
      <c r="AG22" s="3214">
        <v>3547</v>
      </c>
      <c r="AH22" s="3214" t="s">
        <v>2816</v>
      </c>
      <c r="AI22" s="3214">
        <v>447.72</v>
      </c>
      <c r="AJ22" s="3214" t="s">
        <v>2816</v>
      </c>
      <c r="AK22" s="3214">
        <v>625.29</v>
      </c>
      <c r="AL22" s="3214" t="s">
        <v>2816</v>
      </c>
      <c r="AM22" s="3214" t="s">
        <v>2816</v>
      </c>
      <c r="AN22" s="3214" t="s">
        <v>2816</v>
      </c>
      <c r="AO22" s="3214" t="s">
        <v>3050</v>
      </c>
      <c r="AP22" s="3214" t="s">
        <v>2816</v>
      </c>
      <c r="AQ22" s="3214" t="s">
        <v>2816</v>
      </c>
      <c r="AR22" s="3214" t="s">
        <v>2816</v>
      </c>
      <c r="AS22" s="3214" t="s">
        <v>3377</v>
      </c>
    </row>
    <row r="23" spans="1:45" s="3214" customFormat="1" hidden="1">
      <c r="A23" s="3214" t="s">
        <v>3250</v>
      </c>
      <c r="B23" s="3214" t="s">
        <v>3044</v>
      </c>
      <c r="C23" s="3214" t="s">
        <v>3051</v>
      </c>
      <c r="D23" s="3214" t="s">
        <v>3251</v>
      </c>
      <c r="E23" s="3214" t="s">
        <v>2816</v>
      </c>
      <c r="F23" s="3214" t="s">
        <v>3250</v>
      </c>
      <c r="G23" s="3214" t="s">
        <v>3052</v>
      </c>
      <c r="H23" s="3214" t="s">
        <v>3252</v>
      </c>
      <c r="I23" s="3214" t="s">
        <v>3253</v>
      </c>
      <c r="J23" s="3214">
        <v>63843.21</v>
      </c>
      <c r="K23" s="3214">
        <v>217066.9</v>
      </c>
      <c r="L23" s="3214" t="s">
        <v>3254</v>
      </c>
      <c r="M23" s="3214" t="s">
        <v>2816</v>
      </c>
      <c r="N23" s="3214" t="s">
        <v>3255</v>
      </c>
      <c r="O23" s="3214" t="s">
        <v>2816</v>
      </c>
      <c r="P23" s="3214" t="s">
        <v>2816</v>
      </c>
      <c r="Q23" s="3214" t="s">
        <v>2816</v>
      </c>
      <c r="R23" s="3214" t="s">
        <v>2816</v>
      </c>
      <c r="S23" s="3214" t="s">
        <v>2816</v>
      </c>
      <c r="T23" s="3214" t="s">
        <v>2816</v>
      </c>
      <c r="U23" s="3214" t="s">
        <v>2816</v>
      </c>
      <c r="V23" s="3214" t="s">
        <v>2816</v>
      </c>
      <c r="W23" s="3214" t="s">
        <v>3053</v>
      </c>
      <c r="X23" s="3214" t="s">
        <v>3256</v>
      </c>
      <c r="Y23" s="3214" t="s">
        <v>3257</v>
      </c>
      <c r="Z23" s="3214" t="s">
        <v>3258</v>
      </c>
      <c r="AA23" s="3214" t="s">
        <v>3258</v>
      </c>
      <c r="AB23" s="3214" t="s">
        <v>3259</v>
      </c>
      <c r="AC23" s="3214" t="s">
        <v>3049</v>
      </c>
      <c r="AD23" s="3214" t="s">
        <v>3260</v>
      </c>
      <c r="AE23" s="3214">
        <v>33800</v>
      </c>
      <c r="AF23" s="3214">
        <v>48800</v>
      </c>
      <c r="AG23" s="3214">
        <v>48800</v>
      </c>
      <c r="AH23" s="3214">
        <v>509.58</v>
      </c>
      <c r="AI23" s="3214">
        <v>509.58</v>
      </c>
      <c r="AJ23" s="3214">
        <v>2248.15</v>
      </c>
      <c r="AK23" s="3214">
        <v>2248.15</v>
      </c>
      <c r="AL23" s="3214" t="s">
        <v>2816</v>
      </c>
      <c r="AM23" s="3214" t="s">
        <v>2816</v>
      </c>
      <c r="AN23" s="3214">
        <v>0</v>
      </c>
      <c r="AO23" s="3214" t="s">
        <v>3261</v>
      </c>
      <c r="AP23" s="3214" t="s">
        <v>2816</v>
      </c>
      <c r="AQ23" s="3214" t="s">
        <v>2816</v>
      </c>
      <c r="AR23" s="3214" t="s">
        <v>2816</v>
      </c>
      <c r="AS23" s="3214" t="s">
        <v>3377</v>
      </c>
    </row>
    <row r="24" spans="1:45" s="3214" customFormat="1" hidden="1">
      <c r="A24" s="3214" t="s">
        <v>3262</v>
      </c>
      <c r="B24" s="3214" t="s">
        <v>3044</v>
      </c>
      <c r="C24" s="3214" t="s">
        <v>3051</v>
      </c>
      <c r="D24" s="3214" t="s">
        <v>3251</v>
      </c>
      <c r="E24" s="3214" t="s">
        <v>2816</v>
      </c>
      <c r="F24" s="3214" t="s">
        <v>3262</v>
      </c>
      <c r="G24" s="3214" t="s">
        <v>3052</v>
      </c>
      <c r="H24" s="3214" t="s">
        <v>3263</v>
      </c>
      <c r="I24" s="3214" t="s">
        <v>3264</v>
      </c>
      <c r="J24" s="3214">
        <v>30910.14</v>
      </c>
      <c r="K24" s="3214">
        <v>120858.6</v>
      </c>
      <c r="L24" s="3214" t="s">
        <v>3265</v>
      </c>
      <c r="M24" s="3214" t="s">
        <v>2816</v>
      </c>
      <c r="N24" s="3214" t="s">
        <v>3266</v>
      </c>
      <c r="O24" s="3214" t="s">
        <v>2816</v>
      </c>
      <c r="P24" s="3214" t="s">
        <v>2816</v>
      </c>
      <c r="Q24" s="3214" t="s">
        <v>2816</v>
      </c>
      <c r="R24" s="3214" t="s">
        <v>2816</v>
      </c>
      <c r="S24" s="3214" t="s">
        <v>2816</v>
      </c>
      <c r="T24" s="3214" t="s">
        <v>2816</v>
      </c>
      <c r="U24" s="3214" t="s">
        <v>2816</v>
      </c>
      <c r="V24" s="3214" t="s">
        <v>2816</v>
      </c>
      <c r="W24" s="3214" t="s">
        <v>3053</v>
      </c>
      <c r="X24" s="3214" t="s">
        <v>3267</v>
      </c>
      <c r="Y24" s="3214" t="s">
        <v>3268</v>
      </c>
      <c r="Z24" s="3214" t="s">
        <v>3269</v>
      </c>
      <c r="AA24" s="3214" t="s">
        <v>3269</v>
      </c>
      <c r="AB24" s="3214" t="s">
        <v>3270</v>
      </c>
      <c r="AC24" s="3214" t="s">
        <v>3049</v>
      </c>
      <c r="AD24" s="3214" t="s">
        <v>3271</v>
      </c>
      <c r="AE24" s="3214">
        <v>2000</v>
      </c>
      <c r="AF24" s="3214">
        <v>9810</v>
      </c>
      <c r="AG24" s="3214">
        <v>9810</v>
      </c>
      <c r="AH24" s="3214">
        <v>211.58</v>
      </c>
      <c r="AI24" s="3214">
        <v>211.58</v>
      </c>
      <c r="AJ24" s="3214">
        <v>811.69</v>
      </c>
      <c r="AK24" s="3214">
        <v>811.69</v>
      </c>
      <c r="AL24" s="3214" t="s">
        <v>2816</v>
      </c>
      <c r="AM24" s="3214" t="s">
        <v>2816</v>
      </c>
      <c r="AN24" s="3214">
        <v>0</v>
      </c>
      <c r="AO24" s="3214" t="s">
        <v>3272</v>
      </c>
      <c r="AP24" s="3214" t="s">
        <v>2816</v>
      </c>
      <c r="AQ24" s="3214" t="s">
        <v>2816</v>
      </c>
      <c r="AR24" s="3214" t="s">
        <v>2816</v>
      </c>
      <c r="AS24" s="3214" t="s">
        <v>3377</v>
      </c>
    </row>
    <row r="25" spans="1:45" s="3214" customFormat="1" hidden="1">
      <c r="A25" s="3214" t="s">
        <v>3262</v>
      </c>
      <c r="B25" s="3214" t="s">
        <v>3044</v>
      </c>
      <c r="C25" s="3214" t="s">
        <v>3051</v>
      </c>
      <c r="D25" s="3214" t="s">
        <v>3251</v>
      </c>
      <c r="E25" s="3214" t="s">
        <v>2816</v>
      </c>
      <c r="F25" s="3214" t="s">
        <v>3262</v>
      </c>
      <c r="G25" s="3214" t="s">
        <v>3052</v>
      </c>
      <c r="H25" s="3214" t="s">
        <v>3273</v>
      </c>
      <c r="I25" s="3214" t="s">
        <v>3264</v>
      </c>
      <c r="J25" s="3214">
        <v>61909.65</v>
      </c>
      <c r="K25" s="3214">
        <v>268687.90000000002</v>
      </c>
      <c r="L25" s="3214" t="s">
        <v>3274</v>
      </c>
      <c r="M25" s="3214" t="s">
        <v>2816</v>
      </c>
      <c r="N25" s="3214" t="s">
        <v>3275</v>
      </c>
      <c r="O25" s="3214" t="s">
        <v>2816</v>
      </c>
      <c r="P25" s="3214" t="s">
        <v>2816</v>
      </c>
      <c r="Q25" s="3214" t="s">
        <v>2816</v>
      </c>
      <c r="R25" s="3214" t="s">
        <v>2816</v>
      </c>
      <c r="S25" s="3214" t="s">
        <v>2816</v>
      </c>
      <c r="T25" s="3214" t="s">
        <v>2816</v>
      </c>
      <c r="U25" s="3214" t="s">
        <v>2816</v>
      </c>
      <c r="V25" s="3214" t="s">
        <v>2816</v>
      </c>
      <c r="W25" s="3214" t="s">
        <v>3053</v>
      </c>
      <c r="X25" s="3214" t="s">
        <v>3267</v>
      </c>
      <c r="Y25" s="3214" t="s">
        <v>3268</v>
      </c>
      <c r="Z25" s="3214" t="s">
        <v>3269</v>
      </c>
      <c r="AA25" s="3214" t="s">
        <v>3269</v>
      </c>
      <c r="AB25" s="3214" t="s">
        <v>3276</v>
      </c>
      <c r="AC25" s="3214" t="s">
        <v>3049</v>
      </c>
      <c r="AD25" s="3214" t="s">
        <v>3277</v>
      </c>
      <c r="AE25" s="3214">
        <v>4500</v>
      </c>
      <c r="AF25" s="3214">
        <v>20953</v>
      </c>
      <c r="AG25" s="3214">
        <v>20953</v>
      </c>
      <c r="AH25" s="3214">
        <v>225.63</v>
      </c>
      <c r="AI25" s="3214">
        <v>225.63</v>
      </c>
      <c r="AJ25" s="3214">
        <v>779.82</v>
      </c>
      <c r="AK25" s="3214">
        <v>779.83</v>
      </c>
      <c r="AL25" s="3214" t="s">
        <v>2816</v>
      </c>
      <c r="AM25" s="3214" t="s">
        <v>2816</v>
      </c>
      <c r="AN25" s="3214">
        <v>0</v>
      </c>
      <c r="AO25" s="3214" t="s">
        <v>3272</v>
      </c>
      <c r="AP25" s="3214" t="s">
        <v>2816</v>
      </c>
      <c r="AQ25" s="3214" t="s">
        <v>2816</v>
      </c>
      <c r="AR25" s="3214" t="s">
        <v>2816</v>
      </c>
      <c r="AS25" s="3214" t="s">
        <v>3377</v>
      </c>
    </row>
    <row r="26" spans="1:45" s="3214" customFormat="1" hidden="1">
      <c r="A26" s="3214" t="s">
        <v>3278</v>
      </c>
      <c r="B26" s="3214" t="s">
        <v>3044</v>
      </c>
      <c r="C26" s="3214" t="s">
        <v>3045</v>
      </c>
      <c r="D26" s="3214" t="s">
        <v>3251</v>
      </c>
      <c r="E26" s="3214" t="s">
        <v>2816</v>
      </c>
      <c r="F26" s="3214" t="s">
        <v>3278</v>
      </c>
      <c r="G26" s="3214" t="s">
        <v>3052</v>
      </c>
      <c r="H26" s="3214" t="s">
        <v>3279</v>
      </c>
      <c r="I26" s="3214" t="s">
        <v>3066</v>
      </c>
      <c r="J26" s="3214">
        <v>39093.129999999997</v>
      </c>
      <c r="K26" s="3214">
        <v>144644.6</v>
      </c>
      <c r="L26" s="3214" t="s">
        <v>3280</v>
      </c>
      <c r="M26" s="3214" t="s">
        <v>2816</v>
      </c>
      <c r="N26" s="3214" t="s">
        <v>3281</v>
      </c>
      <c r="O26" s="3214" t="s">
        <v>2816</v>
      </c>
      <c r="P26" s="3214" t="s">
        <v>2816</v>
      </c>
      <c r="Q26" s="3214" t="s">
        <v>2816</v>
      </c>
      <c r="R26" s="3214" t="s">
        <v>2816</v>
      </c>
      <c r="S26" s="3214" t="s">
        <v>2816</v>
      </c>
      <c r="T26" s="3214" t="s">
        <v>2816</v>
      </c>
      <c r="U26" s="3214" t="s">
        <v>2816</v>
      </c>
      <c r="V26" s="3214" t="s">
        <v>2816</v>
      </c>
      <c r="W26" s="3214" t="s">
        <v>3053</v>
      </c>
      <c r="X26" s="3214" t="s">
        <v>3282</v>
      </c>
      <c r="Y26" s="3214" t="s">
        <v>3283</v>
      </c>
      <c r="Z26" s="3214" t="s">
        <v>3284</v>
      </c>
      <c r="AA26" s="3214" t="s">
        <v>3284</v>
      </c>
      <c r="AB26" s="3214" t="s">
        <v>3285</v>
      </c>
      <c r="AC26" s="3214" t="s">
        <v>3049</v>
      </c>
      <c r="AD26" s="3214" t="s">
        <v>3286</v>
      </c>
      <c r="AE26" s="3214">
        <v>2940</v>
      </c>
      <c r="AF26" s="3214">
        <v>5880</v>
      </c>
      <c r="AG26" s="3214">
        <v>5880</v>
      </c>
      <c r="AH26" s="3214">
        <v>100.27</v>
      </c>
      <c r="AI26" s="3214">
        <v>100.27</v>
      </c>
      <c r="AJ26" s="3214">
        <v>406.51</v>
      </c>
      <c r="AK26" s="3214">
        <v>406.5</v>
      </c>
      <c r="AL26" s="3214" t="s">
        <v>2816</v>
      </c>
      <c r="AM26" s="3214" t="s">
        <v>2816</v>
      </c>
      <c r="AN26" s="3214">
        <v>0</v>
      </c>
      <c r="AO26" s="3214" t="s">
        <v>3050</v>
      </c>
      <c r="AP26" s="3214" t="s">
        <v>2816</v>
      </c>
      <c r="AQ26" s="3214" t="s">
        <v>2816</v>
      </c>
      <c r="AR26" s="3214" t="s">
        <v>2816</v>
      </c>
      <c r="AS26" s="3214" t="s">
        <v>3377</v>
      </c>
    </row>
    <row r="27" spans="1:45" s="3214" customFormat="1" hidden="1">
      <c r="A27" s="3214" t="s">
        <v>3278</v>
      </c>
      <c r="B27" s="3214" t="s">
        <v>3044</v>
      </c>
      <c r="C27" s="3214" t="s">
        <v>3045</v>
      </c>
      <c r="D27" s="3214" t="s">
        <v>3251</v>
      </c>
      <c r="E27" s="3214" t="s">
        <v>2816</v>
      </c>
      <c r="F27" s="3214" t="s">
        <v>3278</v>
      </c>
      <c r="G27" s="3214" t="s">
        <v>3052</v>
      </c>
      <c r="H27" s="3214" t="s">
        <v>3287</v>
      </c>
      <c r="I27" s="3214" t="s">
        <v>3066</v>
      </c>
      <c r="J27" s="3214">
        <v>48436.639999999999</v>
      </c>
      <c r="K27" s="3214">
        <v>179215.6</v>
      </c>
      <c r="L27" s="3214" t="s">
        <v>3280</v>
      </c>
      <c r="M27" s="3214" t="s">
        <v>2816</v>
      </c>
      <c r="N27" s="3214" t="s">
        <v>3281</v>
      </c>
      <c r="O27" s="3214" t="s">
        <v>2816</v>
      </c>
      <c r="P27" s="3214" t="s">
        <v>2816</v>
      </c>
      <c r="Q27" s="3214" t="s">
        <v>2816</v>
      </c>
      <c r="R27" s="3214" t="s">
        <v>2816</v>
      </c>
      <c r="S27" s="3214" t="s">
        <v>2816</v>
      </c>
      <c r="T27" s="3214" t="s">
        <v>3058</v>
      </c>
      <c r="U27" s="3214" t="s">
        <v>2816</v>
      </c>
      <c r="V27" s="3214" t="s">
        <v>2816</v>
      </c>
      <c r="W27" s="3214" t="s">
        <v>3053</v>
      </c>
      <c r="X27" s="3214" t="s">
        <v>3282</v>
      </c>
      <c r="Y27" s="3214" t="s">
        <v>3283</v>
      </c>
      <c r="Z27" s="3214" t="s">
        <v>3284</v>
      </c>
      <c r="AA27" s="3214" t="s">
        <v>3284</v>
      </c>
      <c r="AB27" s="3214" t="s">
        <v>3288</v>
      </c>
      <c r="AC27" s="3214" t="s">
        <v>3049</v>
      </c>
      <c r="AD27" s="3214" t="s">
        <v>3286</v>
      </c>
      <c r="AE27" s="3214">
        <v>2290</v>
      </c>
      <c r="AF27" s="3214">
        <v>4580</v>
      </c>
      <c r="AG27" s="3214">
        <v>4580</v>
      </c>
      <c r="AH27" s="3214">
        <v>63.04</v>
      </c>
      <c r="AI27" s="3214">
        <v>63.04</v>
      </c>
      <c r="AJ27" s="3214">
        <v>255.55</v>
      </c>
      <c r="AK27" s="3214">
        <v>255.56</v>
      </c>
      <c r="AL27" s="3214" t="s">
        <v>2816</v>
      </c>
      <c r="AM27" s="3214" t="s">
        <v>2816</v>
      </c>
      <c r="AN27" s="3214">
        <v>0</v>
      </c>
      <c r="AO27" s="3214" t="s">
        <v>3050</v>
      </c>
      <c r="AP27" s="3214" t="s">
        <v>2816</v>
      </c>
      <c r="AQ27" s="3214" t="s">
        <v>2816</v>
      </c>
      <c r="AR27" s="3214" t="s">
        <v>2816</v>
      </c>
      <c r="AS27" s="3214" t="s">
        <v>3377</v>
      </c>
    </row>
    <row r="28" spans="1:45" s="3214" customFormat="1" hidden="1">
      <c r="A28" s="3214" t="s">
        <v>3169</v>
      </c>
      <c r="B28" s="3214" t="s">
        <v>3044</v>
      </c>
      <c r="C28" s="3214" t="s">
        <v>3045</v>
      </c>
      <c r="D28" s="3214" t="s">
        <v>3170</v>
      </c>
      <c r="E28" s="3214" t="s">
        <v>2816</v>
      </c>
      <c r="F28" s="3214" t="s">
        <v>3169</v>
      </c>
      <c r="G28" s="3214" t="s">
        <v>3052</v>
      </c>
      <c r="H28" s="3214" t="s">
        <v>3171</v>
      </c>
      <c r="I28" s="3214" t="s">
        <v>3046</v>
      </c>
      <c r="J28" s="3214">
        <v>35655.64</v>
      </c>
      <c r="K28" s="3214">
        <v>164729.1</v>
      </c>
      <c r="L28" s="3214" t="s">
        <v>3172</v>
      </c>
      <c r="M28" s="3214" t="s">
        <v>2816</v>
      </c>
      <c r="N28" s="3214" t="s">
        <v>3173</v>
      </c>
      <c r="O28" s="3214" t="s">
        <v>2816</v>
      </c>
      <c r="P28" s="3214" t="s">
        <v>2816</v>
      </c>
      <c r="Q28" s="3214" t="s">
        <v>2816</v>
      </c>
      <c r="R28" s="3214" t="s">
        <v>2816</v>
      </c>
      <c r="S28" s="3214" t="s">
        <v>2816</v>
      </c>
      <c r="T28" s="3214" t="s">
        <v>2816</v>
      </c>
      <c r="U28" s="3214" t="s">
        <v>2816</v>
      </c>
      <c r="V28" s="3214" t="s">
        <v>2816</v>
      </c>
      <c r="W28" s="3214" t="s">
        <v>3053</v>
      </c>
      <c r="X28" s="3214" t="s">
        <v>3054</v>
      </c>
      <c r="Y28" s="3214" t="s">
        <v>3174</v>
      </c>
      <c r="Z28" s="3214" t="s">
        <v>3175</v>
      </c>
      <c r="AA28" s="3214" t="s">
        <v>3175</v>
      </c>
      <c r="AB28" s="3214" t="s">
        <v>3176</v>
      </c>
      <c r="AC28" s="3214" t="s">
        <v>3049</v>
      </c>
      <c r="AD28" s="3214" t="s">
        <v>3177</v>
      </c>
      <c r="AE28" s="3214">
        <v>5500</v>
      </c>
      <c r="AF28" s="3214" t="s">
        <v>2816</v>
      </c>
      <c r="AG28" s="3214">
        <v>56418.58</v>
      </c>
      <c r="AH28" s="3214" t="s">
        <v>2816</v>
      </c>
      <c r="AI28" s="3214">
        <v>1054.8800000000001</v>
      </c>
      <c r="AJ28" s="3214" t="s">
        <v>2816</v>
      </c>
      <c r="AK28" s="3214">
        <v>3424.92</v>
      </c>
      <c r="AL28" s="3214" t="s">
        <v>2816</v>
      </c>
      <c r="AM28" s="3214" t="s">
        <v>2816</v>
      </c>
      <c r="AN28" s="3214" t="s">
        <v>2816</v>
      </c>
      <c r="AO28" s="3214" t="s">
        <v>3050</v>
      </c>
      <c r="AP28" s="3214" t="s">
        <v>2816</v>
      </c>
      <c r="AQ28" s="3214" t="s">
        <v>2816</v>
      </c>
      <c r="AR28" s="3214" t="s">
        <v>2816</v>
      </c>
      <c r="AS28" s="3214" t="s">
        <v>3377</v>
      </c>
    </row>
    <row r="29" spans="1:45" s="3214" customFormat="1" hidden="1">
      <c r="A29" s="3214" t="s">
        <v>3289</v>
      </c>
      <c r="B29" s="3214" t="s">
        <v>3044</v>
      </c>
      <c r="C29" s="3214" t="s">
        <v>3051</v>
      </c>
      <c r="D29" s="3214" t="s">
        <v>3251</v>
      </c>
      <c r="E29" s="3214" t="s">
        <v>2816</v>
      </c>
      <c r="F29" s="3214" t="s">
        <v>3289</v>
      </c>
      <c r="G29" s="3214" t="s">
        <v>3052</v>
      </c>
      <c r="H29" s="3214" t="s">
        <v>3290</v>
      </c>
      <c r="I29" s="3214" t="s">
        <v>3291</v>
      </c>
      <c r="J29" s="3214">
        <v>72800.570000000007</v>
      </c>
      <c r="K29" s="3214">
        <v>315362.5</v>
      </c>
      <c r="L29" s="3214" t="s">
        <v>3292</v>
      </c>
      <c r="M29" s="3214" t="s">
        <v>2816</v>
      </c>
      <c r="N29" s="3214" t="s">
        <v>3293</v>
      </c>
      <c r="O29" s="3214" t="s">
        <v>2816</v>
      </c>
      <c r="P29" s="3214" t="s">
        <v>2816</v>
      </c>
      <c r="Q29" s="3214" t="s">
        <v>2816</v>
      </c>
      <c r="R29" s="3214" t="s">
        <v>2816</v>
      </c>
      <c r="S29" s="3214" t="s">
        <v>2816</v>
      </c>
      <c r="T29" s="3214" t="s">
        <v>2816</v>
      </c>
      <c r="U29" s="3214" t="s">
        <v>2816</v>
      </c>
      <c r="V29" s="3214" t="s">
        <v>2816</v>
      </c>
      <c r="W29" s="3214" t="s">
        <v>3053</v>
      </c>
      <c r="X29" s="3214" t="s">
        <v>3054</v>
      </c>
      <c r="Y29" s="3214" t="s">
        <v>3174</v>
      </c>
      <c r="Z29" s="3214" t="s">
        <v>3175</v>
      </c>
      <c r="AA29" s="3214" t="s">
        <v>3175</v>
      </c>
      <c r="AB29" s="3214" t="s">
        <v>3294</v>
      </c>
      <c r="AC29" s="3214" t="s">
        <v>3049</v>
      </c>
      <c r="AD29" s="3214" t="s">
        <v>3295</v>
      </c>
      <c r="AE29" s="3214">
        <v>13500</v>
      </c>
      <c r="AF29" s="3214" t="s">
        <v>2816</v>
      </c>
      <c r="AG29" s="3214">
        <v>290000</v>
      </c>
      <c r="AH29" s="3214" t="s">
        <v>2816</v>
      </c>
      <c r="AI29" s="3214">
        <v>2655.66</v>
      </c>
      <c r="AJ29" s="3214" t="s">
        <v>2816</v>
      </c>
      <c r="AK29" s="3214">
        <v>9195.77</v>
      </c>
      <c r="AL29" s="3214" t="s">
        <v>2816</v>
      </c>
      <c r="AM29" s="3214" t="s">
        <v>2816</v>
      </c>
      <c r="AN29" s="3214" t="s">
        <v>2816</v>
      </c>
      <c r="AO29" s="3214" t="s">
        <v>3050</v>
      </c>
      <c r="AP29" s="3214" t="s">
        <v>2816</v>
      </c>
      <c r="AQ29" s="3214" t="s">
        <v>2816</v>
      </c>
      <c r="AR29" s="3214" t="s">
        <v>2816</v>
      </c>
      <c r="AS29" s="3214" t="s">
        <v>3377</v>
      </c>
    </row>
    <row r="30" spans="1:45" s="3219" customFormat="1" hidden="1">
      <c r="A30" s="3219" t="s">
        <v>3296</v>
      </c>
      <c r="B30" s="3219" t="s">
        <v>3044</v>
      </c>
      <c r="C30" s="3219" t="s">
        <v>3045</v>
      </c>
      <c r="D30" s="3219" t="s">
        <v>3251</v>
      </c>
      <c r="E30" s="3219" t="s">
        <v>2816</v>
      </c>
      <c r="F30" s="3219" t="s">
        <v>3296</v>
      </c>
      <c r="G30" s="3219" t="s">
        <v>3052</v>
      </c>
      <c r="H30" s="3219" t="s">
        <v>3297</v>
      </c>
      <c r="I30" s="3219" t="s">
        <v>3046</v>
      </c>
      <c r="J30" s="3219">
        <v>53010.04</v>
      </c>
      <c r="K30" s="3219">
        <v>185535.1</v>
      </c>
      <c r="L30" s="3219" t="s">
        <v>3221</v>
      </c>
      <c r="M30" s="3219" t="s">
        <v>2816</v>
      </c>
      <c r="N30" s="3219" t="s">
        <v>3168</v>
      </c>
      <c r="O30" s="3219" t="s">
        <v>2816</v>
      </c>
      <c r="P30" s="3219" t="s">
        <v>2816</v>
      </c>
      <c r="Q30" s="3219" t="s">
        <v>2816</v>
      </c>
      <c r="R30" s="3219" t="s">
        <v>2816</v>
      </c>
      <c r="S30" s="3219" t="s">
        <v>2816</v>
      </c>
      <c r="T30" s="3219" t="s">
        <v>2816</v>
      </c>
      <c r="U30" s="3219" t="s">
        <v>2816</v>
      </c>
      <c r="V30" s="3219" t="s">
        <v>2816</v>
      </c>
      <c r="W30" s="3219" t="s">
        <v>3053</v>
      </c>
      <c r="X30" s="3219" t="s">
        <v>3054</v>
      </c>
      <c r="Y30" s="3219" t="s">
        <v>3174</v>
      </c>
      <c r="Z30" s="3219" t="s">
        <v>3175</v>
      </c>
      <c r="AA30" s="3219" t="s">
        <v>3175</v>
      </c>
      <c r="AB30" s="3219" t="s">
        <v>3294</v>
      </c>
      <c r="AC30" s="3219" t="s">
        <v>3049</v>
      </c>
      <c r="AD30" s="3219" t="s">
        <v>3298</v>
      </c>
      <c r="AE30" s="3219">
        <v>9000</v>
      </c>
      <c r="AF30" s="3219" t="s">
        <v>2816</v>
      </c>
      <c r="AG30" s="3219">
        <v>74380</v>
      </c>
      <c r="AH30" s="3219" t="s">
        <v>2816</v>
      </c>
      <c r="AI30" s="3219">
        <v>935.42</v>
      </c>
      <c r="AJ30" s="3219" t="s">
        <v>2816</v>
      </c>
      <c r="AK30" s="3219">
        <v>4008.94</v>
      </c>
      <c r="AL30" s="3219" t="s">
        <v>2816</v>
      </c>
      <c r="AM30" s="3219" t="s">
        <v>2816</v>
      </c>
      <c r="AN30" s="3219" t="s">
        <v>2816</v>
      </c>
      <c r="AO30" s="3219" t="s">
        <v>3050</v>
      </c>
      <c r="AP30" s="3219" t="s">
        <v>2816</v>
      </c>
      <c r="AQ30" s="3219" t="s">
        <v>2816</v>
      </c>
      <c r="AR30" s="3219" t="s">
        <v>2816</v>
      </c>
      <c r="AS30" s="3219" t="s">
        <v>3377</v>
      </c>
    </row>
    <row r="31" spans="1:45" s="3214" customFormat="1" hidden="1">
      <c r="A31" s="3214" t="s">
        <v>3299</v>
      </c>
      <c r="B31" s="3214" t="s">
        <v>3044</v>
      </c>
      <c r="C31" s="3214" t="s">
        <v>3045</v>
      </c>
      <c r="D31" s="3214" t="s">
        <v>3251</v>
      </c>
      <c r="E31" s="3214" t="s">
        <v>2816</v>
      </c>
      <c r="F31" s="3214" t="s">
        <v>3299</v>
      </c>
      <c r="G31" s="3214" t="s">
        <v>3052</v>
      </c>
      <c r="H31" s="3214" t="s">
        <v>3300</v>
      </c>
      <c r="I31" s="3214" t="s">
        <v>3046</v>
      </c>
      <c r="J31" s="3214">
        <v>5590.16</v>
      </c>
      <c r="K31" s="3214">
        <v>18503.43</v>
      </c>
      <c r="L31" s="3214">
        <v>3.31</v>
      </c>
      <c r="M31" s="3214" t="s">
        <v>2816</v>
      </c>
      <c r="N31" s="3214" t="s">
        <v>3301</v>
      </c>
      <c r="O31" s="3214" t="s">
        <v>2816</v>
      </c>
      <c r="P31" s="3214" t="s">
        <v>2816</v>
      </c>
      <c r="Q31" s="3214" t="s">
        <v>2816</v>
      </c>
      <c r="R31" s="3214" t="s">
        <v>2816</v>
      </c>
      <c r="S31" s="3214" t="s">
        <v>2816</v>
      </c>
      <c r="T31" s="3214" t="s">
        <v>2816</v>
      </c>
      <c r="U31" s="3214" t="s">
        <v>2816</v>
      </c>
      <c r="V31" s="3214" t="s">
        <v>2816</v>
      </c>
      <c r="W31" s="3214" t="s">
        <v>3053</v>
      </c>
      <c r="X31" s="3214" t="s">
        <v>3302</v>
      </c>
      <c r="Y31" s="3214" t="s">
        <v>3055</v>
      </c>
      <c r="Z31" s="3214" t="s">
        <v>3303</v>
      </c>
      <c r="AA31" s="3214" t="s">
        <v>3303</v>
      </c>
      <c r="AB31" s="3214" t="s">
        <v>3304</v>
      </c>
      <c r="AC31" s="3214" t="s">
        <v>3049</v>
      </c>
      <c r="AD31" s="3214" t="s">
        <v>3305</v>
      </c>
      <c r="AE31" s="3214">
        <v>1500</v>
      </c>
      <c r="AF31" s="3214">
        <v>1559</v>
      </c>
      <c r="AG31" s="3214">
        <v>1559</v>
      </c>
      <c r="AH31" s="3214">
        <v>185.92</v>
      </c>
      <c r="AI31" s="3214">
        <v>185.92</v>
      </c>
      <c r="AJ31" s="3214">
        <v>842.54</v>
      </c>
      <c r="AK31" s="3214">
        <v>842.54</v>
      </c>
      <c r="AL31" s="3214" t="s">
        <v>2816</v>
      </c>
      <c r="AM31" s="3214" t="s">
        <v>2816</v>
      </c>
      <c r="AN31" s="3214">
        <v>0</v>
      </c>
      <c r="AO31" s="3214" t="s">
        <v>3050</v>
      </c>
      <c r="AP31" s="3214" t="s">
        <v>2816</v>
      </c>
      <c r="AQ31" s="3214" t="s">
        <v>2816</v>
      </c>
      <c r="AR31" s="3214" t="s">
        <v>2816</v>
      </c>
      <c r="AS31" s="3214" t="s">
        <v>3377</v>
      </c>
    </row>
    <row r="32" spans="1:45" hidden="1">
      <c r="A32" s="3178" t="s">
        <v>3306</v>
      </c>
      <c r="B32" s="3178" t="s">
        <v>3044</v>
      </c>
      <c r="C32" s="3178" t="s">
        <v>3045</v>
      </c>
      <c r="D32" s="3178" t="s">
        <v>3251</v>
      </c>
      <c r="E32" s="3178" t="s">
        <v>2816</v>
      </c>
      <c r="F32" s="3178" t="s">
        <v>3306</v>
      </c>
      <c r="G32" s="3178" t="s">
        <v>3052</v>
      </c>
      <c r="H32" s="3178" t="s">
        <v>3307</v>
      </c>
      <c r="I32" s="3178" t="s">
        <v>3046</v>
      </c>
      <c r="J32" s="3178">
        <v>17085.43</v>
      </c>
      <c r="K32" s="3178">
        <v>97045.24</v>
      </c>
      <c r="L32" s="3178">
        <v>5.68</v>
      </c>
      <c r="M32" s="3178" t="s">
        <v>2816</v>
      </c>
      <c r="N32" s="3178">
        <v>35.200000000000003</v>
      </c>
      <c r="O32" s="3178" t="s">
        <v>2816</v>
      </c>
      <c r="P32" s="3178" t="s">
        <v>2816</v>
      </c>
      <c r="Q32" s="3178" t="s">
        <v>2816</v>
      </c>
      <c r="R32" s="3178" t="s">
        <v>2816</v>
      </c>
      <c r="S32" s="3178" t="s">
        <v>2816</v>
      </c>
      <c r="T32" s="3178" t="s">
        <v>2816</v>
      </c>
      <c r="U32" s="3178" t="s">
        <v>2816</v>
      </c>
      <c r="V32" s="3178" t="s">
        <v>2816</v>
      </c>
      <c r="W32" s="3178" t="s">
        <v>3053</v>
      </c>
      <c r="X32" s="3178" t="s">
        <v>3302</v>
      </c>
      <c r="Y32" s="3178" t="s">
        <v>3055</v>
      </c>
      <c r="Z32" s="3178" t="s">
        <v>3303</v>
      </c>
      <c r="AA32" s="3178" t="s">
        <v>3303</v>
      </c>
      <c r="AB32" s="3178" t="s">
        <v>3308</v>
      </c>
      <c r="AC32" s="3178" t="s">
        <v>3049</v>
      </c>
      <c r="AD32" s="3178" t="s">
        <v>3309</v>
      </c>
      <c r="AE32" s="3178">
        <v>1500</v>
      </c>
      <c r="AF32" s="3178">
        <v>6018</v>
      </c>
      <c r="AG32" s="3178">
        <v>6018</v>
      </c>
      <c r="AH32" s="3178">
        <v>234.82</v>
      </c>
      <c r="AI32" s="3178">
        <v>234.82</v>
      </c>
      <c r="AJ32" s="3178">
        <v>620.12</v>
      </c>
      <c r="AK32" s="3178">
        <v>620.12</v>
      </c>
      <c r="AL32" s="3178" t="s">
        <v>2816</v>
      </c>
      <c r="AM32" s="3178" t="s">
        <v>2816</v>
      </c>
      <c r="AN32" s="3178">
        <v>0</v>
      </c>
      <c r="AO32" s="3178" t="s">
        <v>3050</v>
      </c>
      <c r="AP32" s="3178" t="s">
        <v>2816</v>
      </c>
      <c r="AQ32" s="3178" t="s">
        <v>2816</v>
      </c>
      <c r="AR32" s="3178" t="s">
        <v>2816</v>
      </c>
      <c r="AS32" s="3178" t="s">
        <v>3377</v>
      </c>
    </row>
    <row r="33" spans="1:45" hidden="1">
      <c r="A33" s="3178" t="s">
        <v>3178</v>
      </c>
      <c r="B33" s="3178" t="s">
        <v>3044</v>
      </c>
      <c r="C33" s="3178" t="s">
        <v>3045</v>
      </c>
      <c r="D33" s="3178" t="s">
        <v>3170</v>
      </c>
      <c r="E33" s="3178" t="s">
        <v>2816</v>
      </c>
      <c r="F33" s="3178" t="s">
        <v>3178</v>
      </c>
      <c r="G33" s="3178" t="s">
        <v>3052</v>
      </c>
      <c r="H33" s="3178" t="s">
        <v>3179</v>
      </c>
      <c r="I33" s="3178" t="s">
        <v>3046</v>
      </c>
      <c r="J33" s="3178">
        <v>11097.4</v>
      </c>
      <c r="K33" s="3178">
        <v>75906.22</v>
      </c>
      <c r="L33" s="3178" t="s">
        <v>3180</v>
      </c>
      <c r="M33" s="3178" t="s">
        <v>2816</v>
      </c>
      <c r="N33" s="3178" t="s">
        <v>3181</v>
      </c>
      <c r="O33" s="3178" t="s">
        <v>2816</v>
      </c>
      <c r="P33" s="3178" t="s">
        <v>2816</v>
      </c>
      <c r="Q33" s="3178" t="s">
        <v>2816</v>
      </c>
      <c r="R33" s="3178" t="s">
        <v>2816</v>
      </c>
      <c r="S33" s="3178" t="s">
        <v>2816</v>
      </c>
      <c r="T33" s="3178" t="s">
        <v>2816</v>
      </c>
      <c r="U33" s="3178" t="s">
        <v>2816</v>
      </c>
      <c r="V33" s="3178" t="s">
        <v>2816</v>
      </c>
      <c r="W33" s="3178" t="s">
        <v>3053</v>
      </c>
      <c r="X33" s="3178" t="s">
        <v>3182</v>
      </c>
      <c r="Y33" s="3178" t="s">
        <v>3183</v>
      </c>
      <c r="Z33" s="3178" t="s">
        <v>3184</v>
      </c>
      <c r="AA33" s="3178" t="s">
        <v>3184</v>
      </c>
      <c r="AB33" s="3178" t="s">
        <v>3185</v>
      </c>
      <c r="AC33" s="3178" t="s">
        <v>3049</v>
      </c>
      <c r="AD33" s="3178" t="s">
        <v>3186</v>
      </c>
      <c r="AE33" s="3178">
        <v>2500</v>
      </c>
      <c r="AF33" s="3178">
        <v>8330</v>
      </c>
      <c r="AG33" s="3178">
        <v>8330</v>
      </c>
      <c r="AH33" s="3178">
        <v>500.42</v>
      </c>
      <c r="AI33" s="3178">
        <v>500.42</v>
      </c>
      <c r="AJ33" s="3178">
        <v>1097.4000000000001</v>
      </c>
      <c r="AK33" s="3178">
        <v>1097.4100000000001</v>
      </c>
      <c r="AL33" s="3178" t="s">
        <v>2816</v>
      </c>
      <c r="AM33" s="3178" t="s">
        <v>2816</v>
      </c>
      <c r="AN33" s="3178">
        <v>0</v>
      </c>
      <c r="AO33" s="3178" t="s">
        <v>3050</v>
      </c>
      <c r="AP33" s="3178" t="s">
        <v>2816</v>
      </c>
      <c r="AQ33" s="3178" t="s">
        <v>2816</v>
      </c>
      <c r="AR33" s="3178" t="s">
        <v>2816</v>
      </c>
      <c r="AS33" s="3178" t="s">
        <v>3508</v>
      </c>
    </row>
    <row r="34" spans="1:45" hidden="1">
      <c r="A34" s="3178" t="s">
        <v>3310</v>
      </c>
      <c r="B34" s="3178" t="s">
        <v>3044</v>
      </c>
      <c r="C34" s="3178" t="s">
        <v>3045</v>
      </c>
      <c r="D34" s="3178" t="s">
        <v>3251</v>
      </c>
      <c r="E34" s="3178" t="s">
        <v>2816</v>
      </c>
      <c r="F34" s="3178" t="s">
        <v>3310</v>
      </c>
      <c r="G34" s="3178" t="s">
        <v>3052</v>
      </c>
      <c r="H34" s="3178" t="s">
        <v>3311</v>
      </c>
      <c r="I34" s="3178" t="s">
        <v>3046</v>
      </c>
      <c r="J34" s="3178">
        <v>30000.2</v>
      </c>
      <c r="K34" s="3178">
        <v>105000.7</v>
      </c>
      <c r="L34" s="3178" t="s">
        <v>3221</v>
      </c>
      <c r="M34" s="3178" t="s">
        <v>2816</v>
      </c>
      <c r="N34" s="3178" t="s">
        <v>3162</v>
      </c>
      <c r="O34" s="3178" t="s">
        <v>2816</v>
      </c>
      <c r="P34" s="3178" t="s">
        <v>2816</v>
      </c>
      <c r="Q34" s="3178" t="s">
        <v>2816</v>
      </c>
      <c r="R34" s="3178" t="s">
        <v>2816</v>
      </c>
      <c r="S34" s="3178" t="s">
        <v>2816</v>
      </c>
      <c r="T34" s="3178" t="s">
        <v>2816</v>
      </c>
      <c r="U34" s="3178" t="s">
        <v>2816</v>
      </c>
      <c r="V34" s="3178" t="s">
        <v>2816</v>
      </c>
      <c r="W34" s="3178" t="s">
        <v>3053</v>
      </c>
      <c r="X34" s="3178" t="s">
        <v>3312</v>
      </c>
      <c r="Y34" s="3178" t="s">
        <v>3056</v>
      </c>
      <c r="Z34" s="3178" t="s">
        <v>3313</v>
      </c>
      <c r="AA34" s="3178" t="s">
        <v>3313</v>
      </c>
      <c r="AB34" s="3178" t="s">
        <v>3314</v>
      </c>
      <c r="AC34" s="3178" t="s">
        <v>3049</v>
      </c>
      <c r="AD34" s="3178" t="s">
        <v>3315</v>
      </c>
      <c r="AE34" s="3178">
        <v>7500</v>
      </c>
      <c r="AF34" s="3178">
        <v>14972</v>
      </c>
      <c r="AG34" s="3178">
        <v>14972</v>
      </c>
      <c r="AH34" s="3178">
        <v>332.71</v>
      </c>
      <c r="AI34" s="3178">
        <v>332.71</v>
      </c>
      <c r="AJ34" s="3178">
        <v>1425.89</v>
      </c>
      <c r="AK34" s="3178">
        <v>1425.9</v>
      </c>
      <c r="AL34" s="3178" t="s">
        <v>2816</v>
      </c>
      <c r="AM34" s="3178" t="s">
        <v>2816</v>
      </c>
      <c r="AN34" s="3178">
        <v>0</v>
      </c>
      <c r="AO34" s="3178" t="s">
        <v>3050</v>
      </c>
      <c r="AP34" s="3178" t="s">
        <v>2816</v>
      </c>
      <c r="AQ34" s="3178" t="s">
        <v>2816</v>
      </c>
      <c r="AR34" s="3178" t="s">
        <v>2816</v>
      </c>
      <c r="AS34" s="3178" t="s">
        <v>3377</v>
      </c>
    </row>
    <row r="35" spans="1:45" hidden="1">
      <c r="A35" s="3178" t="s">
        <v>3187</v>
      </c>
      <c r="B35" s="3178" t="s">
        <v>3044</v>
      </c>
      <c r="C35" s="3178" t="s">
        <v>3051</v>
      </c>
      <c r="D35" s="3178" t="s">
        <v>3170</v>
      </c>
      <c r="E35" s="3178" t="s">
        <v>2816</v>
      </c>
      <c r="F35" s="3178" t="s">
        <v>3187</v>
      </c>
      <c r="G35" s="3178" t="s">
        <v>3052</v>
      </c>
      <c r="H35" s="3178" t="s">
        <v>3188</v>
      </c>
      <c r="I35" s="3178" t="s">
        <v>3057</v>
      </c>
      <c r="J35" s="3178">
        <v>100127.9</v>
      </c>
      <c r="K35" s="3178">
        <v>337831.5</v>
      </c>
      <c r="L35" s="3178" t="s">
        <v>3189</v>
      </c>
      <c r="M35" s="3178" t="s">
        <v>2816</v>
      </c>
      <c r="N35" s="3178" t="s">
        <v>3168</v>
      </c>
      <c r="O35" s="3178" t="s">
        <v>2816</v>
      </c>
      <c r="P35" s="3178" t="s">
        <v>3509</v>
      </c>
      <c r="Q35" s="3178" t="s">
        <v>2816</v>
      </c>
      <c r="R35" s="3178" t="s">
        <v>2816</v>
      </c>
      <c r="S35" s="3178" t="s">
        <v>2816</v>
      </c>
      <c r="T35" s="3178" t="s">
        <v>3510</v>
      </c>
      <c r="U35" s="3178" t="s">
        <v>3371</v>
      </c>
      <c r="V35" s="3178" t="s">
        <v>2816</v>
      </c>
      <c r="W35" s="3178" t="s">
        <v>3053</v>
      </c>
      <c r="X35" s="3178" t="s">
        <v>3190</v>
      </c>
      <c r="Y35" s="3178" t="s">
        <v>3059</v>
      </c>
      <c r="Z35" s="3178" t="s">
        <v>3191</v>
      </c>
      <c r="AA35" s="3178" t="s">
        <v>3191</v>
      </c>
      <c r="AB35" s="3178" t="s">
        <v>3192</v>
      </c>
      <c r="AC35" s="3178" t="s">
        <v>3049</v>
      </c>
      <c r="AD35" s="3178" t="s">
        <v>3193</v>
      </c>
      <c r="AE35" s="3178">
        <v>6500</v>
      </c>
      <c r="AF35" s="3178">
        <v>31480</v>
      </c>
      <c r="AG35" s="3178">
        <v>31480</v>
      </c>
      <c r="AH35" s="3178">
        <v>209.6</v>
      </c>
      <c r="AI35" s="3178">
        <v>209.6</v>
      </c>
      <c r="AJ35" s="3178">
        <v>931.82</v>
      </c>
      <c r="AK35" s="3178">
        <v>931.83</v>
      </c>
      <c r="AL35" s="3178" t="s">
        <v>2816</v>
      </c>
      <c r="AM35" s="3178" t="s">
        <v>2816</v>
      </c>
      <c r="AN35" s="3178">
        <v>0</v>
      </c>
      <c r="AO35" s="3178" t="s">
        <v>3060</v>
      </c>
      <c r="AP35" s="3178" t="s">
        <v>2816</v>
      </c>
      <c r="AQ35" s="3178" t="s">
        <v>2816</v>
      </c>
      <c r="AR35" s="3178" t="s">
        <v>2816</v>
      </c>
      <c r="AS35" s="3178" t="s">
        <v>3377</v>
      </c>
    </row>
    <row r="36" spans="1:45" hidden="1">
      <c r="A36" s="3178" t="s">
        <v>3187</v>
      </c>
      <c r="B36" s="3178" t="s">
        <v>3044</v>
      </c>
      <c r="C36" s="3178" t="s">
        <v>3051</v>
      </c>
      <c r="D36" s="3178" t="s">
        <v>3170</v>
      </c>
      <c r="E36" s="3178" t="s">
        <v>2816</v>
      </c>
      <c r="F36" s="3178" t="s">
        <v>3187</v>
      </c>
      <c r="G36" s="3178" t="s">
        <v>3052</v>
      </c>
      <c r="H36" s="3178" t="s">
        <v>3194</v>
      </c>
      <c r="I36" s="3178" t="s">
        <v>3057</v>
      </c>
      <c r="J36" s="3178">
        <v>76697.179999999993</v>
      </c>
      <c r="K36" s="3178">
        <v>257319</v>
      </c>
      <c r="L36" s="3178" t="s">
        <v>3195</v>
      </c>
      <c r="M36" s="3178" t="s">
        <v>2816</v>
      </c>
      <c r="N36" s="3178" t="s">
        <v>3196</v>
      </c>
      <c r="O36" s="3178" t="s">
        <v>2816</v>
      </c>
      <c r="P36" s="3178" t="s">
        <v>3509</v>
      </c>
      <c r="Q36" s="3178" t="s">
        <v>2816</v>
      </c>
      <c r="R36" s="3178" t="s">
        <v>2816</v>
      </c>
      <c r="S36" s="3178" t="s">
        <v>2816</v>
      </c>
      <c r="T36" s="3178" t="s">
        <v>3510</v>
      </c>
      <c r="U36" s="3178" t="s">
        <v>3371</v>
      </c>
      <c r="V36" s="3178" t="s">
        <v>2816</v>
      </c>
      <c r="W36" s="3178" t="s">
        <v>3053</v>
      </c>
      <c r="X36" s="3178" t="s">
        <v>3190</v>
      </c>
      <c r="Y36" s="3178" t="s">
        <v>3059</v>
      </c>
      <c r="Z36" s="3178" t="s">
        <v>3191</v>
      </c>
      <c r="AA36" s="3178" t="s">
        <v>3191</v>
      </c>
      <c r="AB36" s="3178" t="s">
        <v>3197</v>
      </c>
      <c r="AC36" s="3178" t="s">
        <v>3049</v>
      </c>
      <c r="AD36" s="3178" t="s">
        <v>3193</v>
      </c>
      <c r="AE36" s="3178">
        <v>5000</v>
      </c>
      <c r="AF36" s="3178">
        <v>24060</v>
      </c>
      <c r="AG36" s="3178">
        <v>24060</v>
      </c>
      <c r="AH36" s="3178">
        <v>209.13</v>
      </c>
      <c r="AI36" s="3178">
        <v>209.13</v>
      </c>
      <c r="AJ36" s="3178">
        <v>935.02</v>
      </c>
      <c r="AK36" s="3178">
        <v>935.02</v>
      </c>
      <c r="AL36" s="3178" t="s">
        <v>2816</v>
      </c>
      <c r="AM36" s="3178" t="s">
        <v>2816</v>
      </c>
      <c r="AN36" s="3178">
        <v>0</v>
      </c>
      <c r="AO36" s="3178" t="s">
        <v>3060</v>
      </c>
      <c r="AP36" s="3178" t="s">
        <v>2816</v>
      </c>
      <c r="AQ36" s="3178" t="s">
        <v>2816</v>
      </c>
      <c r="AR36" s="3178" t="s">
        <v>2816</v>
      </c>
      <c r="AS36" s="3178" t="s">
        <v>3377</v>
      </c>
    </row>
    <row r="37" spans="1:45" s="3219" customFormat="1" hidden="1">
      <c r="A37" s="3219" t="s">
        <v>3198</v>
      </c>
      <c r="B37" s="3219" t="s">
        <v>3044</v>
      </c>
      <c r="C37" s="3219" t="s">
        <v>3045</v>
      </c>
      <c r="D37" s="3219" t="s">
        <v>3170</v>
      </c>
      <c r="E37" s="3219" t="s">
        <v>2816</v>
      </c>
      <c r="F37" s="3219" t="s">
        <v>3198</v>
      </c>
      <c r="G37" s="3219" t="s">
        <v>3052</v>
      </c>
      <c r="H37" s="3219" t="s">
        <v>3199</v>
      </c>
      <c r="I37" s="3219" t="s">
        <v>3045</v>
      </c>
      <c r="J37" s="3219">
        <v>20579.64</v>
      </c>
      <c r="K37" s="3219">
        <v>57622.99</v>
      </c>
      <c r="L37" s="3219" t="s">
        <v>3062</v>
      </c>
      <c r="M37" s="3219" t="s">
        <v>2816</v>
      </c>
      <c r="N37" s="3219" t="s">
        <v>3162</v>
      </c>
      <c r="O37" s="3219" t="s">
        <v>2816</v>
      </c>
      <c r="P37" s="3219" t="s">
        <v>2816</v>
      </c>
      <c r="Q37" s="3219" t="s">
        <v>2816</v>
      </c>
      <c r="R37" s="3219" t="s">
        <v>2816</v>
      </c>
      <c r="S37" s="3219" t="s">
        <v>2816</v>
      </c>
      <c r="T37" s="3219" t="s">
        <v>2816</v>
      </c>
      <c r="U37" s="3219" t="s">
        <v>2816</v>
      </c>
      <c r="V37" s="3219" t="s">
        <v>2816</v>
      </c>
      <c r="W37" s="3219" t="s">
        <v>3053</v>
      </c>
      <c r="X37" s="3219" t="s">
        <v>3190</v>
      </c>
      <c r="Y37" s="3219" t="s">
        <v>3200</v>
      </c>
      <c r="Z37" s="3219" t="s">
        <v>3201</v>
      </c>
      <c r="AA37" s="3219" t="s">
        <v>3201</v>
      </c>
      <c r="AB37" s="3219" t="s">
        <v>3202</v>
      </c>
      <c r="AC37" s="3219" t="s">
        <v>3049</v>
      </c>
      <c r="AD37" s="3219" t="s">
        <v>3203</v>
      </c>
      <c r="AE37" s="3219">
        <v>13000</v>
      </c>
      <c r="AF37" s="3219">
        <v>25440</v>
      </c>
      <c r="AG37" s="3219">
        <v>25440</v>
      </c>
      <c r="AH37" s="3219">
        <v>824.12</v>
      </c>
      <c r="AI37" s="3219">
        <v>824.12</v>
      </c>
      <c r="AJ37" s="3219">
        <v>4414.8999999999996</v>
      </c>
      <c r="AK37" s="3219">
        <v>4414.8900000000003</v>
      </c>
      <c r="AL37" s="3219" t="s">
        <v>2816</v>
      </c>
      <c r="AM37" s="3219" t="s">
        <v>2816</v>
      </c>
      <c r="AN37" s="3219">
        <v>0</v>
      </c>
      <c r="AO37" s="3219" t="s">
        <v>3050</v>
      </c>
      <c r="AP37" s="3219" t="s">
        <v>2816</v>
      </c>
      <c r="AQ37" s="3219" t="s">
        <v>2816</v>
      </c>
      <c r="AR37" s="3219" t="s">
        <v>2816</v>
      </c>
      <c r="AS37" s="3219" t="s">
        <v>3377</v>
      </c>
    </row>
    <row r="38" spans="1:45" hidden="1">
      <c r="A38" s="3178" t="s">
        <v>3204</v>
      </c>
      <c r="B38" s="3178" t="s">
        <v>3044</v>
      </c>
      <c r="C38" s="3178" t="s">
        <v>3045</v>
      </c>
      <c r="D38" s="3178" t="s">
        <v>3170</v>
      </c>
      <c r="E38" s="3178" t="s">
        <v>2816</v>
      </c>
      <c r="F38" s="3178" t="s">
        <v>3204</v>
      </c>
      <c r="G38" s="3178" t="s">
        <v>3052</v>
      </c>
      <c r="H38" s="3178" t="s">
        <v>3205</v>
      </c>
      <c r="I38" s="3178" t="s">
        <v>3045</v>
      </c>
      <c r="J38" s="3178">
        <v>22425.25</v>
      </c>
      <c r="K38" s="3178">
        <v>62790.7</v>
      </c>
      <c r="L38" s="3178" t="s">
        <v>3062</v>
      </c>
      <c r="M38" s="3178" t="s">
        <v>2816</v>
      </c>
      <c r="N38" s="3178" t="s">
        <v>3162</v>
      </c>
      <c r="O38" s="3178" t="s">
        <v>2816</v>
      </c>
      <c r="P38" s="3178" t="s">
        <v>2816</v>
      </c>
      <c r="Q38" s="3178" t="s">
        <v>2816</v>
      </c>
      <c r="R38" s="3178" t="s">
        <v>2816</v>
      </c>
      <c r="S38" s="3178" t="s">
        <v>2816</v>
      </c>
      <c r="T38" s="3178" t="s">
        <v>2816</v>
      </c>
      <c r="U38" s="3178" t="s">
        <v>2816</v>
      </c>
      <c r="V38" s="3178" t="s">
        <v>2816</v>
      </c>
      <c r="W38" s="3178" t="s">
        <v>3053</v>
      </c>
      <c r="X38" s="3178" t="s">
        <v>3190</v>
      </c>
      <c r="Y38" s="3178" t="s">
        <v>3200</v>
      </c>
      <c r="Z38" s="3178" t="s">
        <v>3201</v>
      </c>
      <c r="AA38" s="3178" t="s">
        <v>3201</v>
      </c>
      <c r="AB38" s="3178" t="s">
        <v>3206</v>
      </c>
      <c r="AC38" s="3178" t="s">
        <v>3049</v>
      </c>
      <c r="AD38" s="3178" t="s">
        <v>3203</v>
      </c>
      <c r="AE38" s="3178">
        <v>14000</v>
      </c>
      <c r="AF38" s="3178">
        <v>27720</v>
      </c>
      <c r="AG38" s="3178">
        <v>27720</v>
      </c>
      <c r="AH38" s="3178">
        <v>824.07</v>
      </c>
      <c r="AI38" s="3178">
        <v>824.07</v>
      </c>
      <c r="AJ38" s="3178">
        <v>4414.66</v>
      </c>
      <c r="AK38" s="3178">
        <v>4414.67</v>
      </c>
      <c r="AL38" s="3178" t="s">
        <v>2816</v>
      </c>
      <c r="AM38" s="3178" t="s">
        <v>2816</v>
      </c>
      <c r="AN38" s="3178">
        <v>0</v>
      </c>
      <c r="AO38" s="3178" t="s">
        <v>3050</v>
      </c>
      <c r="AP38" s="3178" t="s">
        <v>2816</v>
      </c>
      <c r="AQ38" s="3178" t="s">
        <v>2816</v>
      </c>
      <c r="AR38" s="3178" t="s">
        <v>2816</v>
      </c>
      <c r="AS38" s="3178" t="s">
        <v>3377</v>
      </c>
    </row>
    <row r="39" spans="1:45" hidden="1">
      <c r="A39" s="3178" t="s">
        <v>3207</v>
      </c>
      <c r="B39" s="3178" t="s">
        <v>3044</v>
      </c>
      <c r="C39" s="3178" t="s">
        <v>3051</v>
      </c>
      <c r="D39" s="3178" t="s">
        <v>3170</v>
      </c>
      <c r="E39" s="3178" t="s">
        <v>2816</v>
      </c>
      <c r="F39" s="3178" t="s">
        <v>3207</v>
      </c>
      <c r="G39" s="3178" t="s">
        <v>3052</v>
      </c>
      <c r="H39" s="3178" t="s">
        <v>3208</v>
      </c>
      <c r="I39" s="3178" t="s">
        <v>3057</v>
      </c>
      <c r="J39" s="3178">
        <v>121784.5</v>
      </c>
      <c r="K39" s="3178">
        <v>340996.7</v>
      </c>
      <c r="L39" s="3178" t="s">
        <v>3062</v>
      </c>
      <c r="M39" s="3178" t="s">
        <v>2816</v>
      </c>
      <c r="N39" s="3178" t="s">
        <v>3209</v>
      </c>
      <c r="O39" s="3178" t="s">
        <v>2816</v>
      </c>
      <c r="P39" s="3178" t="s">
        <v>2816</v>
      </c>
      <c r="Q39" s="3178" t="s">
        <v>2816</v>
      </c>
      <c r="R39" s="3178" t="s">
        <v>2816</v>
      </c>
      <c r="S39" s="3178" t="s">
        <v>2816</v>
      </c>
      <c r="T39" s="3178" t="s">
        <v>2816</v>
      </c>
      <c r="U39" s="3178" t="s">
        <v>2816</v>
      </c>
      <c r="V39" s="3178" t="s">
        <v>2816</v>
      </c>
      <c r="W39" s="3178" t="s">
        <v>3053</v>
      </c>
      <c r="X39" s="3178" t="s">
        <v>3210</v>
      </c>
      <c r="Y39" s="3178" t="s">
        <v>3211</v>
      </c>
      <c r="Z39" s="3178" t="s">
        <v>3212</v>
      </c>
      <c r="AA39" s="3178" t="s">
        <v>3212</v>
      </c>
      <c r="AB39" s="3178" t="s">
        <v>3213</v>
      </c>
      <c r="AC39" s="3178" t="s">
        <v>3049</v>
      </c>
      <c r="AD39" s="3178" t="s">
        <v>3214</v>
      </c>
      <c r="AE39" s="3178">
        <v>30000</v>
      </c>
      <c r="AF39" s="3178">
        <v>60750</v>
      </c>
      <c r="AG39" s="3178">
        <v>60750</v>
      </c>
      <c r="AH39" s="3178">
        <v>332.55</v>
      </c>
      <c r="AI39" s="3178">
        <v>332.55</v>
      </c>
      <c r="AJ39" s="3178">
        <v>1781.54</v>
      </c>
      <c r="AK39" s="3178">
        <v>1781.53</v>
      </c>
      <c r="AL39" s="3178" t="s">
        <v>2816</v>
      </c>
      <c r="AM39" s="3178" t="s">
        <v>2816</v>
      </c>
      <c r="AN39" s="3178">
        <v>0</v>
      </c>
      <c r="AO39" s="3178" t="s">
        <v>3060</v>
      </c>
      <c r="AP39" s="3178" t="s">
        <v>2816</v>
      </c>
      <c r="AQ39" s="3178" t="s">
        <v>2816</v>
      </c>
      <c r="AR39" s="3178" t="s">
        <v>2816</v>
      </c>
      <c r="AS39" s="3178" t="s">
        <v>3377</v>
      </c>
    </row>
    <row r="40" spans="1:45" s="3219" customFormat="1" hidden="1">
      <c r="A40" s="3219" t="s">
        <v>3215</v>
      </c>
      <c r="B40" s="3219" t="s">
        <v>3044</v>
      </c>
      <c r="C40" s="3219" t="s">
        <v>3045</v>
      </c>
      <c r="D40" s="3219" t="s">
        <v>3170</v>
      </c>
      <c r="E40" s="3219" t="s">
        <v>2816</v>
      </c>
      <c r="F40" s="3219" t="s">
        <v>3215</v>
      </c>
      <c r="G40" s="3219" t="s">
        <v>3052</v>
      </c>
      <c r="H40" s="3219" t="s">
        <v>3216</v>
      </c>
      <c r="I40" s="3219" t="s">
        <v>3045</v>
      </c>
      <c r="J40" s="3219">
        <v>47760.51</v>
      </c>
      <c r="K40" s="3219">
        <v>143281.5</v>
      </c>
      <c r="L40" s="3219" t="s">
        <v>3217</v>
      </c>
      <c r="M40" s="3219" t="s">
        <v>2816</v>
      </c>
      <c r="N40" s="3219" t="s">
        <v>3047</v>
      </c>
      <c r="O40" s="3219" t="s">
        <v>2816</v>
      </c>
      <c r="P40" s="3219" t="s">
        <v>2816</v>
      </c>
      <c r="Q40" s="3219" t="s">
        <v>2816</v>
      </c>
      <c r="R40" s="3219" t="s">
        <v>2816</v>
      </c>
      <c r="S40" s="3219" t="s">
        <v>2816</v>
      </c>
      <c r="T40" s="3219" t="s">
        <v>2816</v>
      </c>
      <c r="U40" s="3219" t="s">
        <v>2816</v>
      </c>
      <c r="V40" s="3219" t="s">
        <v>2816</v>
      </c>
      <c r="W40" s="3219" t="s">
        <v>3053</v>
      </c>
      <c r="X40" s="3219" t="s">
        <v>3163</v>
      </c>
      <c r="Y40" s="3219" t="s">
        <v>3164</v>
      </c>
      <c r="Z40" s="3219" t="s">
        <v>3165</v>
      </c>
      <c r="AA40" s="3219" t="s">
        <v>3165</v>
      </c>
      <c r="AB40" s="3219" t="s">
        <v>3218</v>
      </c>
      <c r="AC40" s="3219" t="s">
        <v>3049</v>
      </c>
      <c r="AD40" s="3219" t="s">
        <v>3203</v>
      </c>
      <c r="AE40" s="3219">
        <v>26000</v>
      </c>
      <c r="AF40" s="3219">
        <v>59040</v>
      </c>
      <c r="AG40" s="3219">
        <v>59040</v>
      </c>
      <c r="AH40" s="3219">
        <v>824.11</v>
      </c>
      <c r="AI40" s="3219">
        <v>824.11</v>
      </c>
      <c r="AJ40" s="3219">
        <v>4120.5600000000004</v>
      </c>
      <c r="AK40" s="3219">
        <v>4120.5600000000004</v>
      </c>
      <c r="AL40" s="3219" t="s">
        <v>2816</v>
      </c>
      <c r="AM40" s="3219" t="s">
        <v>2816</v>
      </c>
      <c r="AN40" s="3219">
        <v>0</v>
      </c>
      <c r="AO40" s="3219" t="s">
        <v>3050</v>
      </c>
      <c r="AP40" s="3219" t="s">
        <v>2816</v>
      </c>
      <c r="AQ40" s="3219" t="s">
        <v>2816</v>
      </c>
      <c r="AR40" s="3219" t="s">
        <v>2816</v>
      </c>
      <c r="AS40" s="3219" t="s">
        <v>3377</v>
      </c>
    </row>
    <row r="41" spans="1:45" s="3216" customFormat="1">
      <c r="A41" s="3216" t="s">
        <v>3159</v>
      </c>
      <c r="B41" s="3216" t="s">
        <v>3044</v>
      </c>
      <c r="C41" s="3216" t="s">
        <v>3045</v>
      </c>
      <c r="D41" s="3216" t="s">
        <v>3151</v>
      </c>
      <c r="E41" s="3216" t="s">
        <v>2816</v>
      </c>
      <c r="F41" s="3216" t="s">
        <v>3159</v>
      </c>
      <c r="G41" s="3216" t="s">
        <v>3052</v>
      </c>
      <c r="H41" s="3216" t="s">
        <v>3160</v>
      </c>
      <c r="I41" s="3216" t="s">
        <v>3046</v>
      </c>
      <c r="J41" s="3216">
        <v>91611.35</v>
      </c>
      <c r="K41" s="3216">
        <v>256511.8</v>
      </c>
      <c r="L41" s="3216" t="s">
        <v>3161</v>
      </c>
      <c r="M41" s="3216" t="s">
        <v>2816</v>
      </c>
      <c r="N41" s="3216" t="s">
        <v>3162</v>
      </c>
      <c r="O41" s="3178" t="s">
        <v>2816</v>
      </c>
      <c r="P41" s="3178" t="s">
        <v>2816</v>
      </c>
      <c r="Q41" s="3178" t="s">
        <v>2816</v>
      </c>
      <c r="R41" s="3178" t="s">
        <v>2816</v>
      </c>
      <c r="S41" s="3178" t="s">
        <v>2816</v>
      </c>
      <c r="T41" s="3178" t="s">
        <v>2816</v>
      </c>
      <c r="U41" s="3178" t="s">
        <v>2816</v>
      </c>
      <c r="V41" s="3178" t="s">
        <v>2816</v>
      </c>
      <c r="W41" s="3216" t="s">
        <v>3053</v>
      </c>
      <c r="X41" s="3216" t="s">
        <v>3163</v>
      </c>
      <c r="Y41" s="3216" t="s">
        <v>3164</v>
      </c>
      <c r="Z41" s="3216" t="s">
        <v>3165</v>
      </c>
      <c r="AA41" s="3216" t="s">
        <v>3165</v>
      </c>
      <c r="AB41" s="3216" t="s">
        <v>3166</v>
      </c>
      <c r="AC41" s="3216" t="s">
        <v>3049</v>
      </c>
      <c r="AD41" s="3216" t="s">
        <v>3167</v>
      </c>
      <c r="AE41" s="3216">
        <v>35000</v>
      </c>
      <c r="AF41" s="3216">
        <v>69000</v>
      </c>
      <c r="AG41" s="3216">
        <v>185000</v>
      </c>
      <c r="AH41" s="3216">
        <v>502.12</v>
      </c>
      <c r="AI41" s="3216">
        <v>1346.27</v>
      </c>
      <c r="AJ41" s="3216">
        <v>2689.93</v>
      </c>
      <c r="AK41" s="3216">
        <v>7212.14</v>
      </c>
      <c r="AL41" s="3216" t="s">
        <v>2816</v>
      </c>
      <c r="AM41" s="3216" t="s">
        <v>2816</v>
      </c>
      <c r="AN41" s="3216">
        <v>168.12</v>
      </c>
      <c r="AO41" s="3216" t="s">
        <v>3050</v>
      </c>
      <c r="AP41" s="3216" t="s">
        <v>2816</v>
      </c>
      <c r="AQ41" s="3216" t="s">
        <v>2816</v>
      </c>
      <c r="AR41" s="3216" t="s">
        <v>2816</v>
      </c>
      <c r="AS41" s="3216" t="s">
        <v>3377</v>
      </c>
    </row>
    <row r="42" spans="1:45" hidden="1">
      <c r="A42" s="3178" t="s">
        <v>3219</v>
      </c>
      <c r="B42" s="3178" t="s">
        <v>3044</v>
      </c>
      <c r="C42" s="3178" t="s">
        <v>3045</v>
      </c>
      <c r="D42" s="3178" t="s">
        <v>3170</v>
      </c>
      <c r="E42" s="3178" t="s">
        <v>2816</v>
      </c>
      <c r="F42" s="3178" t="s">
        <v>3219</v>
      </c>
      <c r="G42" s="3178" t="s">
        <v>3052</v>
      </c>
      <c r="H42" s="3178" t="s">
        <v>3220</v>
      </c>
      <c r="I42" s="3178" t="s">
        <v>3045</v>
      </c>
      <c r="J42" s="3178">
        <v>22802.17</v>
      </c>
      <c r="K42" s="3178">
        <v>79807.600000000006</v>
      </c>
      <c r="L42" s="3178" t="s">
        <v>3221</v>
      </c>
      <c r="M42" s="3178" t="s">
        <v>2816</v>
      </c>
      <c r="N42" s="3178" t="s">
        <v>3047</v>
      </c>
      <c r="O42" s="3178" t="s">
        <v>2816</v>
      </c>
      <c r="P42" s="3178" t="s">
        <v>2816</v>
      </c>
      <c r="Q42" s="3178" t="s">
        <v>2816</v>
      </c>
      <c r="R42" s="3178" t="s">
        <v>2816</v>
      </c>
      <c r="S42" s="3178" t="s">
        <v>2816</v>
      </c>
      <c r="T42" s="3178" t="s">
        <v>2816</v>
      </c>
      <c r="U42" s="3178" t="s">
        <v>2816</v>
      </c>
      <c r="V42" s="3178" t="s">
        <v>2816</v>
      </c>
      <c r="W42" s="3178" t="s">
        <v>3053</v>
      </c>
      <c r="X42" s="3178" t="s">
        <v>3163</v>
      </c>
      <c r="Y42" s="3178" t="s">
        <v>3164</v>
      </c>
      <c r="Z42" s="3178" t="s">
        <v>3165</v>
      </c>
      <c r="AA42" s="3178" t="s">
        <v>3165</v>
      </c>
      <c r="AB42" s="3178" t="s">
        <v>3222</v>
      </c>
      <c r="AC42" s="3178" t="s">
        <v>3049</v>
      </c>
      <c r="AD42" s="3178" t="s">
        <v>3203</v>
      </c>
      <c r="AE42" s="3178">
        <v>13000</v>
      </c>
      <c r="AF42" s="3178">
        <v>28190</v>
      </c>
      <c r="AG42" s="3178">
        <v>28190</v>
      </c>
      <c r="AH42" s="3178">
        <v>824.19</v>
      </c>
      <c r="AI42" s="3178">
        <v>824.19</v>
      </c>
      <c r="AJ42" s="3178">
        <v>3532.24</v>
      </c>
      <c r="AK42" s="3178">
        <v>3532.25</v>
      </c>
      <c r="AL42" s="3178" t="s">
        <v>2816</v>
      </c>
      <c r="AM42" s="3178" t="s">
        <v>2816</v>
      </c>
      <c r="AN42" s="3178">
        <v>0</v>
      </c>
      <c r="AO42" s="3178" t="s">
        <v>3050</v>
      </c>
      <c r="AP42" s="3178" t="s">
        <v>2816</v>
      </c>
      <c r="AQ42" s="3178" t="s">
        <v>2816</v>
      </c>
      <c r="AR42" s="3178" t="s">
        <v>2816</v>
      </c>
      <c r="AS42" s="3178" t="s">
        <v>3377</v>
      </c>
    </row>
    <row r="43" spans="1:45" hidden="1">
      <c r="A43" s="3178" t="s">
        <v>3223</v>
      </c>
      <c r="B43" s="3178" t="s">
        <v>3044</v>
      </c>
      <c r="C43" s="3178" t="s">
        <v>3045</v>
      </c>
      <c r="D43" s="3178" t="s">
        <v>3170</v>
      </c>
      <c r="E43" s="3178" t="s">
        <v>2816</v>
      </c>
      <c r="F43" s="3178" t="s">
        <v>3223</v>
      </c>
      <c r="G43" s="3178" t="s">
        <v>3052</v>
      </c>
      <c r="H43" s="3178" t="s">
        <v>3224</v>
      </c>
      <c r="I43" s="3178" t="s">
        <v>3045</v>
      </c>
      <c r="J43" s="3178">
        <v>21036.2</v>
      </c>
      <c r="K43" s="3178">
        <v>73626.7</v>
      </c>
      <c r="L43" s="3178" t="s">
        <v>3221</v>
      </c>
      <c r="M43" s="3178" t="s">
        <v>2816</v>
      </c>
      <c r="N43" s="3178" t="s">
        <v>3047</v>
      </c>
      <c r="O43" s="3178" t="s">
        <v>2816</v>
      </c>
      <c r="P43" s="3178" t="s">
        <v>2816</v>
      </c>
      <c r="Q43" s="3178" t="s">
        <v>2816</v>
      </c>
      <c r="R43" s="3178" t="s">
        <v>2816</v>
      </c>
      <c r="S43" s="3178" t="s">
        <v>2816</v>
      </c>
      <c r="T43" s="3178" t="s">
        <v>2816</v>
      </c>
      <c r="U43" s="3178" t="s">
        <v>2816</v>
      </c>
      <c r="V43" s="3178" t="s">
        <v>2816</v>
      </c>
      <c r="W43" s="3178" t="s">
        <v>3053</v>
      </c>
      <c r="X43" s="3178" t="s">
        <v>3163</v>
      </c>
      <c r="Y43" s="3178" t="s">
        <v>3164</v>
      </c>
      <c r="Z43" s="3178" t="s">
        <v>3165</v>
      </c>
      <c r="AA43" s="3178" t="s">
        <v>3165</v>
      </c>
      <c r="AB43" s="3178" t="s">
        <v>3225</v>
      </c>
      <c r="AC43" s="3178" t="s">
        <v>3049</v>
      </c>
      <c r="AD43" s="3178" t="s">
        <v>3203</v>
      </c>
      <c r="AE43" s="3178">
        <v>12000</v>
      </c>
      <c r="AF43" s="3178">
        <v>26010</v>
      </c>
      <c r="AG43" s="3178">
        <v>26010</v>
      </c>
      <c r="AH43" s="3178">
        <v>824.29</v>
      </c>
      <c r="AI43" s="3178">
        <v>824.29</v>
      </c>
      <c r="AJ43" s="3178">
        <v>3532.68</v>
      </c>
      <c r="AK43" s="3178">
        <v>3532.69</v>
      </c>
      <c r="AL43" s="3178" t="s">
        <v>2816</v>
      </c>
      <c r="AM43" s="3178" t="s">
        <v>2816</v>
      </c>
      <c r="AN43" s="3178">
        <v>0</v>
      </c>
      <c r="AO43" s="3178" t="s">
        <v>3050</v>
      </c>
      <c r="AP43" s="3178" t="s">
        <v>2816</v>
      </c>
      <c r="AQ43" s="3178" t="s">
        <v>2816</v>
      </c>
      <c r="AR43" s="3178" t="s">
        <v>2816</v>
      </c>
      <c r="AS43" s="3178" t="s">
        <v>3377</v>
      </c>
    </row>
    <row r="44" spans="1:45" hidden="1">
      <c r="A44" s="3178" t="s">
        <v>3226</v>
      </c>
      <c r="B44" s="3178" t="s">
        <v>3044</v>
      </c>
      <c r="C44" s="3178" t="s">
        <v>3045</v>
      </c>
      <c r="D44" s="3178" t="s">
        <v>3170</v>
      </c>
      <c r="E44" s="3178" t="s">
        <v>2816</v>
      </c>
      <c r="F44" s="3178" t="s">
        <v>3226</v>
      </c>
      <c r="G44" s="3178" t="s">
        <v>3052</v>
      </c>
      <c r="H44" s="3178" t="s">
        <v>3227</v>
      </c>
      <c r="I44" s="3178" t="s">
        <v>3045</v>
      </c>
      <c r="J44" s="3178">
        <v>51754.7</v>
      </c>
      <c r="K44" s="3178">
        <v>155264.1</v>
      </c>
      <c r="L44" s="3178" t="s">
        <v>3217</v>
      </c>
      <c r="M44" s="3178" t="s">
        <v>2816</v>
      </c>
      <c r="N44" s="3178" t="s">
        <v>3047</v>
      </c>
      <c r="O44" s="3178" t="s">
        <v>2816</v>
      </c>
      <c r="P44" s="3178" t="s">
        <v>2816</v>
      </c>
      <c r="Q44" s="3178" t="s">
        <v>2816</v>
      </c>
      <c r="R44" s="3178" t="s">
        <v>2816</v>
      </c>
      <c r="S44" s="3178" t="s">
        <v>2816</v>
      </c>
      <c r="T44" s="3178" t="s">
        <v>2816</v>
      </c>
      <c r="U44" s="3178" t="s">
        <v>2816</v>
      </c>
      <c r="V44" s="3178" t="s">
        <v>2816</v>
      </c>
      <c r="W44" s="3178" t="s">
        <v>3053</v>
      </c>
      <c r="X44" s="3178" t="s">
        <v>3163</v>
      </c>
      <c r="Y44" s="3178" t="s">
        <v>3164</v>
      </c>
      <c r="Z44" s="3178" t="s">
        <v>3165</v>
      </c>
      <c r="AA44" s="3178" t="s">
        <v>3165</v>
      </c>
      <c r="AB44" s="3178" t="s">
        <v>3228</v>
      </c>
      <c r="AC44" s="3178" t="s">
        <v>3049</v>
      </c>
      <c r="AD44" s="3178" t="s">
        <v>3203</v>
      </c>
      <c r="AE44" s="3178">
        <v>28000</v>
      </c>
      <c r="AF44" s="3178">
        <v>63970</v>
      </c>
      <c r="AG44" s="3178">
        <v>63970</v>
      </c>
      <c r="AH44" s="3178">
        <v>824.02</v>
      </c>
      <c r="AI44" s="3178">
        <v>824.02</v>
      </c>
      <c r="AJ44" s="3178">
        <v>4120.07</v>
      </c>
      <c r="AK44" s="3178">
        <v>4120.07</v>
      </c>
      <c r="AL44" s="3178" t="s">
        <v>2816</v>
      </c>
      <c r="AM44" s="3178" t="s">
        <v>2816</v>
      </c>
      <c r="AN44" s="3178">
        <v>0</v>
      </c>
      <c r="AO44" s="3178" t="s">
        <v>3050</v>
      </c>
      <c r="AP44" s="3178" t="s">
        <v>2816</v>
      </c>
      <c r="AQ44" s="3178" t="s">
        <v>2816</v>
      </c>
      <c r="AR44" s="3178" t="s">
        <v>2816</v>
      </c>
      <c r="AS44" s="3178" t="s">
        <v>3377</v>
      </c>
    </row>
    <row r="45" spans="1:45" hidden="1">
      <c r="A45" s="3178" t="s">
        <v>3229</v>
      </c>
      <c r="B45" s="3178" t="s">
        <v>3044</v>
      </c>
      <c r="C45" s="3178" t="s">
        <v>3045</v>
      </c>
      <c r="D45" s="3178" t="s">
        <v>3170</v>
      </c>
      <c r="E45" s="3178" t="s">
        <v>2816</v>
      </c>
      <c r="F45" s="3178" t="s">
        <v>3229</v>
      </c>
      <c r="G45" s="3178" t="s">
        <v>3052</v>
      </c>
      <c r="H45" s="3178" t="s">
        <v>3230</v>
      </c>
      <c r="I45" s="3178" t="s">
        <v>3057</v>
      </c>
      <c r="J45" s="3178">
        <v>44701.4</v>
      </c>
      <c r="K45" s="3178">
        <v>125163.9</v>
      </c>
      <c r="L45" s="3178" t="s">
        <v>3062</v>
      </c>
      <c r="M45" s="3178" t="s">
        <v>2816</v>
      </c>
      <c r="N45" s="3178" t="s">
        <v>3162</v>
      </c>
      <c r="O45" s="3178" t="s">
        <v>2816</v>
      </c>
      <c r="P45" s="3178" t="s">
        <v>2816</v>
      </c>
      <c r="Q45" s="3178" t="s">
        <v>2816</v>
      </c>
      <c r="R45" s="3178" t="s">
        <v>2816</v>
      </c>
      <c r="S45" s="3178" t="s">
        <v>2816</v>
      </c>
      <c r="T45" s="3178" t="s">
        <v>2816</v>
      </c>
      <c r="U45" s="3178" t="s">
        <v>2816</v>
      </c>
      <c r="V45" s="3178" t="s">
        <v>2816</v>
      </c>
      <c r="W45" s="3178" t="s">
        <v>3053</v>
      </c>
      <c r="X45" s="3178" t="s">
        <v>3231</v>
      </c>
      <c r="Y45" s="3178" t="s">
        <v>3232</v>
      </c>
      <c r="Z45" s="3178" t="s">
        <v>3233</v>
      </c>
      <c r="AA45" s="3178" t="s">
        <v>3233</v>
      </c>
      <c r="AB45" s="3178" t="s">
        <v>3234</v>
      </c>
      <c r="AC45" s="3178" t="s">
        <v>3049</v>
      </c>
      <c r="AD45" s="3178" t="s">
        <v>3235</v>
      </c>
      <c r="AE45" s="3178">
        <v>3760</v>
      </c>
      <c r="AF45" s="3178">
        <v>18800</v>
      </c>
      <c r="AG45" s="3178">
        <v>18800</v>
      </c>
      <c r="AH45" s="3178">
        <v>280.38</v>
      </c>
      <c r="AI45" s="3178">
        <v>280.38</v>
      </c>
      <c r="AJ45" s="3178">
        <v>1502.03</v>
      </c>
      <c r="AK45" s="3178">
        <v>1502.02</v>
      </c>
      <c r="AL45" s="3178" t="s">
        <v>2816</v>
      </c>
      <c r="AM45" s="3178" t="s">
        <v>2816</v>
      </c>
      <c r="AN45" s="3178">
        <v>0</v>
      </c>
      <c r="AO45" s="3178" t="s">
        <v>3063</v>
      </c>
      <c r="AP45" s="3178" t="s">
        <v>2816</v>
      </c>
      <c r="AQ45" s="3178" t="s">
        <v>2816</v>
      </c>
      <c r="AR45" s="3178" t="s">
        <v>2816</v>
      </c>
      <c r="AS45" s="3178" t="s">
        <v>3377</v>
      </c>
    </row>
    <row r="46" spans="1:45" hidden="1">
      <c r="A46" s="3178" t="s">
        <v>3316</v>
      </c>
      <c r="B46" s="3178" t="s">
        <v>3044</v>
      </c>
      <c r="C46" s="3178" t="s">
        <v>3045</v>
      </c>
      <c r="D46" s="3178" t="s">
        <v>3251</v>
      </c>
      <c r="E46" s="3178" t="s">
        <v>2816</v>
      </c>
      <c r="F46" s="3178" t="s">
        <v>3316</v>
      </c>
      <c r="G46" s="3178" t="s">
        <v>3052</v>
      </c>
      <c r="H46" s="3178" t="s">
        <v>3317</v>
      </c>
      <c r="I46" s="3178" t="s">
        <v>922</v>
      </c>
      <c r="J46" s="3178">
        <v>66811.09</v>
      </c>
      <c r="K46" s="3178">
        <v>286619.59999999998</v>
      </c>
      <c r="L46" s="3178" t="s">
        <v>3318</v>
      </c>
      <c r="M46" s="3178" t="s">
        <v>2816</v>
      </c>
      <c r="N46" s="3178" t="s">
        <v>3319</v>
      </c>
      <c r="O46" s="3178" t="s">
        <v>2816</v>
      </c>
      <c r="P46" s="3178" t="s">
        <v>2816</v>
      </c>
      <c r="Q46" s="3178" t="s">
        <v>2816</v>
      </c>
      <c r="R46" s="3178" t="s">
        <v>2816</v>
      </c>
      <c r="S46" s="3178" t="s">
        <v>2816</v>
      </c>
      <c r="T46" s="3178" t="s">
        <v>2816</v>
      </c>
      <c r="U46" s="3178" t="s">
        <v>2816</v>
      </c>
      <c r="V46" s="3178" t="s">
        <v>2816</v>
      </c>
      <c r="W46" s="3178" t="s">
        <v>3053</v>
      </c>
      <c r="X46" s="3178" t="s">
        <v>3320</v>
      </c>
      <c r="Y46" s="3178" t="s">
        <v>3321</v>
      </c>
      <c r="Z46" s="3178" t="s">
        <v>3322</v>
      </c>
      <c r="AA46" s="3178" t="s">
        <v>3322</v>
      </c>
      <c r="AB46" s="3178" t="s">
        <v>3323</v>
      </c>
      <c r="AC46" s="3178" t="s">
        <v>3049</v>
      </c>
      <c r="AD46" s="3178" t="s">
        <v>3324</v>
      </c>
      <c r="AE46" s="3178">
        <v>6200</v>
      </c>
      <c r="AF46" s="3178">
        <v>30760</v>
      </c>
      <c r="AG46" s="3178">
        <v>30760</v>
      </c>
      <c r="AH46" s="3178">
        <v>306.94</v>
      </c>
      <c r="AI46" s="3178">
        <v>306.94</v>
      </c>
      <c r="AJ46" s="3178">
        <v>1073.19</v>
      </c>
      <c r="AK46" s="3178">
        <v>1073.2</v>
      </c>
      <c r="AL46" s="3178" t="s">
        <v>2816</v>
      </c>
      <c r="AM46" s="3178" t="s">
        <v>2816</v>
      </c>
      <c r="AN46" s="3178">
        <v>0</v>
      </c>
      <c r="AO46" s="3178" t="s">
        <v>3050</v>
      </c>
      <c r="AP46" s="3178" t="s">
        <v>2816</v>
      </c>
      <c r="AQ46" s="3178" t="s">
        <v>2816</v>
      </c>
      <c r="AR46" s="3178" t="s">
        <v>2816</v>
      </c>
      <c r="AS46" s="3178" t="s">
        <v>3377</v>
      </c>
    </row>
    <row r="47" spans="1:45" hidden="1">
      <c r="A47" s="3178" t="s">
        <v>3325</v>
      </c>
      <c r="B47" s="3178" t="s">
        <v>3044</v>
      </c>
      <c r="C47" s="3178" t="s">
        <v>3045</v>
      </c>
      <c r="D47" s="3178" t="s">
        <v>3251</v>
      </c>
      <c r="E47" s="3178" t="s">
        <v>2816</v>
      </c>
      <c r="F47" s="3178" t="s">
        <v>3325</v>
      </c>
      <c r="G47" s="3178" t="s">
        <v>3052</v>
      </c>
      <c r="H47" s="3178" t="s">
        <v>3326</v>
      </c>
      <c r="I47" s="3178" t="s">
        <v>922</v>
      </c>
      <c r="J47" s="3178">
        <v>72097.3</v>
      </c>
      <c r="K47" s="3178">
        <v>337415.4</v>
      </c>
      <c r="L47" s="3178" t="s">
        <v>3327</v>
      </c>
      <c r="M47" s="3178" t="s">
        <v>2816</v>
      </c>
      <c r="N47" s="3178" t="s">
        <v>3328</v>
      </c>
      <c r="O47" s="3178" t="s">
        <v>2816</v>
      </c>
      <c r="P47" s="3178" t="s">
        <v>2816</v>
      </c>
      <c r="Q47" s="3178" t="s">
        <v>2816</v>
      </c>
      <c r="R47" s="3178" t="s">
        <v>2816</v>
      </c>
      <c r="S47" s="3178" t="s">
        <v>2816</v>
      </c>
      <c r="T47" s="3178" t="s">
        <v>2816</v>
      </c>
      <c r="U47" s="3178" t="s">
        <v>2816</v>
      </c>
      <c r="V47" s="3178" t="s">
        <v>2816</v>
      </c>
      <c r="W47" s="3178" t="s">
        <v>3053</v>
      </c>
      <c r="X47" s="3178" t="s">
        <v>3320</v>
      </c>
      <c r="Y47" s="3178" t="s">
        <v>3321</v>
      </c>
      <c r="Z47" s="3178" t="s">
        <v>3322</v>
      </c>
      <c r="AA47" s="3178" t="s">
        <v>3322</v>
      </c>
      <c r="AB47" s="3178" t="s">
        <v>3329</v>
      </c>
      <c r="AC47" s="3178" t="s">
        <v>3049</v>
      </c>
      <c r="AD47" s="3178" t="s">
        <v>3324</v>
      </c>
      <c r="AE47" s="3178">
        <v>7200</v>
      </c>
      <c r="AF47" s="3178">
        <v>35780</v>
      </c>
      <c r="AG47" s="3178">
        <v>35780</v>
      </c>
      <c r="AH47" s="3178">
        <v>330.85</v>
      </c>
      <c r="AI47" s="3178">
        <v>330.85</v>
      </c>
      <c r="AJ47" s="3178">
        <v>1060.4100000000001</v>
      </c>
      <c r="AK47" s="3178">
        <v>1060.4100000000001</v>
      </c>
      <c r="AL47" s="3178" t="s">
        <v>2816</v>
      </c>
      <c r="AM47" s="3178" t="s">
        <v>2816</v>
      </c>
      <c r="AN47" s="3178">
        <v>0</v>
      </c>
      <c r="AO47" s="3178" t="s">
        <v>3050</v>
      </c>
      <c r="AP47" s="3178" t="s">
        <v>2816</v>
      </c>
      <c r="AQ47" s="3178" t="s">
        <v>2816</v>
      </c>
      <c r="AR47" s="3178" t="s">
        <v>2816</v>
      </c>
      <c r="AS47" s="3178" t="s">
        <v>3508</v>
      </c>
    </row>
    <row r="48" spans="1:45" hidden="1">
      <c r="A48" s="3178" t="s">
        <v>3330</v>
      </c>
      <c r="B48" s="3178" t="s">
        <v>3044</v>
      </c>
      <c r="C48" s="3178" t="s">
        <v>3051</v>
      </c>
      <c r="D48" s="3178" t="s">
        <v>3251</v>
      </c>
      <c r="E48" s="3178" t="s">
        <v>2816</v>
      </c>
      <c r="F48" s="3178" t="s">
        <v>3330</v>
      </c>
      <c r="G48" s="3178" t="s">
        <v>3052</v>
      </c>
      <c r="H48" s="3178" t="s">
        <v>3331</v>
      </c>
      <c r="I48" s="3178" t="s">
        <v>3061</v>
      </c>
      <c r="J48" s="3178">
        <v>49043.75</v>
      </c>
      <c r="K48" s="3178">
        <v>162562</v>
      </c>
      <c r="L48" s="3178" t="s">
        <v>3332</v>
      </c>
      <c r="M48" s="3178" t="s">
        <v>2816</v>
      </c>
      <c r="N48" s="3178" t="s">
        <v>3333</v>
      </c>
      <c r="O48" s="3178" t="s">
        <v>2816</v>
      </c>
      <c r="P48" s="3178" t="s">
        <v>2816</v>
      </c>
      <c r="Q48" s="3178" t="s">
        <v>2816</v>
      </c>
      <c r="R48" s="3178" t="s">
        <v>2816</v>
      </c>
      <c r="S48" s="3178" t="s">
        <v>2816</v>
      </c>
      <c r="T48" s="3178" t="s">
        <v>2816</v>
      </c>
      <c r="U48" s="3178" t="s">
        <v>2816</v>
      </c>
      <c r="V48" s="3178" t="s">
        <v>2816</v>
      </c>
      <c r="W48" s="3178" t="s">
        <v>3053</v>
      </c>
      <c r="X48" s="3178" t="s">
        <v>3239</v>
      </c>
      <c r="Y48" s="3178" t="s">
        <v>3334</v>
      </c>
      <c r="Z48" s="3178" t="s">
        <v>3335</v>
      </c>
      <c r="AA48" s="3178" t="s">
        <v>3335</v>
      </c>
      <c r="AB48" s="3178" t="s">
        <v>3336</v>
      </c>
      <c r="AC48" s="3178" t="s">
        <v>3049</v>
      </c>
      <c r="AD48" s="3178" t="s">
        <v>3337</v>
      </c>
      <c r="AE48" s="3178">
        <v>1500</v>
      </c>
      <c r="AF48" s="3178">
        <v>7461</v>
      </c>
      <c r="AG48" s="3178">
        <v>7461</v>
      </c>
      <c r="AH48" s="3178">
        <v>101.42</v>
      </c>
      <c r="AI48" s="3178">
        <v>101.42</v>
      </c>
      <c r="AJ48" s="3178">
        <v>458.96</v>
      </c>
      <c r="AK48" s="3178">
        <v>458.95</v>
      </c>
      <c r="AL48" s="3178" t="s">
        <v>2816</v>
      </c>
      <c r="AM48" s="3178" t="s">
        <v>2816</v>
      </c>
      <c r="AN48" s="3178">
        <v>0</v>
      </c>
      <c r="AO48" s="3178" t="s">
        <v>3063</v>
      </c>
      <c r="AP48" s="3178" t="s">
        <v>2816</v>
      </c>
      <c r="AQ48" s="3178" t="s">
        <v>2816</v>
      </c>
      <c r="AR48" s="3178" t="s">
        <v>2816</v>
      </c>
      <c r="AS48" s="3178" t="s">
        <v>3377</v>
      </c>
    </row>
    <row r="49" spans="1:45" hidden="1">
      <c r="A49" s="3178" t="s">
        <v>3236</v>
      </c>
      <c r="B49" s="3178" t="s">
        <v>3044</v>
      </c>
      <c r="C49" s="3178" t="s">
        <v>3051</v>
      </c>
      <c r="D49" s="3178" t="s">
        <v>3170</v>
      </c>
      <c r="E49" s="3178" t="s">
        <v>2816</v>
      </c>
      <c r="F49" s="3178" t="s">
        <v>3236</v>
      </c>
      <c r="G49" s="3178" t="s">
        <v>3052</v>
      </c>
      <c r="H49" s="3178" t="s">
        <v>3237</v>
      </c>
      <c r="I49" s="3178" t="s">
        <v>3061</v>
      </c>
      <c r="J49" s="3178">
        <v>39227.57</v>
      </c>
      <c r="K49" s="3178">
        <v>164755.79999999999</v>
      </c>
      <c r="L49" s="3178" t="s">
        <v>3238</v>
      </c>
      <c r="M49" s="3178" t="s">
        <v>2816</v>
      </c>
      <c r="N49" s="3178" t="s">
        <v>3065</v>
      </c>
      <c r="O49" s="3178" t="s">
        <v>2816</v>
      </c>
      <c r="P49" s="3178" t="s">
        <v>2816</v>
      </c>
      <c r="Q49" s="3178" t="s">
        <v>2816</v>
      </c>
      <c r="R49" s="3178" t="s">
        <v>2816</v>
      </c>
      <c r="S49" s="3178" t="s">
        <v>2816</v>
      </c>
      <c r="T49" s="3178" t="s">
        <v>2816</v>
      </c>
      <c r="U49" s="3178" t="s">
        <v>2816</v>
      </c>
      <c r="V49" s="3178" t="s">
        <v>2816</v>
      </c>
      <c r="W49" s="3178" t="s">
        <v>3053</v>
      </c>
      <c r="X49" s="3178" t="s">
        <v>3239</v>
      </c>
      <c r="Y49" s="3178" t="s">
        <v>3240</v>
      </c>
      <c r="Z49" s="3178" t="s">
        <v>3241</v>
      </c>
      <c r="AA49" s="3178" t="s">
        <v>3241</v>
      </c>
      <c r="AB49" s="3178" t="s">
        <v>3242</v>
      </c>
      <c r="AC49" s="3178" t="s">
        <v>3049</v>
      </c>
      <c r="AD49" s="3178" t="s">
        <v>3243</v>
      </c>
      <c r="AE49" s="3178">
        <v>1900</v>
      </c>
      <c r="AF49" s="3178">
        <v>9447</v>
      </c>
      <c r="AG49" s="3178">
        <v>9447</v>
      </c>
      <c r="AH49" s="3178">
        <v>160.55000000000001</v>
      </c>
      <c r="AI49" s="3178">
        <v>160.55000000000001</v>
      </c>
      <c r="AJ49" s="3178">
        <v>573.39</v>
      </c>
      <c r="AK49" s="3178">
        <v>573.38</v>
      </c>
      <c r="AL49" s="3178" t="s">
        <v>2816</v>
      </c>
      <c r="AM49" s="3178" t="s">
        <v>2816</v>
      </c>
      <c r="AN49" s="3178">
        <v>0</v>
      </c>
      <c r="AO49" s="3178" t="s">
        <v>3063</v>
      </c>
      <c r="AP49" s="3178" t="s">
        <v>2816</v>
      </c>
      <c r="AQ49" s="3178" t="s">
        <v>2816</v>
      </c>
      <c r="AR49" s="3178" t="s">
        <v>2816</v>
      </c>
      <c r="AS49" s="3178" t="s">
        <v>3377</v>
      </c>
    </row>
    <row r="50" spans="1:45" hidden="1">
      <c r="A50" s="3178" t="s">
        <v>3338</v>
      </c>
      <c r="B50" s="3178" t="s">
        <v>3044</v>
      </c>
      <c r="C50" s="3178" t="s">
        <v>3051</v>
      </c>
      <c r="D50" s="3178" t="s">
        <v>3251</v>
      </c>
      <c r="E50" s="3178" t="s">
        <v>2816</v>
      </c>
      <c r="F50" s="3178" t="s">
        <v>3338</v>
      </c>
      <c r="G50" s="3178" t="s">
        <v>3052</v>
      </c>
      <c r="H50" s="3178" t="s">
        <v>3339</v>
      </c>
      <c r="I50" s="3178" t="s">
        <v>3061</v>
      </c>
      <c r="J50" s="3178">
        <v>7890.4</v>
      </c>
      <c r="K50" s="3178">
        <v>45764.32</v>
      </c>
      <c r="L50" s="3178" t="s">
        <v>3340</v>
      </c>
      <c r="M50" s="3178" t="s">
        <v>2816</v>
      </c>
      <c r="N50" s="3178" t="s">
        <v>3341</v>
      </c>
      <c r="O50" s="3178" t="s">
        <v>2816</v>
      </c>
      <c r="P50" s="3178" t="s">
        <v>2816</v>
      </c>
      <c r="Q50" s="3178" t="s">
        <v>2816</v>
      </c>
      <c r="R50" s="3178" t="s">
        <v>2816</v>
      </c>
      <c r="S50" s="3178" t="s">
        <v>2816</v>
      </c>
      <c r="T50" s="3178" t="s">
        <v>2816</v>
      </c>
      <c r="U50" s="3178" t="s">
        <v>2816</v>
      </c>
      <c r="V50" s="3178" t="s">
        <v>2816</v>
      </c>
      <c r="W50" s="3178" t="s">
        <v>3053</v>
      </c>
      <c r="X50" s="3178" t="s">
        <v>3239</v>
      </c>
      <c r="Y50" s="3178" t="s">
        <v>3342</v>
      </c>
      <c r="Z50" s="3178" t="s">
        <v>3241</v>
      </c>
      <c r="AA50" s="3178" t="s">
        <v>3241</v>
      </c>
      <c r="AB50" s="3178" t="s">
        <v>3343</v>
      </c>
      <c r="AC50" s="3178" t="s">
        <v>3049</v>
      </c>
      <c r="AD50" s="3178" t="s">
        <v>3344</v>
      </c>
      <c r="AE50" s="3178">
        <v>2500</v>
      </c>
      <c r="AF50" s="3178">
        <v>4183</v>
      </c>
      <c r="AG50" s="3178">
        <v>4183</v>
      </c>
      <c r="AH50" s="3178">
        <v>353.43</v>
      </c>
      <c r="AI50" s="3178">
        <v>353.43</v>
      </c>
      <c r="AJ50" s="3178">
        <v>914.03</v>
      </c>
      <c r="AK50" s="3178">
        <v>914.02</v>
      </c>
      <c r="AL50" s="3178" t="s">
        <v>2816</v>
      </c>
      <c r="AM50" s="3178" t="s">
        <v>2816</v>
      </c>
      <c r="AN50" s="3178">
        <v>0</v>
      </c>
      <c r="AO50" s="3178" t="s">
        <v>3063</v>
      </c>
      <c r="AP50" s="3178" t="s">
        <v>2816</v>
      </c>
      <c r="AQ50" s="3178" t="s">
        <v>2816</v>
      </c>
      <c r="AR50" s="3178" t="s">
        <v>2816</v>
      </c>
      <c r="AS50" s="3178" t="s">
        <v>3508</v>
      </c>
    </row>
    <row r="51" spans="1:45" hidden="1">
      <c r="A51" s="3178" t="s">
        <v>3244</v>
      </c>
      <c r="B51" s="3178" t="s">
        <v>3044</v>
      </c>
      <c r="C51" s="3178" t="s">
        <v>3045</v>
      </c>
      <c r="D51" s="3178" t="s">
        <v>3170</v>
      </c>
      <c r="E51" s="3178" t="s">
        <v>2816</v>
      </c>
      <c r="F51" s="3178" t="s">
        <v>3244</v>
      </c>
      <c r="G51" s="3178" t="s">
        <v>3052</v>
      </c>
      <c r="H51" s="3178" t="s">
        <v>3245</v>
      </c>
      <c r="I51" s="3178" t="s">
        <v>3046</v>
      </c>
      <c r="J51" s="3178">
        <v>6317.2</v>
      </c>
      <c r="K51" s="3178">
        <v>28427.4</v>
      </c>
      <c r="L51" s="3178" t="s">
        <v>3246</v>
      </c>
      <c r="M51" s="3178" t="s">
        <v>2816</v>
      </c>
      <c r="N51" s="3178" t="s">
        <v>3162</v>
      </c>
      <c r="O51" s="3178" t="s">
        <v>2816</v>
      </c>
      <c r="P51" s="3178" t="s">
        <v>2816</v>
      </c>
      <c r="Q51" s="3178" t="s">
        <v>2816</v>
      </c>
      <c r="R51" s="3178" t="s">
        <v>2816</v>
      </c>
      <c r="S51" s="3178" t="s">
        <v>2816</v>
      </c>
      <c r="T51" s="3178" t="s">
        <v>2816</v>
      </c>
      <c r="U51" s="3178" t="s">
        <v>2816</v>
      </c>
      <c r="V51" s="3178" t="s">
        <v>2816</v>
      </c>
      <c r="W51" s="3178" t="s">
        <v>3053</v>
      </c>
      <c r="X51" s="3178" t="s">
        <v>3239</v>
      </c>
      <c r="Y51" s="3178" t="s">
        <v>3064</v>
      </c>
      <c r="Z51" s="3178" t="s">
        <v>3247</v>
      </c>
      <c r="AA51" s="3178" t="s">
        <v>3247</v>
      </c>
      <c r="AB51" s="3178" t="s">
        <v>3248</v>
      </c>
      <c r="AC51" s="3178" t="s">
        <v>3049</v>
      </c>
      <c r="AD51" s="3178" t="s">
        <v>3249</v>
      </c>
      <c r="AE51" s="3178">
        <v>605</v>
      </c>
      <c r="AF51" s="3178">
        <v>3018</v>
      </c>
      <c r="AG51" s="3178">
        <v>3018</v>
      </c>
      <c r="AH51" s="3178">
        <v>318.5</v>
      </c>
      <c r="AI51" s="3178">
        <v>318.5</v>
      </c>
      <c r="AJ51" s="3178">
        <v>1061.6500000000001</v>
      </c>
      <c r="AK51" s="3178">
        <v>1061.6500000000001</v>
      </c>
      <c r="AL51" s="3178" t="s">
        <v>2816</v>
      </c>
      <c r="AM51" s="3178" t="s">
        <v>2816</v>
      </c>
      <c r="AN51" s="3178">
        <v>0</v>
      </c>
      <c r="AO51" s="3178" t="s">
        <v>3050</v>
      </c>
      <c r="AP51" s="3178" t="s">
        <v>2816</v>
      </c>
      <c r="AQ51" s="3178" t="s">
        <v>2816</v>
      </c>
      <c r="AR51" s="3178" t="s">
        <v>2816</v>
      </c>
      <c r="AS51" s="3178" t="s">
        <v>3377</v>
      </c>
    </row>
  </sheetData>
  <autoFilter ref="A1:WWZ51">
    <filterColumn colId="3">
      <filters>
        <filter val="新城区"/>
      </filters>
    </filterColumn>
  </autoFilter>
  <phoneticPr fontId="23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2" customWidth="1"/>
    <col min="2" max="2" width="10.77734375" style="1652" customWidth="1"/>
    <col min="3" max="4" width="11.6640625" style="1652" customWidth="1"/>
    <col min="5" max="5" width="6.6640625" style="1652" customWidth="1"/>
    <col min="6" max="16384" width="9" style="1652"/>
  </cols>
  <sheetData>
    <row r="36" spans="1:9">
      <c r="A36" s="1651" t="s">
        <v>1901</v>
      </c>
      <c r="B36" s="1651" t="s">
        <v>1902</v>
      </c>
    </row>
    <row r="37" spans="1:9" ht="28.5" customHeight="1">
      <c r="A37" s="1651"/>
      <c r="B37" s="3220" t="str">
        <f>项目基本情况!B1</f>
        <v>陕西省西安市新城区“东方宸院”项目出让国有建设用地使用权市场价格预评估</v>
      </c>
      <c r="C37" s="3220"/>
      <c r="D37" s="3220"/>
      <c r="E37" s="3220"/>
      <c r="F37" s="3220"/>
      <c r="G37" s="3220"/>
      <c r="H37" s="3220"/>
      <c r="I37" s="3220"/>
    </row>
    <row r="38" spans="1:9">
      <c r="A38" s="1653"/>
      <c r="B38" s="1653"/>
    </row>
    <row r="39" spans="1:9">
      <c r="A39" s="1651" t="s">
        <v>1901</v>
      </c>
      <c r="B39" s="1651" t="s">
        <v>2047</v>
      </c>
    </row>
    <row r="40" spans="1:9">
      <c r="A40" s="1651"/>
      <c r="B40" s="1651" t="str">
        <f>项目基本情况!B5</f>
        <v>中诚信托有限责任公司</v>
      </c>
    </row>
    <row r="41" spans="1:9">
      <c r="A41" s="1651"/>
      <c r="B41" s="1651"/>
    </row>
    <row r="42" spans="1:9">
      <c r="A42" s="1651" t="s">
        <v>1901</v>
      </c>
      <c r="B42" s="1651" t="s">
        <v>2048</v>
      </c>
    </row>
    <row r="43" spans="1:9">
      <c r="A43" s="1651"/>
      <c r="B43" s="1651" t="s">
        <v>1903</v>
      </c>
    </row>
    <row r="44" spans="1:9">
      <c r="A44" s="1651"/>
      <c r="B44" s="1651"/>
    </row>
    <row r="45" spans="1:9">
      <c r="A45" s="1651" t="s">
        <v>1901</v>
      </c>
      <c r="B45" s="1651" t="s">
        <v>2046</v>
      </c>
    </row>
    <row r="46" spans="1:9" s="1651" customFormat="1">
      <c r="B46" s="1651" t="str">
        <f>项目基本情况!K4</f>
        <v>欧红伟、崔锴</v>
      </c>
    </row>
    <row r="47" spans="1:9">
      <c r="A47" s="1651"/>
      <c r="B47" s="1651"/>
    </row>
    <row r="48" spans="1:9">
      <c r="A48" s="1651" t="s">
        <v>1901</v>
      </c>
      <c r="B48" s="1651" t="s">
        <v>2049</v>
      </c>
    </row>
    <row r="49" spans="2:2">
      <c r="B49" s="1651" t="str">
        <f>"康正预评字"&amp;项目基本情况!B2&amp;"号"</f>
        <v>康正预评字 2018-1-0378-P02DYGJ1号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N26" sqref="N26"/>
    </sheetView>
  </sheetViews>
  <sheetFormatPr defaultColWidth="6.6640625" defaultRowHeight="13.2"/>
  <cols>
    <col min="1" max="1" width="9.77734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11.66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31" s="2038" customFormat="1" ht="21">
      <c r="A1" s="2100" t="s">
        <v>465</v>
      </c>
      <c r="B1" s="2830"/>
      <c r="C1" s="2101"/>
      <c r="D1" s="2101"/>
      <c r="E1" s="2101"/>
      <c r="F1" s="2101"/>
      <c r="G1" s="2101"/>
      <c r="H1" s="2101"/>
      <c r="I1" s="2101"/>
      <c r="J1" s="2101"/>
      <c r="K1" s="422">
        <f>MATCH(B1,'数据-取费表'!A6:A16,0)+5</f>
        <v>10</v>
      </c>
    </row>
    <row r="2" spans="1:31" s="2038" customFormat="1" ht="18" customHeight="1">
      <c r="A2" s="2098" t="s">
        <v>466</v>
      </c>
      <c r="B2" s="2102">
        <f ca="1">C36</f>
        <v>122513</v>
      </c>
      <c r="C2" s="2101"/>
      <c r="D2" s="2101"/>
      <c r="E2" s="2101"/>
      <c r="F2" s="2101"/>
      <c r="G2" s="2101"/>
      <c r="H2" s="2101"/>
      <c r="I2" s="2101"/>
      <c r="J2" s="2101"/>
      <c r="K2" s="2101"/>
    </row>
    <row r="3" spans="1:31" s="2038" customFormat="1" ht="18" customHeight="1">
      <c r="A3" s="2103" t="s">
        <v>1684</v>
      </c>
      <c r="B3" s="2104">
        <f ca="1">ROUND(B2*10000/IF(B1="",'数据-汇总表'!E3,INDIRECT("'数据-取费表'!K"&amp;$K$1)),0)</f>
        <v>5159</v>
      </c>
      <c r="C3" s="2101"/>
      <c r="D3" s="2101"/>
      <c r="E3" s="2101"/>
      <c r="F3" s="2101"/>
      <c r="G3" s="2101"/>
      <c r="H3" s="2101"/>
      <c r="I3" s="2101"/>
      <c r="J3" s="2101"/>
      <c r="K3" s="2101"/>
    </row>
    <row r="4" spans="1:31" s="2038" customFormat="1" ht="18" customHeight="1">
      <c r="A4" s="426" t="s">
        <v>467</v>
      </c>
      <c r="B4" s="427">
        <f ca="1">ROUND(B2*10000/IF(B1="",'数据-汇总表'!D3,INDIRECT("'数据-取费表'!R"&amp;$K$1)),0)</f>
        <v>18686</v>
      </c>
      <c r="C4" s="428"/>
      <c r="D4" s="422"/>
      <c r="E4" s="422"/>
      <c r="F4" s="422"/>
      <c r="G4" s="422"/>
      <c r="H4" s="422"/>
      <c r="I4" s="422"/>
      <c r="J4" s="422"/>
      <c r="K4" s="422"/>
    </row>
    <row r="5" spans="1:31" s="2038" customFormat="1" ht="18" customHeight="1" thickBot="1">
      <c r="A5" s="429"/>
      <c r="B5" s="430">
        <f ca="1">ROUND(B2/(IF(B1="",'数据-汇总表'!D3,INDIRECT("'数据-取费表'!R"&amp;$K$1))/666.67),0)</f>
        <v>1246</v>
      </c>
      <c r="C5" s="431" t="s">
        <v>468</v>
      </c>
      <c r="D5" s="422"/>
      <c r="E5" s="422"/>
      <c r="F5" s="422"/>
      <c r="G5" s="422"/>
      <c r="H5" s="422"/>
      <c r="I5" s="422"/>
      <c r="J5" s="422"/>
      <c r="K5" s="422"/>
    </row>
    <row r="6" spans="1:31" s="2108" customFormat="1" ht="16.5" customHeight="1">
      <c r="A6" s="2849" t="s">
        <v>1842</v>
      </c>
      <c r="B6" s="2850"/>
      <c r="C6" s="2851">
        <f ca="1">SUM(C10:K10)</f>
        <v>298714</v>
      </c>
      <c r="D6" s="2850"/>
      <c r="E6" s="2850"/>
      <c r="F6" s="2850"/>
      <c r="G6" s="2850"/>
      <c r="H6" s="2850"/>
      <c r="I6" s="2850"/>
      <c r="J6" s="2850"/>
      <c r="K6" s="2852"/>
    </row>
    <row r="7" spans="1:31" s="2110" customFormat="1" ht="14.4">
      <c r="A7" s="2853" t="s">
        <v>469</v>
      </c>
      <c r="B7" s="2854" t="s">
        <v>470</v>
      </c>
      <c r="C7" s="436" t="s">
        <v>3130</v>
      </c>
      <c r="D7" s="436" t="s">
        <v>3134</v>
      </c>
      <c r="E7" s="436" t="s">
        <v>2985</v>
      </c>
      <c r="F7" s="436" t="s">
        <v>3136</v>
      </c>
      <c r="G7" s="436"/>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1845</v>
      </c>
      <c r="B8" s="261" t="s">
        <v>471</v>
      </c>
      <c r="C8" s="2855">
        <f>'不动产比较法-高层'!B3</f>
        <v>14678</v>
      </c>
      <c r="D8" s="2855">
        <f>'不动产比较法-洋房'!B3</f>
        <v>18172</v>
      </c>
      <c r="E8" s="2855">
        <f ca="1">'不动产收益法-商业'!B3</f>
        <v>23383</v>
      </c>
      <c r="F8" s="2855">
        <f ca="1">'不动产收益法-车库'!B3</f>
        <v>1428</v>
      </c>
      <c r="G8" s="2855"/>
      <c r="H8" s="2855"/>
      <c r="I8" s="2855"/>
      <c r="J8" s="2855"/>
      <c r="K8" s="2856"/>
      <c r="L8" s="3203" t="s">
        <v>3141</v>
      </c>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1846</v>
      </c>
      <c r="B9" s="261" t="s">
        <v>472</v>
      </c>
      <c r="C9" s="441">
        <f>SUMIF('数据-汇总表'!$C19:$C33,'剩余法-待开发'!C7,'数据-汇总表'!$E19:$E33)</f>
        <v>123052</v>
      </c>
      <c r="D9" s="441">
        <f>SUMIF('数据-汇总表'!$C19:$C33,'剩余法-待开发'!D7,'数据-汇总表'!$E19:$E33)</f>
        <v>38016</v>
      </c>
      <c r="E9" s="441">
        <f>SUMIF('数据-汇总表'!$C19:$C33,'剩余法-待开发'!E7,'数据-汇总表'!$E19:$E33)</f>
        <v>17600</v>
      </c>
      <c r="F9" s="441">
        <f>SUMIF('数据-汇总表'!$C19:$C33,'剩余法-待开发'!F7,'数据-汇总表'!$E19:$E33)</f>
        <v>55060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1">
        <v>1782</v>
      </c>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1847</v>
      </c>
      <c r="B10" s="2843" t="s">
        <v>473</v>
      </c>
      <c r="C10" s="3050">
        <f>'不动产比较法-高层'!B2</f>
        <v>180616</v>
      </c>
      <c r="D10" s="3050">
        <f>'不动产比较法-洋房'!B2</f>
        <v>69083</v>
      </c>
      <c r="E10" s="3050">
        <f ca="1">'不动产收益法-商业'!B2</f>
        <v>41154</v>
      </c>
      <c r="F10" s="3050">
        <f ca="1">'不动产收益法-车库'!B2</f>
        <v>7861</v>
      </c>
      <c r="G10" s="2858"/>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1843</v>
      </c>
      <c r="B11" s="2850"/>
      <c r="C11" s="2850"/>
      <c r="D11" s="2850"/>
      <c r="E11" s="2850"/>
      <c r="F11" s="2850"/>
      <c r="G11" s="2850"/>
      <c r="H11" s="2850"/>
      <c r="I11" s="2850"/>
      <c r="J11" s="2850"/>
      <c r="K11" s="2852"/>
    </row>
    <row r="12" spans="1:31" s="2082" customFormat="1" ht="13.5" customHeight="1">
      <c r="A12" s="2861" t="s">
        <v>469</v>
      </c>
      <c r="B12" s="2833" t="s">
        <v>470</v>
      </c>
      <c r="C12" s="2862" t="s">
        <v>474</v>
      </c>
      <c r="D12" s="2829" t="s">
        <v>475</v>
      </c>
      <c r="E12" s="2829" t="s">
        <v>476</v>
      </c>
      <c r="F12" s="2829" t="s">
        <v>477</v>
      </c>
      <c r="G12" s="2833"/>
      <c r="H12" s="2834"/>
      <c r="I12" s="2834"/>
      <c r="J12" s="2834"/>
      <c r="K12" s="2835"/>
    </row>
    <row r="13" spans="1:31" s="2113" customFormat="1" ht="13.5" customHeight="1">
      <c r="A13" s="2863" t="s">
        <v>1848</v>
      </c>
      <c r="B13" s="2864" t="s">
        <v>478</v>
      </c>
      <c r="C13" s="450">
        <f ca="1">IF(B1="",'数据-取费表'!P16,INDIRECT("'数据-取费表'!p"&amp;$K$1)+INDIRECT("'数据-取费表'!t"&amp;$K$1))</f>
        <v>73926</v>
      </c>
      <c r="D13" s="2865"/>
      <c r="E13" s="2866"/>
      <c r="F13" s="2867"/>
      <c r="G13" s="2833"/>
      <c r="H13" s="2834"/>
      <c r="I13" s="2834"/>
      <c r="J13" s="2834"/>
      <c r="K13" s="2835"/>
    </row>
    <row r="14" spans="1:31" s="2113" customFormat="1" ht="13.5" customHeight="1">
      <c r="A14" s="2863" t="s">
        <v>1849</v>
      </c>
      <c r="B14" s="2864" t="s">
        <v>479</v>
      </c>
      <c r="C14" s="53">
        <f ca="1">ROUND(C13*F14,0)</f>
        <v>2218</v>
      </c>
      <c r="D14" s="2865"/>
      <c r="E14" s="2866"/>
      <c r="F14" s="2868">
        <f>'数据-取费表'!B33</f>
        <v>0.03</v>
      </c>
      <c r="G14" s="2833" t="s">
        <v>480</v>
      </c>
      <c r="H14" s="2834"/>
      <c r="I14" s="2834"/>
      <c r="J14" s="2834"/>
      <c r="K14" s="2835"/>
    </row>
    <row r="15" spans="1:31" s="2113" customFormat="1" ht="13.5" customHeight="1">
      <c r="A15" s="2863" t="s">
        <v>1850</v>
      </c>
      <c r="B15" s="2864" t="s">
        <v>481</v>
      </c>
      <c r="C15" s="53">
        <f ca="1">ROUND(IF(B1="",SUMIF('数据-取费表'!C:C,"住宅",'数据-取费表'!P:P)*F15,IF(INDIRECT("'数据-取费表'!c"&amp;$K$1)="住宅",INDIRECT("'数据-取费表'!P"&amp;$K$1)*F15,0)),0)</f>
        <v>2762</v>
      </c>
      <c r="D15" s="2865"/>
      <c r="E15" s="2866"/>
      <c r="F15" s="2868">
        <f>'数据-取费表'!B34</f>
        <v>0.05</v>
      </c>
      <c r="G15" s="2833" t="s">
        <v>482</v>
      </c>
      <c r="H15" s="2834"/>
      <c r="I15" s="2834"/>
      <c r="J15" s="2834"/>
      <c r="K15" s="2835"/>
    </row>
    <row r="16" spans="1:31" s="2114" customFormat="1" ht="13.5" customHeight="1">
      <c r="A16" s="2863" t="s">
        <v>1851</v>
      </c>
      <c r="B16" s="2864" t="s">
        <v>483</v>
      </c>
      <c r="C16" s="53">
        <f ca="1">ROUND(D16*E16/10000,0)</f>
        <v>4749</v>
      </c>
      <c r="D16" s="2865">
        <f ca="1">IF(B1="",'数据-汇总表'!E3,INDIRECT("'数据-取费表'!K"&amp;$K$1)+INDIRECT("'数据-取费表'!S"&amp;$K$1))</f>
        <v>237470</v>
      </c>
      <c r="E16" s="53">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1852</v>
      </c>
      <c r="B17" s="2864" t="s">
        <v>484</v>
      </c>
      <c r="C17" s="2869">
        <f ca="1">ROUND(C13*F17,0)</f>
        <v>1109</v>
      </c>
      <c r="D17" s="475"/>
      <c r="E17" s="2869"/>
      <c r="F17" s="2870">
        <f>'数据-取费表'!B36</f>
        <v>1.4999999999999999E-2</v>
      </c>
      <c r="G17" s="261" t="s">
        <v>485</v>
      </c>
      <c r="H17" s="2836"/>
      <c r="I17" s="2836"/>
      <c r="J17" s="2836"/>
      <c r="K17" s="279"/>
    </row>
    <row r="18" spans="1:14" s="2113" customFormat="1" ht="13.5" customHeight="1">
      <c r="A18" s="2871" t="s">
        <v>1853</v>
      </c>
      <c r="B18" s="2872" t="s">
        <v>486</v>
      </c>
      <c r="C18" s="2873">
        <f ca="1">SUM(C13:C17)</f>
        <v>84764</v>
      </c>
      <c r="D18" s="2874"/>
      <c r="E18" s="468"/>
      <c r="F18" s="468"/>
      <c r="G18" s="2837" t="s">
        <v>2430</v>
      </c>
      <c r="H18" s="2838"/>
      <c r="I18" s="2838"/>
      <c r="J18" s="2838"/>
      <c r="K18" s="2839"/>
    </row>
    <row r="19" spans="1:14" s="2113" customFormat="1" ht="13.5" customHeight="1">
      <c r="A19" s="2871" t="s">
        <v>1854</v>
      </c>
      <c r="B19" s="2872" t="s">
        <v>487</v>
      </c>
      <c r="C19" s="2829">
        <f ca="1">ROUND(D19*E19/10000,0)</f>
        <v>2850</v>
      </c>
      <c r="D19" s="2875">
        <f ca="1">D16</f>
        <v>237470</v>
      </c>
      <c r="E19" s="2829">
        <f>'数据-取费表'!B32</f>
        <v>120</v>
      </c>
      <c r="F19" s="468"/>
      <c r="G19" s="2833" t="s">
        <v>488</v>
      </c>
      <c r="H19" s="2834"/>
      <c r="I19" s="2838"/>
      <c r="J19" s="2838"/>
      <c r="K19" s="2839"/>
    </row>
    <row r="20" spans="1:14" s="2113" customFormat="1" ht="13.5" customHeight="1">
      <c r="A20" s="2871" t="s">
        <v>1855</v>
      </c>
      <c r="B20" s="2872" t="s">
        <v>489</v>
      </c>
      <c r="C20" s="2829">
        <f ca="1">C21+C22-IF(B1="",'数据-取费表'!B29,IF(G20="已全部缴纳",C21+C22,H20))</f>
        <v>5700</v>
      </c>
      <c r="D20" s="2875"/>
      <c r="E20" s="2829"/>
      <c r="F20" s="2876"/>
      <c r="G20" s="3109" t="s">
        <v>3352</v>
      </c>
      <c r="H20" s="2831">
        <v>0</v>
      </c>
      <c r="I20" s="2832" t="s">
        <v>2649</v>
      </c>
      <c r="J20" s="2838"/>
      <c r="K20" s="2839"/>
    </row>
    <row r="21" spans="1:14" s="2113" customFormat="1" ht="13.5" customHeight="1">
      <c r="A21" s="2863" t="s">
        <v>1856</v>
      </c>
      <c r="B21" s="2864" t="s">
        <v>490</v>
      </c>
      <c r="C21" s="53">
        <f ca="1">ROUND(D21*E21/10000,0)</f>
        <v>3866</v>
      </c>
      <c r="D21" s="2865">
        <f ca="1">IF(B1="",'数据-汇总表'!E5,IF(INDIRECT("'数据-取费表'!c"&amp;$K$1)="住宅",INDIRECT("'数据-取费表'!k"&amp;$K$1),0))</f>
        <v>161068</v>
      </c>
      <c r="E21" s="53">
        <f>'数据-取费表'!B27</f>
        <v>240</v>
      </c>
      <c r="F21" s="2868"/>
      <c r="G21" s="26"/>
      <c r="H21" s="51"/>
      <c r="I21" s="51"/>
      <c r="J21" s="51"/>
      <c r="K21" s="2840"/>
    </row>
    <row r="22" spans="1:14" s="2113" customFormat="1" ht="13.5" customHeight="1">
      <c r="A22" s="2863" t="s">
        <v>1857</v>
      </c>
      <c r="B22" s="2864" t="s">
        <v>491</v>
      </c>
      <c r="C22" s="53">
        <f ca="1">ROUND(D22*E22/10000,0)</f>
        <v>1834</v>
      </c>
      <c r="D22" s="2865">
        <f ca="1">IF(B1="",'数据-汇总表'!E6,IF(INDIRECT("'数据-取费表'!c"&amp;$K$1)="住宅",INDIRECT("'数据-取费表'!s"&amp;$K$1),INDIRECT("'数据-取费表'!k"&amp;$K$1)+INDIRECT("'数据-取费表'!s"&amp;$K$1)))</f>
        <v>76402</v>
      </c>
      <c r="E22" s="53">
        <f>'数据-取费表'!B28</f>
        <v>240</v>
      </c>
      <c r="F22" s="2868"/>
      <c r="G22" s="26"/>
      <c r="H22" s="51"/>
      <c r="I22" s="51"/>
      <c r="J22" s="51"/>
      <c r="K22" s="2840"/>
    </row>
    <row r="23" spans="1:14" s="2113" customFormat="1" ht="13.5" customHeight="1">
      <c r="A23" s="2871" t="s">
        <v>1858</v>
      </c>
      <c r="B23" s="3056" t="s">
        <v>2832</v>
      </c>
      <c r="C23" s="2873">
        <f ca="1">ROUND((C18+C19+C20)*F23,0)</f>
        <v>1400</v>
      </c>
      <c r="D23" s="468"/>
      <c r="E23" s="468"/>
      <c r="F23" s="2877">
        <f>'数据-取费表'!B37</f>
        <v>1.4999999999999999E-2</v>
      </c>
      <c r="G23" s="2833" t="s">
        <v>2431</v>
      </c>
      <c r="H23" s="2834"/>
      <c r="I23" s="2834"/>
      <c r="J23" s="2834"/>
      <c r="K23" s="2835"/>
      <c r="L23" s="2115"/>
      <c r="M23" s="2115"/>
      <c r="N23" s="2115"/>
    </row>
    <row r="24" spans="1:14" s="2113" customFormat="1" ht="13.5" customHeight="1">
      <c r="A24" s="2871" t="s">
        <v>1859</v>
      </c>
      <c r="B24" s="3056" t="s">
        <v>2835</v>
      </c>
      <c r="C24" s="2873">
        <f ca="1">ROUND(C6*F24,0)</f>
        <v>4481</v>
      </c>
      <c r="D24" s="475"/>
      <c r="E24" s="473"/>
      <c r="F24" s="2877">
        <f>'数据-取费表'!B38</f>
        <v>1.4999999999999999E-2</v>
      </c>
      <c r="G24" s="2842" t="s">
        <v>498</v>
      </c>
      <c r="H24" s="2836"/>
      <c r="I24" s="2836"/>
      <c r="J24" s="2836"/>
      <c r="K24" s="279"/>
      <c r="L24" s="2115"/>
      <c r="M24" s="2115"/>
      <c r="N24" s="2115"/>
    </row>
    <row r="25" spans="1:14" s="2116" customFormat="1" ht="13.5" customHeight="1">
      <c r="A25" s="2871" t="s">
        <v>1860</v>
      </c>
      <c r="B25" s="3056" t="s">
        <v>2833</v>
      </c>
      <c r="C25" s="467">
        <f>ROUND(F25/(1+'数据-取费表'!C42),4)</f>
        <v>2.9000000000000001E-2</v>
      </c>
      <c r="D25" s="462" t="s">
        <v>2827</v>
      </c>
      <c r="E25" s="469"/>
      <c r="F25" s="2877">
        <f>'数据-取费表'!B48+'数据-取费表'!B49</f>
        <v>3.0499999999999999E-2</v>
      </c>
      <c r="G25" s="2841" t="s">
        <v>2290</v>
      </c>
      <c r="H25" s="2834"/>
      <c r="I25" s="2834"/>
      <c r="J25" s="2834"/>
      <c r="K25" s="2835"/>
    </row>
    <row r="26" spans="1:14" s="2115" customFormat="1" ht="13.5" customHeight="1">
      <c r="A26" s="2871" t="s">
        <v>1861</v>
      </c>
      <c r="B26" s="3057" t="s">
        <v>2834</v>
      </c>
      <c r="C26" s="2878">
        <f ca="1">C28</f>
        <v>7151</v>
      </c>
      <c r="D26" s="467">
        <f ca="1">C27</f>
        <v>0.1537</v>
      </c>
      <c r="E26" s="469" t="s">
        <v>494</v>
      </c>
      <c r="F26" s="471">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1856</v>
      </c>
      <c r="B27" s="2879" t="s">
        <v>495</v>
      </c>
      <c r="C27" s="2880">
        <f ca="1">ROUND(IF('数据-取费表'!B22&lt;=1,(1+C25)*F26*'数据-取费表'!B24,(1+C25)*(POWER((1+F26),'数据-取费表'!B24)-1)),4)</f>
        <v>0.1537</v>
      </c>
      <c r="D27" s="472"/>
      <c r="E27" s="473"/>
      <c r="F27" s="474"/>
      <c r="G27" s="2593" t="str">
        <f>IF('数据-取费表'!B22&lt;=1,"（1+取得税费率/(1+5%)）×年利率×建设期","（1+取得税费率）/(1+5%)×((1+年利率)^建设期-1)")</f>
        <v>（1+取得税费率）/(1+5%)×((1+年利率)^建设期-1)</v>
      </c>
      <c r="H27" s="2836"/>
      <c r="I27" s="2836"/>
      <c r="J27" s="2836"/>
      <c r="K27" s="279"/>
    </row>
    <row r="28" spans="1:14" s="2117" customFormat="1" ht="13.5" customHeight="1">
      <c r="A28" s="802" t="s">
        <v>1857</v>
      </c>
      <c r="B28" s="2879" t="s">
        <v>2836</v>
      </c>
      <c r="C28" s="2881">
        <f ca="1">ROUND(IF('数据-取费表'!B22&lt;=1,(C18+C19+C20+C23+C24)*F26*'数据-取费表'!B24/2,(C18+C19+C20+C23+C24)*(POWER((1+F26),'数据-取费表'!B24/2)-1)),0)</f>
        <v>7151</v>
      </c>
      <c r="D28" s="472"/>
      <c r="E28" s="473"/>
      <c r="F28" s="474"/>
      <c r="G28" s="2593" t="str">
        <f>IF('数据-取费表'!B22&lt;=1,"（1）-（4）项×年利率×建设期÷2","（1）-（4）项×((1+年利率)^(建设期÷2)-1)")</f>
        <v>（1）-（4）项×((1+年利率)^(建设期÷2)-1)</v>
      </c>
      <c r="H28" s="2836"/>
      <c r="I28" s="2836"/>
      <c r="J28" s="2836"/>
      <c r="K28" s="279"/>
    </row>
    <row r="29" spans="1:14" s="2117" customFormat="1" ht="13.5" customHeight="1">
      <c r="A29" s="2882" t="s">
        <v>1862</v>
      </c>
      <c r="B29" s="2872" t="s">
        <v>496</v>
      </c>
      <c r="C29" s="2873">
        <f ca="1">ROUND(C6*F29/(1+'数据-取费表'!C42),0)</f>
        <v>15931</v>
      </c>
      <c r="D29" s="468"/>
      <c r="E29" s="468"/>
      <c r="F29" s="3058">
        <f>'数据-取费表'!B41</f>
        <v>5.6000000000000001E-2</v>
      </c>
      <c r="G29" s="2842" t="s">
        <v>497</v>
      </c>
      <c r="H29" s="2834"/>
      <c r="I29" s="2834"/>
      <c r="J29" s="2834"/>
      <c r="K29" s="2835"/>
    </row>
    <row r="30" spans="1:14" s="2118" customFormat="1" ht="13.5" customHeight="1">
      <c r="A30" s="1632" t="s">
        <v>1863</v>
      </c>
      <c r="B30" s="2883" t="s">
        <v>499</v>
      </c>
      <c r="C30" s="2878">
        <f ca="1">C31</f>
        <v>122277</v>
      </c>
      <c r="D30" s="477">
        <f ca="1">C32</f>
        <v>0.1827</v>
      </c>
      <c r="E30" s="469" t="s">
        <v>494</v>
      </c>
      <c r="F30" s="471"/>
      <c r="G30" s="2841" t="s">
        <v>2971</v>
      </c>
      <c r="H30" s="2834"/>
      <c r="I30" s="2834"/>
      <c r="J30" s="2834"/>
      <c r="K30" s="2835"/>
    </row>
    <row r="31" spans="1:14" s="2117" customFormat="1" ht="13.5" customHeight="1">
      <c r="A31" s="802" t="s">
        <v>1856</v>
      </c>
      <c r="B31" s="2879"/>
      <c r="C31" s="450">
        <f ca="1">C18+C19+C20+C23+C24+C26+C29</f>
        <v>122277</v>
      </c>
      <c r="D31" s="472"/>
      <c r="E31" s="473"/>
      <c r="F31" s="474"/>
      <c r="G31" s="261"/>
      <c r="H31" s="2836"/>
      <c r="I31" s="2836"/>
      <c r="J31" s="2836"/>
      <c r="K31" s="279"/>
    </row>
    <row r="32" spans="1:14" s="2117" customFormat="1" ht="13.5" customHeight="1">
      <c r="A32" s="802" t="s">
        <v>1857</v>
      </c>
      <c r="B32" s="2879"/>
      <c r="C32" s="53">
        <f ca="1">ROUND(C25+D26,4)</f>
        <v>0.1827</v>
      </c>
      <c r="D32" s="472"/>
      <c r="E32" s="473"/>
      <c r="F32" s="474"/>
      <c r="G32" s="261"/>
      <c r="H32" s="2836"/>
      <c r="I32" s="2836"/>
      <c r="J32" s="2836"/>
      <c r="K32" s="279"/>
    </row>
    <row r="33" spans="1:11" s="2119" customFormat="1" ht="13.5" customHeight="1">
      <c r="A33" s="3055" t="s">
        <v>2831</v>
      </c>
      <c r="B33" s="3053" t="s">
        <v>2829</v>
      </c>
      <c r="C33" s="478">
        <f ca="1">C35</f>
        <v>13887</v>
      </c>
      <c r="D33" s="467">
        <f ca="1">C34</f>
        <v>0.14410000000000001</v>
      </c>
      <c r="E33" s="469" t="s">
        <v>494</v>
      </c>
      <c r="F33" s="479">
        <f ca="1">IF(B1="",'数据-取费表'!Q16,INDIRECT("'数据-取费表'!q"&amp;$K$1))</f>
        <v>0.14000000000000001</v>
      </c>
      <c r="G33" s="2837"/>
      <c r="H33" s="2838"/>
      <c r="I33" s="2838"/>
      <c r="J33" s="2838"/>
      <c r="K33" s="2839"/>
    </row>
    <row r="34" spans="1:11" s="2120" customFormat="1" ht="13.5" customHeight="1">
      <c r="A34" s="375" t="s">
        <v>1856</v>
      </c>
      <c r="B34" s="2884" t="s">
        <v>500</v>
      </c>
      <c r="C34" s="472">
        <f ca="1">ROUND((1+C25)*F33,4)</f>
        <v>0.14410000000000001</v>
      </c>
      <c r="D34" s="472"/>
      <c r="E34" s="473"/>
      <c r="F34" s="480"/>
      <c r="G34" s="261" t="s">
        <v>2291</v>
      </c>
      <c r="H34" s="2836"/>
      <c r="I34" s="2836"/>
      <c r="J34" s="2836"/>
      <c r="K34" s="279"/>
    </row>
    <row r="35" spans="1:11" s="2120" customFormat="1" ht="13.5" customHeight="1" thickBot="1">
      <c r="A35" s="1633" t="s">
        <v>1857</v>
      </c>
      <c r="B35" s="3054" t="s">
        <v>2837</v>
      </c>
      <c r="C35" s="1625">
        <f ca="1">ROUND((C18+C19+C20+C23+C24)*F33,0)</f>
        <v>13887</v>
      </c>
      <c r="D35" s="1626"/>
      <c r="E35" s="2885"/>
      <c r="F35" s="1627"/>
      <c r="G35" s="2843"/>
      <c r="H35" s="2844"/>
      <c r="I35" s="2844"/>
      <c r="J35" s="2844"/>
      <c r="K35" s="2845"/>
    </row>
    <row r="36" spans="1:11" s="2082" customFormat="1" ht="13.5" customHeight="1" thickBot="1">
      <c r="A36" s="284" t="s">
        <v>1844</v>
      </c>
      <c r="B36" s="2847"/>
      <c r="C36" s="2886">
        <f ca="1">ROUND((C6-C30-C33)/(1+D30+D33),0)</f>
        <v>122513</v>
      </c>
      <c r="D36" s="2847"/>
      <c r="E36" s="2847"/>
      <c r="F36" s="2847"/>
      <c r="G36" s="2846" t="s">
        <v>2838</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M20" sqref="M20"/>
    </sheetView>
  </sheetViews>
  <sheetFormatPr defaultColWidth="6.6640625" defaultRowHeight="13.2"/>
  <cols>
    <col min="1" max="1" width="10.109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9.441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41" s="2038" customFormat="1" ht="21">
      <c r="A1" s="421" t="s">
        <v>465</v>
      </c>
      <c r="B1" s="2830"/>
      <c r="C1" s="2101"/>
      <c r="D1" s="2101"/>
      <c r="E1" s="2101"/>
      <c r="F1" s="2101"/>
      <c r="G1" s="2101"/>
      <c r="H1" s="2101"/>
      <c r="I1" s="2101"/>
      <c r="J1" s="2101"/>
      <c r="K1" s="422">
        <f>MATCH(B1,'数据-取费表'!A6:A16,0)+5</f>
        <v>10</v>
      </c>
    </row>
    <row r="2" spans="1:41" s="2038" customFormat="1" ht="18" customHeight="1">
      <c r="A2" s="423" t="s">
        <v>466</v>
      </c>
      <c r="B2" s="424">
        <f ca="1">C32</f>
        <v>0</v>
      </c>
      <c r="C2" s="2101"/>
      <c r="D2" s="2101"/>
      <c r="E2" s="2101"/>
      <c r="F2" s="2101"/>
      <c r="G2" s="2101"/>
      <c r="H2" s="2101"/>
      <c r="I2" s="2101"/>
      <c r="J2" s="2101"/>
      <c r="K2" s="2101"/>
    </row>
    <row r="3" spans="1:41" s="2038" customFormat="1" ht="18" customHeight="1">
      <c r="A3" s="1376" t="s">
        <v>1684</v>
      </c>
      <c r="B3" s="425">
        <f ca="1">ROUND(B2*10000/IF(B1="",'数据-汇总表'!E3,INDIRECT("'数据-取费表'!K"&amp;$K$1)),0)</f>
        <v>0</v>
      </c>
      <c r="C3" s="2101"/>
      <c r="D3" s="2101"/>
      <c r="E3" s="2101"/>
      <c r="F3" s="2101"/>
      <c r="G3" s="2101"/>
      <c r="H3" s="2101"/>
      <c r="I3" s="2101"/>
      <c r="J3" s="2101"/>
      <c r="K3" s="2101"/>
    </row>
    <row r="4" spans="1:41" s="2038" customFormat="1" ht="18" customHeight="1">
      <c r="A4" s="426" t="s">
        <v>467</v>
      </c>
      <c r="B4" s="427">
        <f ca="1">ROUND(B2*10000/IF(B1="",'数据-汇总表'!D3,INDIRECT("'数据-取费表'!R"&amp;$K$1)),0)</f>
        <v>0</v>
      </c>
      <c r="C4" s="2058"/>
      <c r="D4" s="2101"/>
      <c r="E4" s="2101"/>
      <c r="F4" s="2101"/>
      <c r="G4" s="2101"/>
      <c r="H4" s="2101"/>
      <c r="I4" s="2101"/>
      <c r="J4" s="2101"/>
      <c r="K4" s="2101"/>
    </row>
    <row r="5" spans="1:41" s="2038" customFormat="1" ht="18" customHeight="1" thickBot="1">
      <c r="A5" s="429"/>
      <c r="B5" s="430">
        <f ca="1">ROUND(B2/(IF(B1="",'数据-汇总表'!D3,INDIRECT("'数据-取费表'!R"&amp;$K$1))/666.67),0)</f>
        <v>0</v>
      </c>
      <c r="C5" s="431" t="s">
        <v>468</v>
      </c>
      <c r="D5" s="2101"/>
      <c r="E5" s="2101"/>
      <c r="F5" s="2101"/>
      <c r="G5" s="2101"/>
      <c r="H5" s="2101"/>
      <c r="I5" s="2101"/>
      <c r="J5" s="2101"/>
      <c r="K5" s="2101"/>
    </row>
    <row r="6" spans="1:41" s="2108" customFormat="1" ht="16.5" customHeight="1">
      <c r="A6" s="432" t="s">
        <v>2650</v>
      </c>
      <c r="B6" s="433"/>
      <c r="C6" s="1620">
        <f>SUM(C10:K10)</f>
        <v>0</v>
      </c>
      <c r="D6" s="2106"/>
      <c r="E6" s="2106"/>
      <c r="F6" s="2106"/>
      <c r="G6" s="2106"/>
      <c r="H6" s="2106"/>
      <c r="I6" s="2106"/>
      <c r="J6" s="2106"/>
      <c r="K6" s="2107"/>
    </row>
    <row r="7" spans="1:41" s="2110" customFormat="1" ht="14.4">
      <c r="A7" s="434" t="s">
        <v>469</v>
      </c>
      <c r="B7" s="435" t="s">
        <v>470</v>
      </c>
      <c r="C7" s="436"/>
      <c r="D7" s="436"/>
      <c r="E7" s="436"/>
      <c r="F7" s="436"/>
      <c r="G7" s="436"/>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1845</v>
      </c>
      <c r="B8" s="438" t="s">
        <v>471</v>
      </c>
      <c r="C8" s="439"/>
      <c r="D8" s="439"/>
      <c r="E8" s="439"/>
      <c r="F8" s="439"/>
      <c r="G8" s="439"/>
      <c r="H8" s="439"/>
      <c r="I8" s="439"/>
      <c r="J8" s="439"/>
      <c r="K8" s="440"/>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1847</v>
      </c>
      <c r="B10" s="1621" t="s">
        <v>473</v>
      </c>
      <c r="C10" s="1622"/>
      <c r="D10" s="1622"/>
      <c r="E10" s="1622"/>
      <c r="F10" s="1623"/>
      <c r="G10" s="1623"/>
      <c r="H10" s="1623"/>
      <c r="I10" s="1623"/>
      <c r="J10" s="1623"/>
      <c r="K10" s="1624"/>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7" t="s">
        <v>1864</v>
      </c>
      <c r="B11" s="1618"/>
      <c r="C11" s="1618"/>
      <c r="D11" s="1618"/>
      <c r="E11" s="1618"/>
      <c r="F11" s="1618"/>
      <c r="G11" s="1618"/>
      <c r="H11" s="1618"/>
      <c r="I11" s="1618"/>
      <c r="J11" s="1618"/>
      <c r="K11" s="1619"/>
    </row>
    <row r="12" spans="1:41" s="2082" customFormat="1" ht="13.5" customHeight="1">
      <c r="A12" s="434" t="s">
        <v>469</v>
      </c>
      <c r="B12" s="444" t="s">
        <v>470</v>
      </c>
      <c r="C12" s="445" t="s">
        <v>474</v>
      </c>
      <c r="D12" s="446" t="s">
        <v>475</v>
      </c>
      <c r="E12" s="446" t="s">
        <v>476</v>
      </c>
      <c r="F12" s="446" t="s">
        <v>477</v>
      </c>
      <c r="G12" s="444"/>
      <c r="H12" s="447"/>
      <c r="I12" s="447"/>
      <c r="J12" s="447"/>
      <c r="K12" s="448"/>
    </row>
    <row r="13" spans="1:41" s="2113" customFormat="1" ht="13.5" customHeight="1">
      <c r="A13" s="1630" t="s">
        <v>1848</v>
      </c>
      <c r="B13" s="449" t="s">
        <v>478</v>
      </c>
      <c r="C13" s="450">
        <f ca="1">IF(B1="",'数据-取费表'!M16,INDIRECT("'数据-取费表'!M"&amp;$K$1)+INDIRECT("'数据-取费表'!t"&amp;$K$1))</f>
        <v>73926</v>
      </c>
      <c r="D13" s="451"/>
      <c r="E13" s="365"/>
      <c r="F13" s="452"/>
      <c r="G13" s="444"/>
      <c r="H13" s="447"/>
      <c r="I13" s="447"/>
      <c r="J13" s="447"/>
      <c r="K13" s="448"/>
    </row>
    <row r="14" spans="1:41" s="2113" customFormat="1" ht="13.5" customHeight="1">
      <c r="A14" s="1630" t="s">
        <v>1849</v>
      </c>
      <c r="B14" s="449" t="s">
        <v>479</v>
      </c>
      <c r="C14" s="53">
        <f ca="1">ROUND(C13*F14,0)</f>
        <v>2218</v>
      </c>
      <c r="D14" s="451"/>
      <c r="E14" s="365"/>
      <c r="F14" s="453">
        <f>'数据-取费表'!B33</f>
        <v>0.03</v>
      </c>
      <c r="G14" s="444" t="s">
        <v>501</v>
      </c>
      <c r="H14" s="447"/>
      <c r="I14" s="447"/>
      <c r="J14" s="447"/>
      <c r="K14" s="448"/>
    </row>
    <row r="15" spans="1:41" s="2113" customFormat="1" ht="13.5" customHeight="1">
      <c r="A15" s="1630" t="s">
        <v>1850</v>
      </c>
      <c r="B15" s="449" t="s">
        <v>481</v>
      </c>
      <c r="C15" s="53">
        <f ca="1">ROUND(IF(B1="",SUMIF('数据-取费表'!C:C,"住宅",'数据-取费表'!M:M)*F15,IF(INDIRECT("'数据-取费表'!c"&amp;$K$1)="住宅",INDIRECT("'数据-取费表'!M"&amp;$K$1)*F15,0)),0)</f>
        <v>2762</v>
      </c>
      <c r="D15" s="451"/>
      <c r="E15" s="365"/>
      <c r="F15" s="453">
        <f>'数据-取费表'!B34</f>
        <v>0.05</v>
      </c>
      <c r="G15" s="444" t="s">
        <v>501</v>
      </c>
      <c r="H15" s="447"/>
      <c r="I15" s="447"/>
      <c r="J15" s="447"/>
      <c r="K15" s="448"/>
    </row>
    <row r="16" spans="1:41" s="2114" customFormat="1" ht="13.5" customHeight="1">
      <c r="A16" s="1630" t="s">
        <v>1851</v>
      </c>
      <c r="B16" s="449" t="s">
        <v>483</v>
      </c>
      <c r="C16" s="53">
        <f ca="1">ROUND(D16*E16/10000,0)</f>
        <v>4749</v>
      </c>
      <c r="D16" s="451">
        <f ca="1">IF(B1="",'数据-汇总表'!E3,INDIRECT("'数据-取费表'!K"&amp;$K$1)+INDIRECT("'数据-取费表'!S"&amp;$K$1))</f>
        <v>237470</v>
      </c>
      <c r="E16" s="53">
        <f>'数据-取费表'!B35</f>
        <v>200</v>
      </c>
      <c r="F16" s="453"/>
      <c r="G16" s="444"/>
      <c r="H16" s="447"/>
      <c r="I16" s="447"/>
      <c r="J16" s="447"/>
      <c r="K16" s="448"/>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1852</v>
      </c>
      <c r="B17" s="449" t="s">
        <v>484</v>
      </c>
      <c r="C17" s="454">
        <f ca="1">ROUND(C13*F17,0)</f>
        <v>1109</v>
      </c>
      <c r="D17" s="455"/>
      <c r="E17" s="454"/>
      <c r="F17" s="456">
        <f>'数据-取费表'!B36</f>
        <v>1.4999999999999999E-2</v>
      </c>
      <c r="G17" s="444" t="s">
        <v>501</v>
      </c>
      <c r="H17" s="457"/>
      <c r="I17" s="457"/>
      <c r="J17" s="457"/>
      <c r="K17" s="458"/>
    </row>
    <row r="18" spans="1:14" s="2116" customFormat="1" ht="13.5" customHeight="1">
      <c r="A18" s="1631" t="s">
        <v>1853</v>
      </c>
      <c r="B18" s="459" t="s">
        <v>486</v>
      </c>
      <c r="C18" s="460">
        <f ca="1">SUM(C13:C17)</f>
        <v>84764</v>
      </c>
      <c r="D18" s="461"/>
      <c r="E18" s="462"/>
      <c r="F18" s="462"/>
      <c r="G18" s="1326" t="s">
        <v>2432</v>
      </c>
      <c r="H18" s="447"/>
      <c r="I18" s="447"/>
      <c r="J18" s="447"/>
      <c r="K18" s="448"/>
    </row>
    <row r="19" spans="1:14" s="2116" customFormat="1" ht="13.5" customHeight="1">
      <c r="A19" s="1631" t="s">
        <v>1854</v>
      </c>
      <c r="B19" s="459" t="s">
        <v>492</v>
      </c>
      <c r="C19" s="460">
        <f ca="1">ROUND(C18*F19,0)</f>
        <v>1271</v>
      </c>
      <c r="D19" s="462"/>
      <c r="E19" s="462"/>
      <c r="F19" s="466">
        <f>'数据-取费表'!B37</f>
        <v>1.4999999999999999E-2</v>
      </c>
      <c r="G19" s="444" t="s">
        <v>502</v>
      </c>
      <c r="H19" s="447"/>
      <c r="I19" s="447"/>
      <c r="J19" s="447"/>
      <c r="K19" s="448"/>
      <c r="L19" s="2118"/>
      <c r="M19" s="2118"/>
      <c r="N19" s="2118"/>
    </row>
    <row r="20" spans="1:14" s="2116" customFormat="1" ht="13.5" customHeight="1">
      <c r="A20" s="1631" t="s">
        <v>1855</v>
      </c>
      <c r="B20" s="459" t="s">
        <v>503</v>
      </c>
      <c r="C20" s="3051">
        <f>F20</f>
        <v>1.4999999999999999E-2</v>
      </c>
      <c r="D20" s="469" t="s">
        <v>504</v>
      </c>
      <c r="E20" s="469"/>
      <c r="F20" s="486">
        <f>'数据-取费表'!B38</f>
        <v>1.4999999999999999E-2</v>
      </c>
      <c r="G20" s="1326" t="s">
        <v>505</v>
      </c>
      <c r="H20" s="447"/>
      <c r="I20" s="447"/>
      <c r="J20" s="447"/>
      <c r="K20" s="448"/>
      <c r="L20" s="2118"/>
      <c r="M20" s="2118"/>
      <c r="N20" s="2118"/>
    </row>
    <row r="21" spans="1:14" s="2118" customFormat="1" ht="13.5" customHeight="1">
      <c r="A21" s="1631" t="s">
        <v>1858</v>
      </c>
      <c r="B21" s="461" t="s">
        <v>493</v>
      </c>
      <c r="C21" s="470">
        <f ca="1">C22</f>
        <v>6202</v>
      </c>
      <c r="D21" s="467">
        <f ca="1">C23</f>
        <v>1.1000000000000001E-3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5" t="s">
        <v>2454</v>
      </c>
    </row>
    <row r="22" spans="1:14" s="2117" customFormat="1" ht="13.5" customHeight="1">
      <c r="A22" s="1630" t="s">
        <v>1848</v>
      </c>
      <c r="B22" s="1327" t="s">
        <v>2435</v>
      </c>
      <c r="C22" s="487">
        <f ca="1">ROUND(IF('数据-取费表'!B22&lt;=1,(C18+C19)*F21*'数据-取费表'!B20/2,(C18+C19)*(POWER((1+F21),'数据-取费表'!B20/2)-1)),0)</f>
        <v>6202</v>
      </c>
      <c r="D22" s="472"/>
      <c r="E22" s="473"/>
      <c r="F22" s="474"/>
      <c r="G22" s="2588" t="str">
        <f>IF('数据-取费表'!B22&lt;=1,"((1)+(2))×年利率×建设期÷2","((1)+(2))×((1+年利率)^(建设期÷2)-1)")</f>
        <v>((1)+(2))×((1+年利率)^(建设期÷2)-1)</v>
      </c>
      <c r="H22" s="457"/>
      <c r="I22" s="457"/>
      <c r="J22" s="457"/>
      <c r="K22" s="458"/>
    </row>
    <row r="23" spans="1:14" s="2117" customFormat="1" ht="13.5" customHeight="1">
      <c r="A23" s="1630" t="s">
        <v>1849</v>
      </c>
      <c r="B23" s="1327" t="s">
        <v>507</v>
      </c>
      <c r="C23" s="488">
        <f ca="1">ROUND(IF('数据-取费表'!B22&lt;=1,F20*F21*'数据-取费表'!B20/2,F20*(POWER((1+F21),'数据-取费表'!B20/2)-1)),4)</f>
        <v>1.1000000000000001E-3</v>
      </c>
      <c r="D23" s="472"/>
      <c r="E23" s="473"/>
      <c r="F23" s="474"/>
      <c r="G23" s="2588" t="str">
        <f>IF('数据-取费表'!B22&lt;=1,"销售费用率×年利率×建设期÷2","销售费用率×((1+年利率)^(建设期÷2)-1)")</f>
        <v>销售费用率×((1+年利率)^(建设期÷2)-1)</v>
      </c>
      <c r="H23" s="457"/>
      <c r="I23" s="457"/>
      <c r="J23" s="457"/>
      <c r="K23" s="458"/>
    </row>
    <row r="24" spans="1:14" s="2117" customFormat="1" ht="13.5" customHeight="1">
      <c r="A24" s="1631" t="s">
        <v>1859</v>
      </c>
      <c r="B24" s="3053" t="s">
        <v>2830</v>
      </c>
      <c r="C24" s="478">
        <f ca="1">C25</f>
        <v>12045</v>
      </c>
      <c r="D24" s="489">
        <f ca="1">C26</f>
        <v>2.0999999999999999E-3</v>
      </c>
      <c r="E24" s="469" t="s">
        <v>506</v>
      </c>
      <c r="F24" s="479">
        <f ca="1">IF(B1="",'数据-取费表'!Q16,INDIRECT("'数据-取费表'!q"&amp;$K$1))</f>
        <v>0.14000000000000001</v>
      </c>
      <c r="G24" s="444"/>
      <c r="H24" s="447"/>
      <c r="I24" s="447"/>
      <c r="J24" s="447"/>
      <c r="K24" s="448"/>
    </row>
    <row r="25" spans="1:14" s="2117" customFormat="1" ht="13.5" customHeight="1">
      <c r="A25" s="1630" t="s">
        <v>1848</v>
      </c>
      <c r="B25" s="1327" t="s">
        <v>2436</v>
      </c>
      <c r="C25" s="490">
        <f ca="1">ROUND((C18+C19)*F24,0)</f>
        <v>12045</v>
      </c>
      <c r="D25" s="472"/>
      <c r="E25" s="473"/>
      <c r="F25" s="480"/>
      <c r="G25" s="1325" t="s">
        <v>2433</v>
      </c>
      <c r="H25" s="457"/>
      <c r="I25" s="457"/>
      <c r="J25" s="457"/>
      <c r="K25" s="458"/>
    </row>
    <row r="26" spans="1:14" s="2117" customFormat="1" ht="13.5" customHeight="1">
      <c r="A26" s="1630" t="s">
        <v>1849</v>
      </c>
      <c r="B26" s="1327" t="s">
        <v>508</v>
      </c>
      <c r="C26" s="491">
        <f ca="1">ROUND(F20*F24,4)</f>
        <v>2.0999999999999999E-3</v>
      </c>
      <c r="D26" s="472"/>
      <c r="E26" s="481"/>
      <c r="F26" s="480"/>
      <c r="G26" s="1325" t="s">
        <v>509</v>
      </c>
      <c r="H26" s="457"/>
      <c r="I26" s="457"/>
      <c r="J26" s="457"/>
      <c r="K26" s="458"/>
    </row>
    <row r="27" spans="1:14" s="2117" customFormat="1" ht="13.5" customHeight="1">
      <c r="A27" s="1634" t="s">
        <v>1867</v>
      </c>
      <c r="B27" s="459" t="s">
        <v>510</v>
      </c>
      <c r="C27" s="3052">
        <f>ROUND(F27/(1+'数据-取费表'!C42),4)</f>
        <v>5.33E-2</v>
      </c>
      <c r="D27" s="462" t="s">
        <v>2828</v>
      </c>
      <c r="E27" s="462"/>
      <c r="F27" s="466">
        <f>'数据-取费表'!B41</f>
        <v>5.6000000000000001E-2</v>
      </c>
      <c r="G27" s="1957" t="s">
        <v>2292</v>
      </c>
      <c r="H27" s="447"/>
      <c r="I27" s="447"/>
      <c r="J27" s="447"/>
      <c r="K27" s="448"/>
    </row>
    <row r="28" spans="1:14" s="2118" customFormat="1" ht="13.5" customHeight="1">
      <c r="A28" s="1634" t="s">
        <v>1868</v>
      </c>
      <c r="B28" s="476" t="s">
        <v>511</v>
      </c>
      <c r="C28" s="470">
        <f ca="1">ROUND((C18+C19+C21+C24)/(1-C20-D21-D24-C27),0)</f>
        <v>112312</v>
      </c>
      <c r="D28" s="477"/>
      <c r="E28" s="469"/>
      <c r="F28" s="471"/>
      <c r="G28" s="1326" t="s">
        <v>2434</v>
      </c>
      <c r="H28" s="447"/>
      <c r="I28" s="447"/>
      <c r="J28" s="447"/>
      <c r="K28" s="448"/>
    </row>
    <row r="29" spans="1:14" s="2118" customFormat="1" ht="13.5" customHeight="1">
      <c r="A29" s="1634" t="s">
        <v>1869</v>
      </c>
      <c r="B29" s="476" t="s">
        <v>512</v>
      </c>
      <c r="C29" s="492">
        <f ca="1">IF(B1="",'数据-取费表'!N16,INDIRECT("'数据-取费表'!N"&amp;$K$1))</f>
        <v>0</v>
      </c>
      <c r="D29" s="493"/>
      <c r="E29" s="494"/>
      <c r="F29" s="495"/>
      <c r="G29" s="444"/>
      <c r="H29" s="447"/>
      <c r="I29" s="447"/>
      <c r="J29" s="447"/>
      <c r="K29" s="448"/>
    </row>
    <row r="30" spans="1:14" s="2118" customFormat="1" ht="13.5" customHeight="1">
      <c r="A30" s="443">
        <v>2</v>
      </c>
      <c r="B30" s="476" t="s">
        <v>513</v>
      </c>
      <c r="C30" s="497">
        <f ca="1">ROUND(C28*C29,0)</f>
        <v>0</v>
      </c>
      <c r="D30" s="493"/>
      <c r="E30" s="498"/>
      <c r="F30" s="499"/>
      <c r="G30" s="1328" t="s">
        <v>514</v>
      </c>
      <c r="H30" s="496"/>
      <c r="I30" s="496"/>
      <c r="J30" s="447"/>
      <c r="K30" s="448"/>
    </row>
    <row r="31" spans="1:14" s="2123" customFormat="1" ht="13.5" customHeight="1">
      <c r="A31" s="2503" t="s">
        <v>1865</v>
      </c>
      <c r="B31" s="1329"/>
      <c r="C31" s="500">
        <f>ROUND(C6*F31/(1+'数据-取费表'!C42),0)</f>
        <v>0</v>
      </c>
      <c r="D31" s="1330"/>
      <c r="E31" s="1330"/>
      <c r="F31" s="501">
        <f>'数据-取费表'!B41</f>
        <v>5.6000000000000001E-2</v>
      </c>
      <c r="G31" s="1331"/>
      <c r="H31" s="1331"/>
      <c r="I31" s="1331"/>
      <c r="J31" s="1332"/>
      <c r="K31" s="1333"/>
    </row>
    <row r="32" spans="1:14" s="2082"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4"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M20" sqref="M20"/>
    </sheetView>
  </sheetViews>
  <sheetFormatPr defaultColWidth="9" defaultRowHeight="13.8"/>
  <cols>
    <col min="1" max="1" width="13.332031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515</v>
      </c>
      <c r="B1" s="503"/>
      <c r="C1" s="504" t="s">
        <v>596</v>
      </c>
      <c r="D1" s="505" t="s">
        <v>517</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466</v>
      </c>
      <c r="B2" s="508" t="e">
        <f>F63</f>
        <v>#DIV/0!</v>
      </c>
      <c r="C2" s="2125"/>
      <c r="D2" s="2125"/>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c r="A3" s="1377" t="s">
        <v>1685</v>
      </c>
      <c r="B3" s="510" t="e">
        <f>ROUND(B2*10000/'数据-汇总表'!E3,0)</f>
        <v>#DIV/0!</v>
      </c>
      <c r="C3" s="2058"/>
      <c r="D3" s="2058"/>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428"/>
      <c r="AC3" s="428"/>
    </row>
    <row r="4" spans="1:29" s="1335" customFormat="1" ht="28.5" customHeight="1">
      <c r="A4" s="511" t="s">
        <v>519</v>
      </c>
      <c r="B4" s="427" t="e">
        <f>IF(B43="单位面积地价",C45,ROUND(B2*10000/'数据-汇总表'!D3,0))</f>
        <v>#DIV/0!</v>
      </c>
      <c r="C4" s="2058"/>
      <c r="D4" s="2058"/>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8"/>
    </row>
    <row r="5" spans="1:29" s="1335" customFormat="1" ht="28.5" customHeight="1" thickBot="1">
      <c r="A5" s="429"/>
      <c r="B5" s="430" t="e">
        <f>ROUND(B2/('数据-汇总表'!D3/666.67),0)</f>
        <v>#DIV/0!</v>
      </c>
      <c r="C5" s="431" t="s">
        <v>468</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3"/>
      <c r="AC5" s="428"/>
    </row>
    <row r="6" spans="1:29" ht="14.4">
      <c r="A6" s="512" t="s">
        <v>520</v>
      </c>
      <c r="B6" s="513"/>
      <c r="C6" s="3394" t="s">
        <v>521</v>
      </c>
      <c r="D6" s="3395"/>
      <c r="E6" s="3434" t="s">
        <v>522</v>
      </c>
      <c r="F6" s="3435"/>
      <c r="G6" s="3394" t="s">
        <v>523</v>
      </c>
      <c r="H6" s="3395"/>
      <c r="I6" s="3394" t="s">
        <v>524</v>
      </c>
      <c r="J6" s="3395"/>
      <c r="K6" s="514" t="s">
        <v>525</v>
      </c>
      <c r="L6" s="2130"/>
      <c r="M6" s="2131"/>
      <c r="N6" s="2131"/>
      <c r="O6" s="2131"/>
      <c r="P6" s="3396" t="s">
        <v>526</v>
      </c>
      <c r="Q6" s="3397"/>
      <c r="R6" s="3402" t="s">
        <v>522</v>
      </c>
      <c r="S6" s="3403"/>
      <c r="T6" s="3402" t="s">
        <v>523</v>
      </c>
      <c r="U6" s="3403"/>
      <c r="V6" s="3389" t="s">
        <v>524</v>
      </c>
      <c r="W6" s="3389"/>
      <c r="X6" s="1564"/>
      <c r="Y6" s="3402" t="s">
        <v>526</v>
      </c>
      <c r="Z6" s="3403"/>
      <c r="AA6" s="3391" t="s">
        <v>522</v>
      </c>
      <c r="AB6" s="3392" t="s">
        <v>523</v>
      </c>
      <c r="AC6" s="3391" t="s">
        <v>524</v>
      </c>
    </row>
    <row r="7" spans="1:29">
      <c r="A7" s="515"/>
      <c r="B7" s="516"/>
      <c r="C7" s="3428" t="s">
        <v>2925</v>
      </c>
      <c r="D7" s="3429"/>
      <c r="E7" s="3436" t="s">
        <v>2926</v>
      </c>
      <c r="F7" s="3437"/>
      <c r="G7" s="3428" t="s">
        <v>2927</v>
      </c>
      <c r="H7" s="3429"/>
      <c r="I7" s="3428" t="s">
        <v>2928</v>
      </c>
      <c r="J7" s="3429"/>
      <c r="K7" s="514"/>
      <c r="L7" s="2130"/>
      <c r="M7" s="2131"/>
      <c r="N7" s="2131"/>
      <c r="O7" s="2131"/>
      <c r="P7" s="3398"/>
      <c r="Q7" s="3399"/>
      <c r="R7" s="3404"/>
      <c r="S7" s="3405"/>
      <c r="T7" s="3404"/>
      <c r="U7" s="3405"/>
      <c r="V7" s="3389"/>
      <c r="W7" s="3389"/>
      <c r="X7" s="1564"/>
      <c r="Y7" s="3404"/>
      <c r="Z7" s="3405"/>
      <c r="AA7" s="3392"/>
      <c r="AB7" s="3392"/>
      <c r="AC7" s="3392"/>
    </row>
    <row r="8" spans="1:29" ht="15" thickBot="1">
      <c r="A8" s="517"/>
      <c r="B8" s="518"/>
      <c r="C8" s="3430" t="s">
        <v>2929</v>
      </c>
      <c r="D8" s="3431"/>
      <c r="E8" s="3432" t="s">
        <v>2929</v>
      </c>
      <c r="F8" s="3433"/>
      <c r="G8" s="3430" t="s">
        <v>2929</v>
      </c>
      <c r="H8" s="3431"/>
      <c r="I8" s="3430" t="s">
        <v>2929</v>
      </c>
      <c r="J8" s="3431"/>
      <c r="K8" s="514" t="s">
        <v>527</v>
      </c>
      <c r="L8" s="2130"/>
      <c r="M8" s="2131"/>
      <c r="N8" s="2131"/>
      <c r="O8" s="2131"/>
      <c r="P8" s="3400"/>
      <c r="Q8" s="3401"/>
      <c r="R8" s="3404"/>
      <c r="S8" s="3405"/>
      <c r="T8" s="3406"/>
      <c r="U8" s="3407"/>
      <c r="V8" s="3389"/>
      <c r="W8" s="3389"/>
      <c r="X8" s="1564"/>
      <c r="Y8" s="3406"/>
      <c r="Z8" s="3407"/>
      <c r="AA8" s="3393"/>
      <c r="AB8" s="3393"/>
      <c r="AC8" s="3393"/>
    </row>
    <row r="9" spans="1:29" s="1219" customFormat="1" ht="15" thickBot="1">
      <c r="A9" s="2933"/>
      <c r="B9" s="2940" t="s">
        <v>528</v>
      </c>
      <c r="C9" s="519">
        <f>'数据-取费表'!B2</f>
        <v>43507</v>
      </c>
      <c r="D9" s="520">
        <v>100</v>
      </c>
      <c r="E9" s="521"/>
      <c r="F9" s="522">
        <f>SUMIF(67:67,YEAR(E9)&amp;"-"&amp;INT((MONTH(E9)+2)/3),68:68)</f>
        <v>0</v>
      </c>
      <c r="G9" s="523"/>
      <c r="H9" s="520">
        <f>SUMIF(67:67,YEAR(G9)&amp;"-"&amp;INT((MONTH(G9)+2)/3),68:68)</f>
        <v>0</v>
      </c>
      <c r="I9" s="523"/>
      <c r="J9" s="520">
        <f>SUMIF(67:67,YEAR(I9)&amp;"-"&amp;INT((MONTH(I9)+2)/3),68:68)</f>
        <v>0</v>
      </c>
      <c r="K9" s="524"/>
      <c r="L9" s="2132"/>
      <c r="M9" s="2133"/>
      <c r="N9" s="2133"/>
      <c r="O9" s="2133"/>
      <c r="P9" s="3421" t="s">
        <v>529</v>
      </c>
      <c r="Q9" s="3423"/>
      <c r="R9" s="1565" t="s">
        <v>8</v>
      </c>
      <c r="S9" s="1566">
        <f t="shared" ref="S9:S17" si="0">F9</f>
        <v>0</v>
      </c>
      <c r="T9" s="1565" t="s">
        <v>8</v>
      </c>
      <c r="U9" s="1566">
        <f t="shared" ref="U9:U17" si="1">H9</f>
        <v>0</v>
      </c>
      <c r="V9" s="1565" t="s">
        <v>8</v>
      </c>
      <c r="W9" s="1566">
        <f t="shared" ref="W9:W17" si="2">J9</f>
        <v>0</v>
      </c>
      <c r="X9" s="1567"/>
      <c r="Y9" s="3421" t="s">
        <v>529</v>
      </c>
      <c r="Z9" s="3422"/>
      <c r="AA9" s="1568" t="e">
        <f>D9/F9</f>
        <v>#DIV/0!</v>
      </c>
      <c r="AB9" s="1568" t="e">
        <f>D9/H9</f>
        <v>#DIV/0!</v>
      </c>
      <c r="AC9" s="1568" t="e">
        <f>D9/J9</f>
        <v>#DIV/0!</v>
      </c>
    </row>
    <row r="10" spans="1:29" s="1219" customFormat="1" ht="15" thickBot="1">
      <c r="A10" s="2934"/>
      <c r="B10" s="2941"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2"/>
      <c r="M10" s="2133"/>
      <c r="N10" s="2133"/>
      <c r="O10" s="2133"/>
      <c r="P10" s="3421" t="s">
        <v>532</v>
      </c>
      <c r="Q10" s="3422"/>
      <c r="R10" s="1565" t="s">
        <v>8</v>
      </c>
      <c r="S10" s="1566">
        <f t="shared" si="0"/>
        <v>0</v>
      </c>
      <c r="T10" s="1565" t="s">
        <v>8</v>
      </c>
      <c r="U10" s="1566">
        <f t="shared" si="1"/>
        <v>0</v>
      </c>
      <c r="V10" s="1565" t="s">
        <v>8</v>
      </c>
      <c r="W10" s="1566">
        <f t="shared" si="2"/>
        <v>0</v>
      </c>
      <c r="X10" s="1567"/>
      <c r="Y10" s="3421" t="s">
        <v>532</v>
      </c>
      <c r="Z10" s="3422"/>
      <c r="AA10" s="1568" t="e">
        <f t="shared" ref="AA10:AA42" si="3">D10/F10</f>
        <v>#DIV/0!</v>
      </c>
      <c r="AB10" s="1568" t="e">
        <f t="shared" ref="AB10:AB42" si="4">D10/H10</f>
        <v>#DIV/0!</v>
      </c>
      <c r="AC10" s="1568" t="e">
        <f t="shared" ref="AC10:AC42" si="5">D10/J10</f>
        <v>#DIV/0!</v>
      </c>
    </row>
    <row r="11" spans="1:29" s="1219" customFormat="1" ht="14.4">
      <c r="A11" s="2935"/>
      <c r="B11" s="2942" t="s">
        <v>2754</v>
      </c>
      <c r="C11" s="526"/>
      <c r="D11" s="254">
        <v>100</v>
      </c>
      <c r="E11" s="526"/>
      <c r="F11" s="254">
        <f>SUMIF(72:72,E11,73:73)-SUMIF(72:72,C11,73:73)+100</f>
        <v>100</v>
      </c>
      <c r="G11" s="526"/>
      <c r="H11" s="254">
        <f>SUMIF(72:72,G11,73:73)-SUMIF(72:72,C11,73:73)+100</f>
        <v>100</v>
      </c>
      <c r="I11" s="526"/>
      <c r="J11" s="254">
        <f>SUMIF(72:72,I11,73:73)-SUMIF(72:72,C11,73:73)+100</f>
        <v>100</v>
      </c>
      <c r="K11" s="524"/>
      <c r="L11" s="2132"/>
      <c r="M11" s="2133"/>
      <c r="N11" s="2133"/>
      <c r="O11" s="2134"/>
      <c r="P11" s="3388" t="s">
        <v>534</v>
      </c>
      <c r="Q11" s="1150" t="str">
        <f t="shared" ref="Q11:Q17" si="6">B11</f>
        <v>用途</v>
      </c>
      <c r="R11" s="1565" t="s">
        <v>8</v>
      </c>
      <c r="S11" s="1566">
        <f t="shared" si="0"/>
        <v>100</v>
      </c>
      <c r="T11" s="1565" t="s">
        <v>8</v>
      </c>
      <c r="U11" s="1566">
        <f t="shared" si="1"/>
        <v>100</v>
      </c>
      <c r="V11" s="1565" t="s">
        <v>8</v>
      </c>
      <c r="W11" s="1566">
        <f t="shared" si="2"/>
        <v>100</v>
      </c>
      <c r="X11" s="1567"/>
      <c r="Y11" s="3334" t="s">
        <v>535</v>
      </c>
      <c r="Z11" s="1149" t="str">
        <f t="shared" ref="Z11:Z17" si="7">Q11</f>
        <v>用途</v>
      </c>
      <c r="AA11" s="1568">
        <f t="shared" si="3"/>
        <v>1</v>
      </c>
      <c r="AB11" s="1568">
        <f t="shared" si="4"/>
        <v>1</v>
      </c>
      <c r="AC11" s="1568">
        <f t="shared" si="5"/>
        <v>1</v>
      </c>
    </row>
    <row r="12" spans="1:29" s="1337" customFormat="1" ht="28.8">
      <c r="A12" s="2936"/>
      <c r="B12" s="2941" t="s">
        <v>2755</v>
      </c>
      <c r="C12" s="528"/>
      <c r="D12" s="255">
        <v>100</v>
      </c>
      <c r="E12" s="528"/>
      <c r="F12" s="255">
        <f>ROUND(100/'数据-取费表'!G16,0)</f>
        <v>100</v>
      </c>
      <c r="G12" s="528"/>
      <c r="H12" s="255">
        <f>ROUND(100/'数据-取费表'!G16,0)</f>
        <v>100</v>
      </c>
      <c r="I12" s="528"/>
      <c r="J12" s="255">
        <f>ROUND(100/'数据-取费表'!G16,0)</f>
        <v>100</v>
      </c>
      <c r="K12" s="530"/>
      <c r="L12" s="2135"/>
      <c r="M12" s="2175"/>
      <c r="N12" s="2175"/>
      <c r="O12" s="2136"/>
      <c r="P12" s="3388"/>
      <c r="Q12" s="1150" t="str">
        <f t="shared" si="6"/>
        <v>土地使用年限（年）</v>
      </c>
      <c r="R12" s="1565" t="s">
        <v>8</v>
      </c>
      <c r="S12" s="1566">
        <f t="shared" si="0"/>
        <v>100</v>
      </c>
      <c r="T12" s="1565" t="s">
        <v>8</v>
      </c>
      <c r="U12" s="1566">
        <f t="shared" si="1"/>
        <v>100</v>
      </c>
      <c r="V12" s="1565" t="s">
        <v>8</v>
      </c>
      <c r="W12" s="1566">
        <f t="shared" si="2"/>
        <v>100</v>
      </c>
      <c r="X12" s="1567"/>
      <c r="Y12" s="3334"/>
      <c r="Z12" s="1149" t="str">
        <f t="shared" si="7"/>
        <v>土地使用年限（年）</v>
      </c>
      <c r="AA12" s="1568">
        <f t="shared" si="3"/>
        <v>1</v>
      </c>
      <c r="AB12" s="1568">
        <f t="shared" si="4"/>
        <v>1</v>
      </c>
      <c r="AC12" s="1568">
        <f t="shared" si="5"/>
        <v>1</v>
      </c>
    </row>
    <row r="13" spans="1:29" ht="15">
      <c r="A13" s="2937"/>
      <c r="B13" s="2941" t="s">
        <v>2756</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37"/>
      <c r="M13" s="2131"/>
      <c r="N13" s="2131"/>
      <c r="O13" s="2138"/>
      <c r="P13" s="3388"/>
      <c r="Q13" s="1150" t="str">
        <f t="shared" si="6"/>
        <v>容积率</v>
      </c>
      <c r="R13" s="1565" t="s">
        <v>8</v>
      </c>
      <c r="S13" s="1566" t="e">
        <f t="shared" si="0"/>
        <v>#N/A</v>
      </c>
      <c r="T13" s="1565" t="s">
        <v>8</v>
      </c>
      <c r="U13" s="1566" t="e">
        <f t="shared" si="1"/>
        <v>#N/A</v>
      </c>
      <c r="V13" s="1565" t="s">
        <v>8</v>
      </c>
      <c r="W13" s="1566" t="e">
        <f t="shared" si="2"/>
        <v>#N/A</v>
      </c>
      <c r="X13" s="1567"/>
      <c r="Y13" s="3334"/>
      <c r="Z13" s="1149" t="str">
        <f t="shared" si="7"/>
        <v>容积率</v>
      </c>
      <c r="AA13" s="1568" t="e">
        <f t="shared" si="3"/>
        <v>#N/A</v>
      </c>
      <c r="AB13" s="1568" t="e">
        <f t="shared" si="4"/>
        <v>#N/A</v>
      </c>
      <c r="AC13" s="1568" t="e">
        <f t="shared" si="5"/>
        <v>#N/A</v>
      </c>
    </row>
    <row r="14" spans="1:29" s="1219" customFormat="1" ht="15">
      <c r="A14" s="2938"/>
      <c r="B14" s="2944">
        <v>111</v>
      </c>
      <c r="C14" s="528"/>
      <c r="D14" s="537">
        <v>100</v>
      </c>
      <c r="E14" s="540"/>
      <c r="F14" s="255">
        <f>SUMIF(79:79,E14,80:80)-SUMIF(79:79,C14,80:80)+100</f>
        <v>100</v>
      </c>
      <c r="G14" s="541"/>
      <c r="H14" s="255">
        <f>SUMIF(79:79,G14,80:80)-SUMIF(79:79,C14,80:80)+100</f>
        <v>100</v>
      </c>
      <c r="I14" s="540"/>
      <c r="J14" s="255">
        <f>SUMIF(79:79,I14,80:80)-SUMIF(79:79,C14,80:80)+100</f>
        <v>100</v>
      </c>
      <c r="K14" s="530"/>
      <c r="L14" s="2132"/>
      <c r="M14" s="2133"/>
      <c r="N14" s="2133"/>
      <c r="O14" s="2134"/>
      <c r="P14" s="3388"/>
      <c r="Q14" s="1150">
        <f t="shared" si="6"/>
        <v>111</v>
      </c>
      <c r="R14" s="1565" t="s">
        <v>8</v>
      </c>
      <c r="S14" s="1566">
        <f t="shared" si="0"/>
        <v>100</v>
      </c>
      <c r="T14" s="1565" t="s">
        <v>8</v>
      </c>
      <c r="U14" s="1566">
        <f t="shared" si="1"/>
        <v>100</v>
      </c>
      <c r="V14" s="1565" t="s">
        <v>8</v>
      </c>
      <c r="W14" s="1566">
        <f t="shared" si="2"/>
        <v>100</v>
      </c>
      <c r="X14" s="1567"/>
      <c r="Y14" s="3334"/>
      <c r="Z14" s="1149">
        <f t="shared" si="7"/>
        <v>111</v>
      </c>
      <c r="AA14" s="1568">
        <f>D14/F14</f>
        <v>1</v>
      </c>
      <c r="AB14" s="1568">
        <f>D14/H14</f>
        <v>1</v>
      </c>
      <c r="AC14" s="1568">
        <f>D14/J14</f>
        <v>1</v>
      </c>
    </row>
    <row r="15" spans="1:29" ht="15">
      <c r="A15" s="2938"/>
      <c r="B15" s="2944">
        <v>111</v>
      </c>
      <c r="C15" s="538"/>
      <c r="D15" s="539">
        <v>100</v>
      </c>
      <c r="E15" s="540"/>
      <c r="F15" s="255">
        <f>SUMIF(81:81,E15,82:82)-SUMIF(81:81,C15,82:82)+100</f>
        <v>100</v>
      </c>
      <c r="G15" s="541"/>
      <c r="H15" s="539">
        <f>SUMIF(81:81,G15,82:82)-SUMIF(81:81,C15,82:82)+100</f>
        <v>100</v>
      </c>
      <c r="I15" s="540"/>
      <c r="J15" s="539">
        <f>SUMIF(81:81,I15,82:82)-SUMIF(81:81,C15,82:82)+100</f>
        <v>100</v>
      </c>
      <c r="K15" s="530"/>
      <c r="L15" s="2139"/>
      <c r="M15" s="2131"/>
      <c r="N15" s="2131"/>
      <c r="O15" s="2138"/>
      <c r="P15" s="3388"/>
      <c r="Q15" s="1150">
        <f t="shared" si="6"/>
        <v>111</v>
      </c>
      <c r="R15" s="1565" t="s">
        <v>8</v>
      </c>
      <c r="S15" s="1566">
        <f t="shared" si="0"/>
        <v>100</v>
      </c>
      <c r="T15" s="1565" t="s">
        <v>8</v>
      </c>
      <c r="U15" s="1566">
        <f t="shared" si="1"/>
        <v>100</v>
      </c>
      <c r="V15" s="1565" t="s">
        <v>8</v>
      </c>
      <c r="W15" s="1566">
        <f t="shared" si="2"/>
        <v>100</v>
      </c>
      <c r="X15" s="1567"/>
      <c r="Y15" s="3334"/>
      <c r="Z15" s="1149">
        <f t="shared" si="7"/>
        <v>111</v>
      </c>
      <c r="AA15" s="1568">
        <f t="shared" si="3"/>
        <v>1</v>
      </c>
      <c r="AB15" s="1568">
        <f t="shared" si="4"/>
        <v>1</v>
      </c>
      <c r="AC15" s="1568">
        <f t="shared" si="5"/>
        <v>1</v>
      </c>
    </row>
    <row r="16" spans="1:29" ht="15.6"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388"/>
      <c r="Q16" s="1150">
        <f t="shared" si="6"/>
        <v>111</v>
      </c>
      <c r="R16" s="1565" t="s">
        <v>8</v>
      </c>
      <c r="S16" s="1566">
        <f t="shared" si="0"/>
        <v>100</v>
      </c>
      <c r="T16" s="1565" t="s">
        <v>8</v>
      </c>
      <c r="U16" s="1566">
        <f t="shared" si="1"/>
        <v>100</v>
      </c>
      <c r="V16" s="1565" t="s">
        <v>8</v>
      </c>
      <c r="W16" s="1566">
        <f t="shared" si="2"/>
        <v>100</v>
      </c>
      <c r="X16" s="1567"/>
      <c r="Y16" s="3334"/>
      <c r="Z16" s="1149">
        <f t="shared" si="7"/>
        <v>111</v>
      </c>
      <c r="AA16" s="1568">
        <f t="shared" si="3"/>
        <v>1</v>
      </c>
      <c r="AB16" s="1568">
        <f t="shared" si="4"/>
        <v>1</v>
      </c>
      <c r="AC16" s="1568">
        <f t="shared" si="5"/>
        <v>1</v>
      </c>
    </row>
    <row r="17" spans="1:29" ht="69">
      <c r="A17" s="2931" t="s">
        <v>2752</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24" t="s">
        <v>539</v>
      </c>
      <c r="Q17" s="1569" t="str">
        <f t="shared" si="6"/>
        <v>产业集聚程度</v>
      </c>
      <c r="R17" s="1570" t="s">
        <v>8</v>
      </c>
      <c r="S17" s="1571">
        <f t="shared" si="0"/>
        <v>100</v>
      </c>
      <c r="T17" s="1570" t="s">
        <v>8</v>
      </c>
      <c r="U17" s="1571">
        <f t="shared" si="1"/>
        <v>100</v>
      </c>
      <c r="V17" s="1570" t="s">
        <v>8</v>
      </c>
      <c r="W17" s="1571">
        <f t="shared" si="2"/>
        <v>100</v>
      </c>
      <c r="X17" s="1564"/>
      <c r="Y17" s="3424" t="s">
        <v>539</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9"/>
      <c r="M18" s="2131"/>
      <c r="N18" s="2131"/>
      <c r="O18" s="2138"/>
      <c r="P18" s="3425"/>
      <c r="Q18" s="1569"/>
      <c r="R18" s="1570"/>
      <c r="S18" s="1571"/>
      <c r="T18" s="1570"/>
      <c r="U18" s="1571"/>
      <c r="V18" s="1570"/>
      <c r="W18" s="1571"/>
      <c r="X18" s="1564"/>
      <c r="Y18" s="3425"/>
      <c r="Z18" s="1572"/>
      <c r="AA18" s="1573">
        <v>1</v>
      </c>
      <c r="AB18" s="1573">
        <v>1</v>
      </c>
      <c r="AC18" s="1573">
        <v>1</v>
      </c>
    </row>
    <row r="19" spans="1:29" ht="96.6">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25"/>
      <c r="Q19" s="1569" t="str">
        <f>B19</f>
        <v>交通便捷度</v>
      </c>
      <c r="R19" s="1570" t="s">
        <v>8</v>
      </c>
      <c r="S19" s="1571">
        <f>F19</f>
        <v>100</v>
      </c>
      <c r="T19" s="1570" t="s">
        <v>8</v>
      </c>
      <c r="U19" s="1571">
        <f>H19</f>
        <v>100</v>
      </c>
      <c r="V19" s="1570" t="s">
        <v>8</v>
      </c>
      <c r="W19" s="1571">
        <f>J19</f>
        <v>100</v>
      </c>
      <c r="X19" s="1564"/>
      <c r="Y19" s="3425"/>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39"/>
      <c r="M20" s="2131"/>
      <c r="N20" s="2131"/>
      <c r="O20" s="2138"/>
      <c r="P20" s="3425"/>
      <c r="Q20" s="1569"/>
      <c r="R20" s="1570"/>
      <c r="S20" s="1571"/>
      <c r="T20" s="1570"/>
      <c r="U20" s="1571"/>
      <c r="V20" s="1570"/>
      <c r="W20" s="1571"/>
      <c r="X20" s="1564"/>
      <c r="Y20" s="3425"/>
      <c r="Z20" s="1572"/>
      <c r="AA20" s="1573">
        <v>1</v>
      </c>
      <c r="AB20" s="1573">
        <v>1</v>
      </c>
      <c r="AC20" s="1573">
        <v>1</v>
      </c>
    </row>
    <row r="21" spans="1:29" ht="28.8">
      <c r="A21" s="515"/>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39"/>
      <c r="M21" s="2131"/>
      <c r="N21" s="2131"/>
      <c r="O21" s="2138"/>
      <c r="P21" s="3425"/>
      <c r="Q21" s="1569" t="str">
        <f t="shared" ref="Q21:Q35" si="8">B21</f>
        <v>区域土地利用方向</v>
      </c>
      <c r="R21" s="1570" t="s">
        <v>8</v>
      </c>
      <c r="S21" s="1571">
        <f>F21</f>
        <v>100</v>
      </c>
      <c r="T21" s="1570" t="s">
        <v>8</v>
      </c>
      <c r="U21" s="1571">
        <f>H21</f>
        <v>100</v>
      </c>
      <c r="V21" s="1570" t="s">
        <v>8</v>
      </c>
      <c r="W21" s="1571">
        <f>J21</f>
        <v>100</v>
      </c>
      <c r="X21" s="1564"/>
      <c r="Y21" s="3425"/>
      <c r="Z21" s="1572" t="str">
        <f>Q21</f>
        <v>区域土地利用方向</v>
      </c>
      <c r="AA21" s="1573">
        <f t="shared" si="3"/>
        <v>1</v>
      </c>
      <c r="AB21" s="1573">
        <f t="shared" si="4"/>
        <v>1</v>
      </c>
      <c r="AC21" s="1573">
        <f t="shared" si="5"/>
        <v>1</v>
      </c>
    </row>
    <row r="22" spans="1:29" ht="15">
      <c r="A22" s="515"/>
      <c r="B22" s="594"/>
      <c r="C22" s="575"/>
      <c r="D22" s="554"/>
      <c r="E22" s="555"/>
      <c r="F22" s="556"/>
      <c r="G22" s="557"/>
      <c r="H22" s="556"/>
      <c r="I22" s="557"/>
      <c r="J22" s="556"/>
      <c r="K22" s="1347"/>
      <c r="L22" s="2139"/>
      <c r="M22" s="2131"/>
      <c r="N22" s="2131"/>
      <c r="O22" s="2138"/>
      <c r="P22" s="3425"/>
      <c r="Q22" s="1569"/>
      <c r="R22" s="1570"/>
      <c r="S22" s="1571"/>
      <c r="T22" s="1570"/>
      <c r="U22" s="1571"/>
      <c r="V22" s="1570"/>
      <c r="W22" s="1571"/>
      <c r="X22" s="1564"/>
      <c r="Y22" s="3425"/>
      <c r="Z22" s="1572"/>
      <c r="AA22" s="1573"/>
      <c r="AB22" s="1573"/>
      <c r="AC22" s="1573"/>
    </row>
    <row r="23" spans="1:29" ht="82.8">
      <c r="A23" s="515"/>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25"/>
      <c r="Q23" s="1569" t="str">
        <f t="shared" si="8"/>
        <v>环境状况</v>
      </c>
      <c r="R23" s="1570" t="s">
        <v>8</v>
      </c>
      <c r="S23" s="1571">
        <f>F23</f>
        <v>100</v>
      </c>
      <c r="T23" s="1570" t="s">
        <v>8</v>
      </c>
      <c r="U23" s="1571">
        <f>H23</f>
        <v>100</v>
      </c>
      <c r="V23" s="1570" t="s">
        <v>8</v>
      </c>
      <c r="W23" s="1571">
        <f>J23</f>
        <v>100</v>
      </c>
      <c r="X23" s="1564"/>
      <c r="Y23" s="3425"/>
      <c r="Z23" s="1572" t="str">
        <f>Q23</f>
        <v>环境状况</v>
      </c>
      <c r="AA23" s="1573">
        <f t="shared" si="3"/>
        <v>1</v>
      </c>
      <c r="AB23" s="1573">
        <f t="shared" si="4"/>
        <v>1</v>
      </c>
      <c r="AC23" s="1573">
        <f t="shared" si="5"/>
        <v>1</v>
      </c>
    </row>
    <row r="24" spans="1:29" ht="15">
      <c r="A24" s="515"/>
      <c r="B24" s="594"/>
      <c r="C24" s="575"/>
      <c r="D24" s="554"/>
      <c r="E24" s="553"/>
      <c r="F24" s="554"/>
      <c r="G24" s="553"/>
      <c r="H24" s="554"/>
      <c r="I24" s="575"/>
      <c r="J24" s="554"/>
      <c r="K24" s="530"/>
      <c r="L24" s="2139"/>
      <c r="M24" s="2131"/>
      <c r="N24" s="2131"/>
      <c r="O24" s="2138"/>
      <c r="P24" s="3425"/>
      <c r="Q24" s="1569"/>
      <c r="R24" s="1570"/>
      <c r="S24" s="1571"/>
      <c r="T24" s="1570"/>
      <c r="U24" s="1571"/>
      <c r="V24" s="1570"/>
      <c r="W24" s="1571"/>
      <c r="X24" s="1564"/>
      <c r="Y24" s="3425"/>
      <c r="Z24" s="1572"/>
      <c r="AA24" s="1573">
        <v>1</v>
      </c>
      <c r="AB24" s="1573">
        <v>1</v>
      </c>
      <c r="AC24" s="1573">
        <v>1</v>
      </c>
    </row>
    <row r="25" spans="1:29" s="1219" customFormat="1" ht="41.4">
      <c r="A25" s="576"/>
      <c r="B25" s="2614"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25"/>
      <c r="Q25" s="1150" t="str">
        <f t="shared" si="8"/>
        <v>公共配套设施</v>
      </c>
      <c r="R25" s="1565" t="s">
        <v>8</v>
      </c>
      <c r="S25" s="1566">
        <f>F25</f>
        <v>100</v>
      </c>
      <c r="T25" s="1565" t="s">
        <v>8</v>
      </c>
      <c r="U25" s="1566">
        <f>H25</f>
        <v>100</v>
      </c>
      <c r="V25" s="1565" t="s">
        <v>8</v>
      </c>
      <c r="W25" s="1566">
        <f>J25</f>
        <v>100</v>
      </c>
      <c r="X25" s="1567"/>
      <c r="Y25" s="3425"/>
      <c r="Z25" s="1149" t="str">
        <f>Q25</f>
        <v>公共配套设施</v>
      </c>
      <c r="AA25" s="1573">
        <f>D25/F25</f>
        <v>1</v>
      </c>
      <c r="AB25" s="1573">
        <f>D25/H25</f>
        <v>1</v>
      </c>
      <c r="AC25" s="1573">
        <f>D25/J25</f>
        <v>1</v>
      </c>
    </row>
    <row r="26" spans="1:29" s="1219" customFormat="1" ht="15">
      <c r="A26" s="576"/>
      <c r="B26" s="594"/>
      <c r="C26" s="2613"/>
      <c r="D26" s="554"/>
      <c r="E26" s="553"/>
      <c r="F26" s="554"/>
      <c r="G26" s="553"/>
      <c r="H26" s="554"/>
      <c r="I26" s="575"/>
      <c r="J26" s="554"/>
      <c r="K26" s="530"/>
      <c r="L26" s="2132"/>
      <c r="M26" s="2133"/>
      <c r="N26" s="2133"/>
      <c r="O26" s="2134"/>
      <c r="P26" s="3425"/>
      <c r="Q26" s="1150"/>
      <c r="R26" s="1565"/>
      <c r="S26" s="1566"/>
      <c r="T26" s="1565"/>
      <c r="U26" s="1566"/>
      <c r="V26" s="1565"/>
      <c r="W26" s="1566"/>
      <c r="X26" s="1567"/>
      <c r="Y26" s="3425"/>
      <c r="Z26" s="1149"/>
      <c r="AA26" s="1568">
        <v>1</v>
      </c>
      <c r="AB26" s="1568">
        <v>1</v>
      </c>
      <c r="AC26" s="1568">
        <v>1</v>
      </c>
    </row>
    <row r="27" spans="1:29" s="1219" customFormat="1" ht="41.4">
      <c r="A27" s="576"/>
      <c r="B27" s="2614"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25"/>
      <c r="Q27" s="2599" t="str">
        <f t="shared" ref="Q27" si="9">B27</f>
        <v>基础设施水平</v>
      </c>
      <c r="R27" s="1565" t="s">
        <v>8</v>
      </c>
      <c r="S27" s="1566">
        <f>F27</f>
        <v>100</v>
      </c>
      <c r="T27" s="1565" t="s">
        <v>8</v>
      </c>
      <c r="U27" s="1566">
        <f>H27</f>
        <v>100</v>
      </c>
      <c r="V27" s="1565" t="s">
        <v>8</v>
      </c>
      <c r="W27" s="1566">
        <f>J27</f>
        <v>100</v>
      </c>
      <c r="X27" s="1567"/>
      <c r="Y27" s="3425"/>
      <c r="Z27" s="2596" t="str">
        <f>Q27</f>
        <v>基础设施水平</v>
      </c>
      <c r="AA27" s="1573">
        <f>D27/F27</f>
        <v>1</v>
      </c>
      <c r="AB27" s="1573">
        <f>D27/H27</f>
        <v>1</v>
      </c>
      <c r="AC27" s="1573">
        <f>D27/J27</f>
        <v>1</v>
      </c>
    </row>
    <row r="28" spans="1:29" s="1219" customFormat="1" ht="15">
      <c r="A28" s="576"/>
      <c r="B28" s="594"/>
      <c r="C28" s="2613"/>
      <c r="D28" s="554"/>
      <c r="E28" s="578"/>
      <c r="F28" s="554"/>
      <c r="G28" s="578"/>
      <c r="H28" s="554"/>
      <c r="I28" s="578"/>
      <c r="J28" s="554"/>
      <c r="K28" s="530"/>
      <c r="L28" s="2132"/>
      <c r="M28" s="2133"/>
      <c r="N28" s="2133"/>
      <c r="O28" s="2134"/>
      <c r="P28" s="3425"/>
      <c r="Q28" s="2599"/>
      <c r="R28" s="1565"/>
      <c r="S28" s="1566"/>
      <c r="T28" s="1565"/>
      <c r="U28" s="1566"/>
      <c r="V28" s="1565"/>
      <c r="W28" s="1566"/>
      <c r="X28" s="1567"/>
      <c r="Y28" s="3425"/>
      <c r="Z28" s="2596"/>
      <c r="AA28" s="1568">
        <v>1</v>
      </c>
      <c r="AB28" s="1568">
        <v>1</v>
      </c>
      <c r="AC28" s="1568">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25"/>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25"/>
      <c r="Z29" s="1572" t="str">
        <f t="shared" ref="Z29:Z42" si="13">Q29</f>
        <v>临街状况</v>
      </c>
      <c r="AA29" s="1573">
        <f t="shared" si="3"/>
        <v>1</v>
      </c>
      <c r="AB29" s="1573">
        <f t="shared" si="4"/>
        <v>1</v>
      </c>
      <c r="AC29" s="1573">
        <f t="shared" si="5"/>
        <v>1</v>
      </c>
    </row>
    <row r="30" spans="1:29" ht="28.8">
      <c r="A30" s="531"/>
      <c r="B30" s="921" t="s">
        <v>547</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25"/>
      <c r="Q30" s="1569" t="str">
        <f t="shared" si="8"/>
        <v>毗邻道路的类型与等级</v>
      </c>
      <c r="R30" s="1570" t="s">
        <v>8</v>
      </c>
      <c r="S30" s="1571">
        <f t="shared" si="10"/>
        <v>100</v>
      </c>
      <c r="T30" s="1570" t="s">
        <v>8</v>
      </c>
      <c r="U30" s="1571">
        <f t="shared" si="11"/>
        <v>100</v>
      </c>
      <c r="V30" s="1570" t="s">
        <v>8</v>
      </c>
      <c r="W30" s="1571">
        <f t="shared" si="12"/>
        <v>100</v>
      </c>
      <c r="X30" s="1564"/>
      <c r="Y30" s="3425"/>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9"/>
      <c r="M31" s="2131"/>
      <c r="N31" s="2131"/>
      <c r="O31" s="2138"/>
      <c r="P31" s="3425"/>
      <c r="Q31" s="1569"/>
      <c r="R31" s="1570"/>
      <c r="S31" s="1571"/>
      <c r="T31" s="1570"/>
      <c r="U31" s="1571"/>
      <c r="V31" s="1570"/>
      <c r="W31" s="1571"/>
      <c r="X31" s="1564"/>
      <c r="Y31" s="3425"/>
      <c r="Z31" s="1572"/>
      <c r="AA31" s="1573">
        <v>1</v>
      </c>
      <c r="AB31" s="1573">
        <v>1</v>
      </c>
      <c r="AC31" s="1573">
        <v>1</v>
      </c>
    </row>
    <row r="32" spans="1:29" ht="15">
      <c r="A32" s="531"/>
      <c r="B32" s="527" t="s">
        <v>548</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25"/>
      <c r="Q32" s="1569" t="str">
        <f t="shared" si="8"/>
        <v>土地级别</v>
      </c>
      <c r="R32" s="1570" t="s">
        <v>8</v>
      </c>
      <c r="S32" s="1571">
        <f t="shared" si="10"/>
        <v>100</v>
      </c>
      <c r="T32" s="1570" t="s">
        <v>8</v>
      </c>
      <c r="U32" s="1571">
        <f t="shared" si="11"/>
        <v>100</v>
      </c>
      <c r="V32" s="1570" t="s">
        <v>8</v>
      </c>
      <c r="W32" s="1571">
        <f t="shared" si="12"/>
        <v>100</v>
      </c>
      <c r="X32" s="1564"/>
      <c r="Y32" s="3425"/>
      <c r="Z32" s="1572" t="str">
        <f t="shared" si="13"/>
        <v>土地级别</v>
      </c>
      <c r="AA32" s="1573">
        <f t="shared" si="3"/>
        <v>1</v>
      </c>
      <c r="AB32" s="1573">
        <f t="shared" si="4"/>
        <v>1</v>
      </c>
      <c r="AC32" s="1573">
        <f t="shared" si="5"/>
        <v>1</v>
      </c>
    </row>
    <row r="33" spans="1:29" ht="15">
      <c r="A33" s="515"/>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25"/>
      <c r="Q33" s="1569">
        <f t="shared" si="8"/>
        <v>111</v>
      </c>
      <c r="R33" s="1570" t="s">
        <v>8</v>
      </c>
      <c r="S33" s="1571">
        <f t="shared" si="10"/>
        <v>100</v>
      </c>
      <c r="T33" s="1570" t="s">
        <v>8</v>
      </c>
      <c r="U33" s="1571">
        <f t="shared" si="11"/>
        <v>100</v>
      </c>
      <c r="V33" s="1570" t="s">
        <v>8</v>
      </c>
      <c r="W33" s="1571">
        <f t="shared" si="12"/>
        <v>100</v>
      </c>
      <c r="X33" s="1564"/>
      <c r="Y33" s="3425"/>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26" t="s">
        <v>549</v>
      </c>
      <c r="Q34" s="1569">
        <f t="shared" si="8"/>
        <v>111</v>
      </c>
      <c r="R34" s="1570" t="s">
        <v>8</v>
      </c>
      <c r="S34" s="1571">
        <f t="shared" si="10"/>
        <v>100</v>
      </c>
      <c r="T34" s="1570" t="s">
        <v>8</v>
      </c>
      <c r="U34" s="1571">
        <f t="shared" si="11"/>
        <v>100</v>
      </c>
      <c r="V34" s="1570" t="s">
        <v>8</v>
      </c>
      <c r="W34" s="1571">
        <f t="shared" si="12"/>
        <v>100</v>
      </c>
      <c r="X34" s="1564"/>
      <c r="Y34" s="3427" t="s">
        <v>549</v>
      </c>
      <c r="Z34" s="1572">
        <f t="shared" si="13"/>
        <v>111</v>
      </c>
      <c r="AA34" s="1573">
        <f t="shared" si="3"/>
        <v>1</v>
      </c>
      <c r="AB34" s="1573">
        <f t="shared" si="4"/>
        <v>1</v>
      </c>
      <c r="AC34" s="1573">
        <f t="shared" si="5"/>
        <v>1</v>
      </c>
    </row>
    <row r="35" spans="1:29" s="1338" customFormat="1" ht="15.6" thickBot="1">
      <c r="A35" s="588"/>
      <c r="B35" s="2615">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27"/>
      <c r="Q35" s="1569">
        <f t="shared" si="8"/>
        <v>111</v>
      </c>
      <c r="R35" s="1574" t="s">
        <v>8</v>
      </c>
      <c r="S35" s="1575">
        <f t="shared" si="10"/>
        <v>100</v>
      </c>
      <c r="T35" s="1574" t="s">
        <v>8</v>
      </c>
      <c r="U35" s="1575">
        <f t="shared" si="11"/>
        <v>100</v>
      </c>
      <c r="V35" s="1574" t="s">
        <v>8</v>
      </c>
      <c r="W35" s="1575">
        <f t="shared" si="12"/>
        <v>100</v>
      </c>
      <c r="X35" s="1576"/>
      <c r="Y35" s="3427"/>
      <c r="Z35" s="1577">
        <f t="shared" si="13"/>
        <v>111</v>
      </c>
      <c r="AA35" s="1573">
        <f t="shared" si="3"/>
        <v>1</v>
      </c>
      <c r="AB35" s="1573">
        <f t="shared" si="4"/>
        <v>1</v>
      </c>
      <c r="AC35" s="1573">
        <f t="shared" si="5"/>
        <v>1</v>
      </c>
    </row>
    <row r="36" spans="1:29" ht="15">
      <c r="A36" s="2928" t="s">
        <v>2753</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27"/>
      <c r="Q36" s="1569" t="str">
        <f>B36</f>
        <v>宗地面积</v>
      </c>
      <c r="R36" s="1570" t="s">
        <v>8</v>
      </c>
      <c r="S36" s="1571" t="e">
        <f t="shared" si="10"/>
        <v>#N/A</v>
      </c>
      <c r="T36" s="1570" t="s">
        <v>8</v>
      </c>
      <c r="U36" s="1571" t="e">
        <f t="shared" si="11"/>
        <v>#N/A</v>
      </c>
      <c r="V36" s="1570" t="s">
        <v>8</v>
      </c>
      <c r="W36" s="1571" t="e">
        <f t="shared" si="12"/>
        <v>#N/A</v>
      </c>
      <c r="X36" s="1564"/>
      <c r="Y36" s="3427"/>
      <c r="Z36" s="1572" t="str">
        <f t="shared" si="13"/>
        <v>宗地面积</v>
      </c>
      <c r="AA36" s="1573" t="e">
        <f t="shared" si="3"/>
        <v>#N/A</v>
      </c>
      <c r="AB36" s="1573" t="e">
        <f t="shared" si="4"/>
        <v>#N/A</v>
      </c>
      <c r="AC36" s="1573" t="e">
        <f t="shared" si="5"/>
        <v>#N/A</v>
      </c>
    </row>
    <row r="37" spans="1:29" ht="15">
      <c r="A37" s="593"/>
      <c r="B37" s="527"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27"/>
      <c r="Q37" s="1569" t="str">
        <f t="shared" ref="Q37:Q42" si="14">B37</f>
        <v>宗地形状</v>
      </c>
      <c r="R37" s="1570" t="s">
        <v>8</v>
      </c>
      <c r="S37" s="1571">
        <f t="shared" si="10"/>
        <v>100</v>
      </c>
      <c r="T37" s="1570" t="s">
        <v>8</v>
      </c>
      <c r="U37" s="1571">
        <f t="shared" si="11"/>
        <v>100</v>
      </c>
      <c r="V37" s="1570" t="s">
        <v>8</v>
      </c>
      <c r="W37" s="1571">
        <f t="shared" si="12"/>
        <v>100</v>
      </c>
      <c r="X37" s="1564"/>
      <c r="Y37" s="3427"/>
      <c r="Z37" s="1572" t="str">
        <f t="shared" si="13"/>
        <v>宗地形状</v>
      </c>
      <c r="AA37" s="1573">
        <f t="shared" si="3"/>
        <v>1</v>
      </c>
      <c r="AB37" s="1573">
        <f t="shared" si="4"/>
        <v>1</v>
      </c>
      <c r="AC37" s="1573">
        <f t="shared" si="5"/>
        <v>1</v>
      </c>
    </row>
    <row r="38" spans="1:29" s="1219" customFormat="1" ht="15">
      <c r="A38" s="599"/>
      <c r="B38" s="1892" t="s">
        <v>2424</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27"/>
      <c r="Q38" s="1569" t="str">
        <f t="shared" si="14"/>
        <v>宗地开发程度</v>
      </c>
      <c r="R38" s="1565" t="s">
        <v>8</v>
      </c>
      <c r="S38" s="1566">
        <f t="shared" si="10"/>
        <v>100</v>
      </c>
      <c r="T38" s="1565" t="s">
        <v>8</v>
      </c>
      <c r="U38" s="1566">
        <f t="shared" si="11"/>
        <v>100</v>
      </c>
      <c r="V38" s="1565" t="s">
        <v>8</v>
      </c>
      <c r="W38" s="1566">
        <f t="shared" si="12"/>
        <v>100</v>
      </c>
      <c r="X38" s="1567"/>
      <c r="Y38" s="3427"/>
      <c r="Z38" s="1149" t="str">
        <f t="shared" si="13"/>
        <v>宗地开发程度</v>
      </c>
      <c r="AA38" s="1568">
        <f t="shared" si="3"/>
        <v>1</v>
      </c>
      <c r="AB38" s="1568">
        <f t="shared" si="4"/>
        <v>1</v>
      </c>
      <c r="AC38" s="1568">
        <f t="shared" si="5"/>
        <v>1</v>
      </c>
    </row>
    <row r="39" spans="1:29" ht="15">
      <c r="A39" s="593"/>
      <c r="B39" s="527"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27" t="s">
        <v>600</v>
      </c>
      <c r="Q39" s="1569" t="str">
        <f t="shared" si="14"/>
        <v>工程地质条件</v>
      </c>
      <c r="R39" s="1570" t="s">
        <v>8</v>
      </c>
      <c r="S39" s="1571">
        <f t="shared" si="10"/>
        <v>100</v>
      </c>
      <c r="T39" s="1570" t="s">
        <v>8</v>
      </c>
      <c r="U39" s="1571">
        <f t="shared" si="11"/>
        <v>100</v>
      </c>
      <c r="V39" s="1570" t="s">
        <v>8</v>
      </c>
      <c r="W39" s="1571">
        <f t="shared" si="12"/>
        <v>100</v>
      </c>
      <c r="X39" s="1564"/>
      <c r="Y39" s="3427" t="s">
        <v>600</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27"/>
      <c r="Q40" s="1569">
        <f t="shared" si="14"/>
        <v>111</v>
      </c>
      <c r="R40" s="1570" t="s">
        <v>8</v>
      </c>
      <c r="S40" s="1571">
        <f t="shared" si="10"/>
        <v>100</v>
      </c>
      <c r="T40" s="1570" t="s">
        <v>8</v>
      </c>
      <c r="U40" s="1571">
        <f t="shared" si="11"/>
        <v>100</v>
      </c>
      <c r="V40" s="1570" t="s">
        <v>8</v>
      </c>
      <c r="W40" s="1571">
        <f t="shared" si="12"/>
        <v>100</v>
      </c>
      <c r="X40" s="1564"/>
      <c r="Y40" s="3427"/>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27"/>
      <c r="Q41" s="1569">
        <f t="shared" si="14"/>
        <v>111</v>
      </c>
      <c r="R41" s="1570" t="s">
        <v>8</v>
      </c>
      <c r="S41" s="1571">
        <f t="shared" si="10"/>
        <v>100</v>
      </c>
      <c r="T41" s="1570" t="s">
        <v>8</v>
      </c>
      <c r="U41" s="1571">
        <f t="shared" si="11"/>
        <v>100</v>
      </c>
      <c r="V41" s="1570" t="s">
        <v>8</v>
      </c>
      <c r="W41" s="1571">
        <f t="shared" si="12"/>
        <v>100</v>
      </c>
      <c r="X41" s="1564"/>
      <c r="Y41" s="3427"/>
      <c r="Z41" s="1572">
        <f t="shared" si="13"/>
        <v>111</v>
      </c>
      <c r="AA41" s="1573">
        <f t="shared" si="3"/>
        <v>1</v>
      </c>
      <c r="AB41" s="1573">
        <f t="shared" si="4"/>
        <v>1</v>
      </c>
      <c r="AC41" s="1573">
        <f t="shared" si="5"/>
        <v>1</v>
      </c>
    </row>
    <row r="42" spans="1:29" s="1338" customFormat="1" ht="15.6"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27"/>
      <c r="Q42" s="1569">
        <f t="shared" si="14"/>
        <v>111</v>
      </c>
      <c r="R42" s="1574" t="s">
        <v>8</v>
      </c>
      <c r="S42" s="1575">
        <f t="shared" si="10"/>
        <v>100</v>
      </c>
      <c r="T42" s="1574" t="s">
        <v>8</v>
      </c>
      <c r="U42" s="1575">
        <f t="shared" si="11"/>
        <v>100</v>
      </c>
      <c r="V42" s="1574" t="s">
        <v>8</v>
      </c>
      <c r="W42" s="1575">
        <f t="shared" si="12"/>
        <v>100</v>
      </c>
      <c r="X42" s="1576"/>
      <c r="Y42" s="3427"/>
      <c r="Z42" s="1577">
        <f t="shared" si="13"/>
        <v>111</v>
      </c>
      <c r="AA42" s="1573">
        <f t="shared" si="3"/>
        <v>1</v>
      </c>
      <c r="AB42" s="1573">
        <f t="shared" si="4"/>
        <v>1</v>
      </c>
      <c r="AC42" s="1573">
        <f t="shared" si="5"/>
        <v>1</v>
      </c>
    </row>
    <row r="43" spans="1:29" ht="14.4">
      <c r="A43" s="606" t="s">
        <v>555</v>
      </c>
      <c r="B43" s="607" t="s">
        <v>2930</v>
      </c>
      <c r="C43" s="608" t="s">
        <v>1</v>
      </c>
      <c r="D43" s="609"/>
      <c r="E43" s="610"/>
      <c r="F43" s="611"/>
      <c r="G43" s="612"/>
      <c r="H43" s="613"/>
      <c r="I43" s="610"/>
      <c r="J43" s="613"/>
      <c r="K43" s="1339"/>
      <c r="L43" s="2141"/>
      <c r="M43" s="2131"/>
      <c r="N43" s="2131"/>
      <c r="O43" s="2142"/>
      <c r="P43" s="3388" t="str">
        <f>A43</f>
        <v>成交单价</v>
      </c>
      <c r="Q43" s="3388"/>
      <c r="R43" s="3389">
        <f>E43</f>
        <v>0</v>
      </c>
      <c r="S43" s="3389"/>
      <c r="T43" s="3389">
        <f>G43</f>
        <v>0</v>
      </c>
      <c r="U43" s="3389"/>
      <c r="V43" s="3389">
        <f>I43</f>
        <v>0</v>
      </c>
      <c r="W43" s="3389"/>
      <c r="X43" s="1556"/>
      <c r="Y43" s="1578"/>
      <c r="Z43" s="1556"/>
      <c r="AA43" s="1556"/>
      <c r="AB43" s="1556"/>
      <c r="AC43" s="1556"/>
    </row>
    <row r="44" spans="1:29" ht="15" thickBot="1">
      <c r="A44" s="614" t="s">
        <v>2691</v>
      </c>
      <c r="B44" s="615"/>
      <c r="C44" s="616" t="e">
        <f>R45</f>
        <v>#DIV/0!</v>
      </c>
      <c r="D44" s="617"/>
      <c r="E44" s="616" t="e">
        <f>R44</f>
        <v>#DIV/0!</v>
      </c>
      <c r="F44" s="618"/>
      <c r="G44" s="619" t="e">
        <f>T44</f>
        <v>#DIV/0!</v>
      </c>
      <c r="H44" s="617"/>
      <c r="I44" s="616" t="e">
        <f>V44</f>
        <v>#DIV/0!</v>
      </c>
      <c r="J44" s="617"/>
      <c r="K44" s="1340"/>
      <c r="L44" s="2141"/>
      <c r="M44" s="2131"/>
      <c r="N44" s="2131"/>
      <c r="O44" s="2142"/>
      <c r="P44" s="3388" t="str">
        <f>A44</f>
        <v>比较价格（元/平方米）</v>
      </c>
      <c r="Q44" s="3388"/>
      <c r="R44" s="3390" t="e">
        <f>ROUND(PRODUCT(R43,AA9:AA42),0)</f>
        <v>#DIV/0!</v>
      </c>
      <c r="S44" s="3390"/>
      <c r="T44" s="3390" t="e">
        <f>ROUND(PRODUCT(T43,AB9:AB42),0)</f>
        <v>#DIV/0!</v>
      </c>
      <c r="U44" s="3390"/>
      <c r="V44" s="3390" t="e">
        <f>ROUND(PRODUCT(V43,AC9:AC42),0)</f>
        <v>#DIV/0!</v>
      </c>
      <c r="W44" s="3390"/>
      <c r="X44" s="1556"/>
      <c r="Y44" s="1556"/>
      <c r="Z44" s="1556"/>
      <c r="AA44" s="1556"/>
      <c r="AB44" s="1556"/>
      <c r="AC44" s="1556"/>
    </row>
    <row r="45" spans="1:29" ht="15" thickBot="1">
      <c r="A45" s="620" t="s">
        <v>2931</v>
      </c>
      <c r="B45" s="621"/>
      <c r="C45" s="622" t="e">
        <f>R45</f>
        <v>#DIV/0!</v>
      </c>
      <c r="D45" s="622"/>
      <c r="E45" s="622"/>
      <c r="F45" s="622"/>
      <c r="G45" s="622"/>
      <c r="H45" s="622"/>
      <c r="I45" s="622"/>
      <c r="J45" s="622"/>
      <c r="K45" s="1341"/>
      <c r="L45" s="2141"/>
      <c r="M45" s="2131"/>
      <c r="N45" s="2131"/>
      <c r="O45" s="2142"/>
      <c r="P45" s="3385" t="str">
        <f>A45</f>
        <v>估价对象XX用房的比较价格（楼面单价，元/平方米）</v>
      </c>
      <c r="Q45" s="3386"/>
      <c r="R45" s="3387" t="e">
        <f>ROUND(AVERAGE(R44:V44),0)</f>
        <v>#DIV/0!</v>
      </c>
      <c r="S45" s="3387"/>
      <c r="T45" s="3387"/>
      <c r="U45" s="3387"/>
      <c r="V45" s="3387"/>
      <c r="W45" s="3387"/>
      <c r="X45" s="1556"/>
      <c r="Y45" s="1556"/>
      <c r="Z45" s="1556"/>
      <c r="AA45" s="1556"/>
      <c r="AB45" s="1556"/>
      <c r="AC45" s="1556"/>
    </row>
    <row r="46" spans="1:29">
      <c r="A46" s="2142"/>
      <c r="B46" s="2142"/>
      <c r="C46" s="2142"/>
      <c r="D46" s="2142"/>
      <c r="E46" s="2142"/>
      <c r="F46" s="2142"/>
      <c r="G46" s="2145"/>
      <c r="H46" s="2142"/>
      <c r="I46" s="2142"/>
      <c r="J46" s="2142"/>
      <c r="K46" s="2146"/>
      <c r="L46" s="2147"/>
      <c r="M46" s="2131"/>
      <c r="N46" s="2131"/>
      <c r="O46" s="2142"/>
      <c r="P46" s="1556"/>
      <c r="Q46" s="1556"/>
      <c r="R46" s="1556"/>
      <c r="S46" s="1556"/>
      <c r="T46" s="1556"/>
      <c r="U46" s="1556"/>
      <c r="V46" s="1556"/>
      <c r="W46" s="1556"/>
      <c r="X46" s="1556"/>
      <c r="Y46" s="1556"/>
      <c r="Z46" s="1556"/>
      <c r="AA46" s="1556"/>
      <c r="AB46" s="1556"/>
      <c r="AC46" s="1556"/>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4" customFormat="1" ht="13.5" customHeight="1">
      <c r="A50" s="2143"/>
      <c r="B50" s="2143"/>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4" customFormat="1" ht="14.4"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8.8">
      <c r="A52" s="628" t="s">
        <v>559</v>
      </c>
      <c r="B52" s="629" t="s">
        <v>560</v>
      </c>
      <c r="C52" s="1557" t="s">
        <v>1724</v>
      </c>
      <c r="D52" s="2224" t="s">
        <v>2294</v>
      </c>
      <c r="E52" s="630" t="s">
        <v>561</v>
      </c>
      <c r="F52" s="1948" t="s">
        <v>562</v>
      </c>
      <c r="G52" s="3438" t="s">
        <v>2285</v>
      </c>
      <c r="H52" s="3439"/>
      <c r="I52" s="1949" t="s">
        <v>1947</v>
      </c>
      <c r="J52" s="1552" t="str">
        <f>项目基本情况!F41</f>
        <v>陕西省西安市</v>
      </c>
      <c r="K52" s="2151" t="s">
        <v>1723</v>
      </c>
      <c r="L52" s="2147"/>
      <c r="M52" s="2142"/>
      <c r="N52" s="2142"/>
      <c r="O52" s="2142"/>
      <c r="P52" s="2142"/>
      <c r="Q52" s="2142"/>
      <c r="R52" s="2142"/>
      <c r="S52" s="2142"/>
      <c r="T52" s="2142"/>
      <c r="U52" s="2142"/>
      <c r="V52" s="2142"/>
      <c r="W52" s="2142"/>
      <c r="X52" s="2142"/>
      <c r="Y52" s="2142"/>
      <c r="Z52" s="2142"/>
      <c r="AA52" s="2142"/>
      <c r="AB52" s="2142"/>
      <c r="AC52" s="2142"/>
    </row>
    <row r="53" spans="1:29" s="1345" customFormat="1" ht="13.2">
      <c r="A53" s="632" t="s">
        <v>563</v>
      </c>
      <c r="B53" s="633" t="e">
        <f>C45</f>
        <v>#DIV/0!</v>
      </c>
      <c r="C53" s="634">
        <v>1</v>
      </c>
      <c r="D53" s="2225">
        <v>1</v>
      </c>
      <c r="E53" s="634">
        <f>'数据-汇总表'!E8+'数据-汇总表'!E9</f>
        <v>178668</v>
      </c>
      <c r="F53" s="1947" t="e">
        <f t="shared" ref="F53:F62" si="15">ROUND(B53*E53/10000,0)</f>
        <v>#DIV/0!</v>
      </c>
      <c r="G53" s="3440"/>
      <c r="H53" s="3441"/>
      <c r="I53" s="1950">
        <v>1</v>
      </c>
      <c r="J53" s="1553">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5" customFormat="1" ht="13.2">
      <c r="A54" s="636" t="s">
        <v>564</v>
      </c>
      <c r="B54" s="637" t="e">
        <f>ROUND($C$45*C54*D54,0)</f>
        <v>#DIV/0!</v>
      </c>
      <c r="C54" s="378">
        <f t="shared" ref="C54:C62" si="16">IF($C$52="北京市系数",I54,J54)</f>
        <v>0</v>
      </c>
      <c r="D54" s="2226">
        <v>0.25</v>
      </c>
      <c r="E54" s="638"/>
      <c r="F54" s="1947" t="e">
        <f t="shared" si="15"/>
        <v>#DIV/0!</v>
      </c>
      <c r="G54" s="3442" t="s">
        <v>2286</v>
      </c>
      <c r="H54" s="1951">
        <f>项目基本情况!B43</f>
        <v>0</v>
      </c>
      <c r="I54" s="1950">
        <f>SUMIF(修正!$A$45:$A$56,H54,修正!B45:B56)</f>
        <v>0</v>
      </c>
      <c r="J54" s="1555"/>
      <c r="K54" s="2152"/>
      <c r="L54" s="2152"/>
      <c r="M54" s="2152"/>
      <c r="N54" s="2152"/>
      <c r="O54" s="2152"/>
      <c r="P54" s="2152"/>
      <c r="Q54" s="2152"/>
      <c r="R54" s="2152"/>
      <c r="S54" s="2152"/>
      <c r="T54" s="2152"/>
      <c r="U54" s="2152"/>
      <c r="V54" s="2152"/>
      <c r="W54" s="2152"/>
      <c r="X54" s="2152"/>
      <c r="Y54" s="2152"/>
      <c r="Z54" s="2152"/>
      <c r="AA54" s="2152"/>
      <c r="AB54" s="2152"/>
      <c r="AC54" s="2152"/>
    </row>
    <row r="55" spans="1:29" s="1345" customFormat="1" ht="13.2">
      <c r="A55" s="636" t="s">
        <v>565</v>
      </c>
      <c r="B55" s="637" t="e">
        <f t="shared" ref="B55:B62" si="17">ROUND($C$45*C55*D55,0)</f>
        <v>#DIV/0!</v>
      </c>
      <c r="C55" s="378">
        <f t="shared" si="16"/>
        <v>0</v>
      </c>
      <c r="D55" s="2226">
        <v>0.25</v>
      </c>
      <c r="E55" s="638"/>
      <c r="F55" s="1947" t="e">
        <f t="shared" si="15"/>
        <v>#DIV/0!</v>
      </c>
      <c r="G55" s="3442"/>
      <c r="H55" s="1952">
        <f>项目基本情况!B43</f>
        <v>0</v>
      </c>
      <c r="I55" s="1950">
        <f>SUMIF(修正!$A$45:$A$56,H55,修正!C45:C56)</f>
        <v>0</v>
      </c>
      <c r="J55" s="1555"/>
      <c r="K55" s="2152"/>
      <c r="L55" s="2152"/>
      <c r="M55" s="2152"/>
      <c r="N55" s="2152"/>
      <c r="O55" s="2152"/>
      <c r="P55" s="2152"/>
      <c r="Q55" s="2152"/>
      <c r="R55" s="2152"/>
      <c r="S55" s="2152"/>
      <c r="T55" s="2152"/>
      <c r="U55" s="2152"/>
      <c r="V55" s="2152"/>
      <c r="W55" s="2152"/>
      <c r="X55" s="2152"/>
      <c r="Y55" s="2152"/>
      <c r="Z55" s="2152"/>
      <c r="AA55" s="2152"/>
      <c r="AB55" s="2152"/>
      <c r="AC55" s="2152"/>
    </row>
    <row r="56" spans="1:29" s="1345" customFormat="1" ht="13.2">
      <c r="A56" s="636" t="s">
        <v>566</v>
      </c>
      <c r="B56" s="637" t="e">
        <f t="shared" si="17"/>
        <v>#DIV/0!</v>
      </c>
      <c r="C56" s="378">
        <f t="shared" si="16"/>
        <v>0</v>
      </c>
      <c r="D56" s="2226">
        <v>0.25</v>
      </c>
      <c r="E56" s="638"/>
      <c r="F56" s="1947" t="e">
        <f t="shared" si="15"/>
        <v>#DIV/0!</v>
      </c>
      <c r="G56" s="3442"/>
      <c r="H56" s="1952">
        <f>项目基本情况!B43</f>
        <v>0</v>
      </c>
      <c r="I56" s="1950">
        <f>SUMIF(修正!$A$45:$A$56,H56,修正!D45:D56)</f>
        <v>0</v>
      </c>
      <c r="J56" s="1555"/>
      <c r="K56" s="2152"/>
      <c r="L56" s="2152"/>
      <c r="M56" s="2152"/>
      <c r="N56" s="2152"/>
      <c r="O56" s="2152"/>
      <c r="P56" s="2152"/>
      <c r="Q56" s="2152"/>
      <c r="R56" s="2152"/>
      <c r="S56" s="2152"/>
      <c r="T56" s="2152"/>
      <c r="U56" s="2152"/>
      <c r="V56" s="2152"/>
      <c r="W56" s="2152"/>
      <c r="X56" s="2152"/>
      <c r="Y56" s="2152"/>
      <c r="Z56" s="2152"/>
      <c r="AA56" s="2152"/>
      <c r="AB56" s="2152"/>
      <c r="AC56" s="2152"/>
    </row>
    <row r="57" spans="1:29" s="1345" customFormat="1" ht="13.2">
      <c r="A57" s="636" t="s">
        <v>567</v>
      </c>
      <c r="B57" s="637" t="e">
        <f t="shared" si="17"/>
        <v>#DIV/0!</v>
      </c>
      <c r="C57" s="378">
        <f t="shared" si="16"/>
        <v>0</v>
      </c>
      <c r="D57" s="2226">
        <v>0.25</v>
      </c>
      <c r="E57" s="638"/>
      <c r="F57" s="1947" t="e">
        <f t="shared" si="15"/>
        <v>#DIV/0!</v>
      </c>
      <c r="G57" s="3442"/>
      <c r="H57" s="1952">
        <f>项目基本情况!B43</f>
        <v>0</v>
      </c>
      <c r="I57" s="1950">
        <f>SUMIF(修正!$A$45:$A$56,H57,修正!E45:E56)</f>
        <v>0</v>
      </c>
      <c r="J57" s="1555"/>
      <c r="K57" s="2152"/>
      <c r="L57" s="2152"/>
      <c r="M57" s="2152"/>
      <c r="N57" s="2152"/>
      <c r="O57" s="2152"/>
      <c r="P57" s="2152"/>
      <c r="Q57" s="2152"/>
      <c r="R57" s="2152"/>
      <c r="S57" s="2152"/>
      <c r="T57" s="2152"/>
      <c r="U57" s="2152"/>
      <c r="V57" s="2152"/>
      <c r="W57" s="2152"/>
      <c r="X57" s="2152"/>
      <c r="Y57" s="2152"/>
      <c r="Z57" s="2152"/>
      <c r="AA57" s="2152"/>
      <c r="AB57" s="2152"/>
      <c r="AC57" s="2152"/>
    </row>
    <row r="58" spans="1:29" s="1345" customFormat="1" ht="13.2">
      <c r="A58" s="2328" t="s">
        <v>2328</v>
      </c>
      <c r="B58" s="637" t="e">
        <f t="shared" si="17"/>
        <v>#DIV/0!</v>
      </c>
      <c r="C58" s="378">
        <f t="shared" si="16"/>
        <v>0</v>
      </c>
      <c r="D58" s="2226">
        <v>0.25</v>
      </c>
      <c r="E58" s="640">
        <f>'数据-汇总表'!E11</f>
        <v>0</v>
      </c>
      <c r="F58" s="1947" t="e">
        <f t="shared" si="15"/>
        <v>#DIV/0!</v>
      </c>
      <c r="G58" s="1953" t="s">
        <v>2287</v>
      </c>
      <c r="H58" s="1952">
        <f>项目基本情况!C43</f>
        <v>0</v>
      </c>
      <c r="I58" s="1950">
        <f>SUMIF(修正!$A$45:$A$56,H58,修正!F45:F56)</f>
        <v>0</v>
      </c>
      <c r="J58" s="1555"/>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3.2">
      <c r="A59" s="636" t="s">
        <v>568</v>
      </c>
      <c r="B59" s="637" t="e">
        <f t="shared" si="17"/>
        <v>#DIV/0!</v>
      </c>
      <c r="C59" s="378">
        <f t="shared" si="16"/>
        <v>0</v>
      </c>
      <c r="D59" s="2226">
        <v>0.25</v>
      </c>
      <c r="E59" s="640">
        <f>'数据-汇总表'!E12</f>
        <v>0</v>
      </c>
      <c r="F59" s="1947" t="e">
        <f t="shared" si="15"/>
        <v>#DIV/0!</v>
      </c>
      <c r="G59" s="1943" t="s">
        <v>1677</v>
      </c>
      <c r="H59" s="1951">
        <f>IF(G59="商业",项目基本情况!B43,IF(G59="办公",项目基本情况!C43,IF(G59="住宅",项目基本情况!D43,项目基本情况!E43)))</f>
        <v>0</v>
      </c>
      <c r="I59" s="1950">
        <f>SUMIF(修正!$A$45:$A$56,H59,修正!G45:G56)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3.2">
      <c r="A60" s="636" t="s">
        <v>569</v>
      </c>
      <c r="B60" s="637" t="e">
        <f t="shared" si="17"/>
        <v>#DIV/0!</v>
      </c>
      <c r="C60" s="378">
        <f t="shared" si="16"/>
        <v>0</v>
      </c>
      <c r="D60" s="2226">
        <v>0.25</v>
      </c>
      <c r="E60" s="640">
        <f>'数据-汇总表'!E13</f>
        <v>55060</v>
      </c>
      <c r="F60" s="1947" t="e">
        <f t="shared" si="15"/>
        <v>#DIV/0!</v>
      </c>
      <c r="G60" s="1943" t="s">
        <v>922</v>
      </c>
      <c r="H60" s="1951">
        <f>IF(G60="商业",项目基本情况!B43,IF(G60="办公",项目基本情况!C43,IF(G60="住宅",项目基本情况!D43,项目基本情况!E43)))</f>
        <v>0</v>
      </c>
      <c r="I60" s="1950">
        <f>SUMIF(修正!$A$45:$A$56,H60,修正!H45:H56)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3.2">
      <c r="A61" s="636" t="s">
        <v>570</v>
      </c>
      <c r="B61" s="637" t="e">
        <f t="shared" si="17"/>
        <v>#DIV/0!</v>
      </c>
      <c r="C61" s="378">
        <f t="shared" si="16"/>
        <v>0</v>
      </c>
      <c r="D61" s="2226">
        <v>0.25</v>
      </c>
      <c r="E61" s="640">
        <f>'数据-汇总表'!E14</f>
        <v>0</v>
      </c>
      <c r="F61" s="1947" t="e">
        <f t="shared" si="15"/>
        <v>#DIV/0!</v>
      </c>
      <c r="G61" s="1953" t="s">
        <v>2286</v>
      </c>
      <c r="H61" s="1952">
        <f>项目基本情况!B43</f>
        <v>0</v>
      </c>
      <c r="I61" s="1950">
        <f>SUMIF(修正!$A$45:$A$56,H61,修正!H45:H56)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thickBot="1">
      <c r="A62" s="636" t="s">
        <v>571</v>
      </c>
      <c r="B62" s="637" t="e">
        <f t="shared" si="17"/>
        <v>#DIV/0!</v>
      </c>
      <c r="C62" s="378">
        <f t="shared" si="16"/>
        <v>0</v>
      </c>
      <c r="D62" s="2226">
        <v>0.25</v>
      </c>
      <c r="E62" s="640">
        <f>'数据-汇总表'!E15</f>
        <v>0</v>
      </c>
      <c r="F62" s="1947" t="e">
        <f t="shared" si="15"/>
        <v>#DIV/0!</v>
      </c>
      <c r="G62" s="1954" t="s">
        <v>2287</v>
      </c>
      <c r="H62" s="1955">
        <f>项目基本情况!C43</f>
        <v>0</v>
      </c>
      <c r="I62" s="1950">
        <f>SUMIF(修正!$A$45:$A$56,H62,修正!H45:H56)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thickBot="1">
      <c r="A63" s="641" t="s">
        <v>572</v>
      </c>
      <c r="B63" s="642" t="s">
        <v>17</v>
      </c>
      <c r="C63" s="642" t="s">
        <v>18</v>
      </c>
      <c r="D63" s="642" t="s">
        <v>2295</v>
      </c>
      <c r="E63" s="642">
        <f>IF(B43="楼面地价",SUM(E53:E62),'数据-汇总表'!D3)</f>
        <v>65565</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2019-2-1</v>
      </c>
      <c r="D65" s="2820">
        <f>EDATE(C65,-3)</f>
        <v>43405</v>
      </c>
      <c r="E65" s="2820">
        <f t="shared" ref="E65:N65" si="18">EDATE(D65,-3)</f>
        <v>43313</v>
      </c>
      <c r="F65" s="2820">
        <f t="shared" si="18"/>
        <v>43221</v>
      </c>
      <c r="G65" s="2820">
        <f t="shared" si="18"/>
        <v>43132</v>
      </c>
      <c r="H65" s="2820">
        <f t="shared" si="18"/>
        <v>43040</v>
      </c>
      <c r="I65" s="2820">
        <f t="shared" si="18"/>
        <v>42948</v>
      </c>
      <c r="J65" s="2820">
        <f t="shared" si="18"/>
        <v>42856</v>
      </c>
      <c r="K65" s="2820">
        <f t="shared" si="18"/>
        <v>42767</v>
      </c>
      <c r="L65" s="2820">
        <f t="shared" si="18"/>
        <v>42675</v>
      </c>
      <c r="M65" s="2820">
        <f t="shared" si="18"/>
        <v>42583</v>
      </c>
      <c r="N65" s="2820">
        <f t="shared" si="18"/>
        <v>42491</v>
      </c>
      <c r="O65" s="2142"/>
      <c r="P65" s="2142"/>
      <c r="Q65" s="2142"/>
      <c r="R65" s="2142"/>
      <c r="S65" s="2142"/>
      <c r="T65" s="2142"/>
      <c r="U65" s="2142"/>
      <c r="V65" s="2142"/>
      <c r="W65" s="2142"/>
      <c r="X65" s="2142"/>
      <c r="Y65" s="2142"/>
      <c r="Z65" s="2142"/>
      <c r="AA65" s="2142"/>
      <c r="AB65" s="2142"/>
      <c r="AC65" s="2142"/>
    </row>
    <row r="66" spans="1:29" ht="22.2" thickBot="1">
      <c r="A66" s="1581" t="s">
        <v>573</v>
      </c>
      <c r="B66" s="1556"/>
      <c r="C66" s="1580"/>
      <c r="D66" s="1580"/>
      <c r="E66" s="1580"/>
      <c r="F66" s="1582"/>
      <c r="G66" s="1582"/>
      <c r="H66" s="1580"/>
      <c r="I66" s="1580"/>
      <c r="J66" s="1580"/>
      <c r="K66" s="1583"/>
      <c r="L66" s="1579"/>
      <c r="M66" s="1580"/>
      <c r="N66" s="1580"/>
      <c r="O66" s="2154"/>
      <c r="P66" s="2154"/>
      <c r="Q66" s="2155"/>
      <c r="R66" s="2142"/>
      <c r="S66" s="2142"/>
      <c r="T66" s="2142"/>
      <c r="U66" s="2142"/>
      <c r="V66" s="2142"/>
      <c r="W66" s="2142"/>
      <c r="X66" s="2142"/>
      <c r="Y66" s="2142"/>
      <c r="Z66" s="2142"/>
      <c r="AA66" s="2142"/>
      <c r="AB66" s="2142"/>
      <c r="AC66" s="2142"/>
    </row>
    <row r="67" spans="1:29" s="1346" customFormat="1" ht="14.4">
      <c r="A67" s="2589" t="s">
        <v>2532</v>
      </c>
      <c r="B67" s="645"/>
      <c r="C67" s="2815" t="str">
        <f>YEAR(C65)&amp;"-"&amp;ROUNDUP(MONTH(C65)/3,0)</f>
        <v>2019-1</v>
      </c>
      <c r="D67" s="2822" t="str">
        <f t="shared" ref="D67:N67" si="19">YEAR(D65)&amp;"-"&amp;ROUNDUP(MONTH(D65)/3,0)</f>
        <v>2018-4</v>
      </c>
      <c r="E67" s="2822" t="str">
        <f t="shared" si="19"/>
        <v>2018-3</v>
      </c>
      <c r="F67" s="2822" t="str">
        <f t="shared" si="19"/>
        <v>2018-2</v>
      </c>
      <c r="G67" s="2822" t="str">
        <f t="shared" si="19"/>
        <v>2018-1</v>
      </c>
      <c r="H67" s="2822" t="str">
        <f t="shared" si="19"/>
        <v>2017-4</v>
      </c>
      <c r="I67" s="2822" t="str">
        <f t="shared" si="19"/>
        <v>2017-3</v>
      </c>
      <c r="J67" s="2822" t="str">
        <f t="shared" si="19"/>
        <v>2017-2</v>
      </c>
      <c r="K67" s="2822" t="str">
        <f t="shared" si="19"/>
        <v>2017-1</v>
      </c>
      <c r="L67" s="2822" t="str">
        <f t="shared" si="19"/>
        <v>2016-4</v>
      </c>
      <c r="M67" s="2822" t="str">
        <f t="shared" si="19"/>
        <v>2016-3</v>
      </c>
      <c r="N67" s="2822" t="str">
        <f t="shared" si="19"/>
        <v>2016-2</v>
      </c>
      <c r="O67" s="2156"/>
      <c r="P67" s="2157"/>
      <c r="Q67" s="2158"/>
      <c r="R67" s="2158"/>
      <c r="S67" s="2158"/>
      <c r="T67" s="2158"/>
      <c r="U67" s="2158"/>
      <c r="V67" s="2158"/>
      <c r="W67" s="2158"/>
      <c r="X67" s="2158"/>
      <c r="Y67" s="2158"/>
      <c r="Z67" s="2158"/>
      <c r="AA67" s="2158"/>
      <c r="AB67" s="2158"/>
      <c r="AC67" s="2158"/>
    </row>
    <row r="68" spans="1:29" s="1219" customFormat="1" ht="27.75" customHeight="1">
      <c r="A68" s="2819" t="s">
        <v>2647</v>
      </c>
      <c r="B68" s="479" t="str">
        <f>"北京市平均增长率"&amp;TEXT(基准地价!P24,"0.00%")</f>
        <v>北京市平均增长率0.00%</v>
      </c>
      <c r="C68" s="893">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9" customFormat="1" ht="15" thickBot="1">
      <c r="A69" s="652" t="s">
        <v>574</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9" customFormat="1" ht="14.4">
      <c r="A70" s="658" t="s">
        <v>530</v>
      </c>
      <c r="B70" s="647"/>
      <c r="C70" s="659" t="s">
        <v>575</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9" customFormat="1" ht="14.4"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ht="14.4">
      <c r="A72" s="663" t="s">
        <v>576</v>
      </c>
      <c r="B72" s="664" t="s">
        <v>533</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4.4"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9.4" thickTop="1">
      <c r="A74" s="668"/>
      <c r="B74" s="672" t="s">
        <v>536</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8" customFormat="1" ht="14.4"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8" customFormat="1" ht="14.4"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8" customFormat="1" ht="14.4"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8" customFormat="1" ht="14.4"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8" customFormat="1" ht="14.4"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8" customFormat="1" ht="14.4"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ht="14.4">
      <c r="A85" s="663" t="s">
        <v>538</v>
      </c>
      <c r="B85" s="664" t="s">
        <v>601</v>
      </c>
      <c r="C85" s="702" t="s">
        <v>578</v>
      </c>
      <c r="D85" s="702" t="s">
        <v>579</v>
      </c>
      <c r="E85" s="702" t="s">
        <v>580</v>
      </c>
      <c r="F85" s="702" t="s">
        <v>581</v>
      </c>
      <c r="G85" s="702" t="s">
        <v>582</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 thickTop="1">
      <c r="A87" s="668"/>
      <c r="B87" s="672" t="s">
        <v>585</v>
      </c>
      <c r="C87" s="707" t="s">
        <v>578</v>
      </c>
      <c r="D87" s="707" t="s">
        <v>579</v>
      </c>
      <c r="E87" s="707" t="s">
        <v>580</v>
      </c>
      <c r="F87" s="707" t="s">
        <v>581</v>
      </c>
      <c r="G87" s="707" t="s">
        <v>582</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9" customFormat="1" ht="29.4" thickTop="1">
      <c r="A89" s="708"/>
      <c r="B89" s="672" t="s">
        <v>586</v>
      </c>
      <c r="C89" s="707" t="s">
        <v>578</v>
      </c>
      <c r="D89" s="707" t="s">
        <v>579</v>
      </c>
      <c r="E89" s="707" t="s">
        <v>580</v>
      </c>
      <c r="F89" s="707" t="s">
        <v>581</v>
      </c>
      <c r="G89" s="707" t="s">
        <v>582</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9" customFormat="1" ht="14.4"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9" customFormat="1" ht="29.4" thickTop="1">
      <c r="A91" s="708"/>
      <c r="B91" s="672" t="s">
        <v>587</v>
      </c>
      <c r="C91" s="702" t="s">
        <v>578</v>
      </c>
      <c r="D91" s="702" t="s">
        <v>579</v>
      </c>
      <c r="E91" s="702" t="s">
        <v>580</v>
      </c>
      <c r="F91" s="702" t="s">
        <v>581</v>
      </c>
      <c r="G91" s="702" t="s">
        <v>582</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9" customFormat="1" ht="14.4"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8" customFormat="1" ht="15" thickTop="1">
      <c r="A93" s="686"/>
      <c r="B93" s="1893" t="s">
        <v>2547</v>
      </c>
      <c r="C93" s="702" t="s">
        <v>578</v>
      </c>
      <c r="D93" s="702" t="s">
        <v>579</v>
      </c>
      <c r="E93" s="702" t="s">
        <v>580</v>
      </c>
      <c r="F93" s="702" t="s">
        <v>581</v>
      </c>
      <c r="G93" s="702" t="s">
        <v>582</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8" customFormat="1" ht="14.4"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8" customFormat="1" ht="15" thickTop="1">
      <c r="A95" s="686"/>
      <c r="B95" s="2618" t="s">
        <v>2549</v>
      </c>
      <c r="C95" s="2619" t="s">
        <v>2550</v>
      </c>
      <c r="D95" s="2619" t="s">
        <v>2551</v>
      </c>
      <c r="E95" s="2619" t="s">
        <v>2552</v>
      </c>
      <c r="F95" s="2619" t="s">
        <v>2553</v>
      </c>
      <c r="G95" s="2619" t="s">
        <v>2554</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8" customFormat="1" ht="14.4"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 thickTop="1">
      <c r="A97" s="668"/>
      <c r="B97" s="672" t="str">
        <f>B29</f>
        <v>临街状况</v>
      </c>
      <c r="C97" s="673" t="s">
        <v>588</v>
      </c>
      <c r="D97" s="673" t="s">
        <v>589</v>
      </c>
      <c r="E97" s="673" t="s">
        <v>590</v>
      </c>
      <c r="F97" s="673" t="s">
        <v>591</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9.4" thickTop="1">
      <c r="A99" s="668"/>
      <c r="B99" s="672" t="s">
        <v>547</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 thickTop="1">
      <c r="A101" s="668"/>
      <c r="B101" s="672" t="s">
        <v>548</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4.4"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4.4"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4.4"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8" customFormat="1" ht="14.4"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8" customFormat="1" ht="14.4"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ht="14.4">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3" t="str">
        <f t="shared" si="25"/>
        <v>(含)-</v>
      </c>
      <c r="L109" s="3114" t="str">
        <f t="shared" si="25"/>
        <v>(含)-</v>
      </c>
      <c r="M109" s="3115"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593</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8" customFormat="1" ht="15" thickTop="1">
      <c r="A114" s="727"/>
      <c r="B114" s="1893" t="s">
        <v>2425</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8"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595</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4.4"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4.4"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4.4"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8" customFormat="1" ht="14.4"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8" customFormat="1" ht="14.4"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7734375" style="1401" customWidth="1"/>
    <col min="2" max="2" width="19.21875" style="1525"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2426</v>
      </c>
      <c r="D1" s="1518">
        <f>SUM(D29:D30,D33:D39)</f>
        <v>0</v>
      </c>
      <c r="E1" s="1403" t="s">
        <v>2427</v>
      </c>
      <c r="F1" s="2473"/>
      <c r="G1" s="1398"/>
      <c r="H1" s="1398"/>
      <c r="I1" s="1398"/>
      <c r="J1" s="1398"/>
      <c r="K1" s="1398"/>
      <c r="L1" s="1879" t="s">
        <v>2239</v>
      </c>
      <c r="M1" s="1880">
        <f>SUMPRODUCT((区片价!B5:B9=I2)*(区片价!C3:F3=E2)*(区片价!C5:F9))</f>
        <v>0</v>
      </c>
      <c r="N1" s="1881">
        <f>SUMPRODUCT((因素修正幅度!B5:B9=I2)*(因素修正幅度!C3:F3=E2)*(因素修正幅度!C5:F9))</f>
        <v>0</v>
      </c>
      <c r="O1" s="2186"/>
      <c r="P1" s="2186"/>
      <c r="Q1" s="2186"/>
      <c r="R1" s="2957" t="s">
        <v>2760</v>
      </c>
      <c r="S1" s="2957" t="s">
        <v>2761</v>
      </c>
      <c r="T1" s="2957" t="s">
        <v>2782</v>
      </c>
      <c r="U1" s="2957" t="s">
        <v>2783</v>
      </c>
      <c r="V1" s="2957" t="s">
        <v>2784</v>
      </c>
      <c r="W1" s="2186"/>
      <c r="X1" s="2186"/>
      <c r="Y1" s="2186"/>
      <c r="Z1" s="2186"/>
      <c r="AA1" s="2186"/>
      <c r="AB1" s="2186"/>
      <c r="AC1" s="2187"/>
    </row>
    <row r="2" spans="1:39" ht="15.6">
      <c r="A2" s="1403" t="s">
        <v>919</v>
      </c>
      <c r="B2" s="1037" t="e">
        <f>C26</f>
        <v>#DIV/0!</v>
      </c>
      <c r="C2" s="1404" t="s">
        <v>920</v>
      </c>
      <c r="D2" s="1405" t="s">
        <v>921</v>
      </c>
      <c r="E2" s="1406"/>
      <c r="F2" s="1405" t="s">
        <v>923</v>
      </c>
      <c r="G2" s="1649">
        <f>IF(E2="商业",项目基本情况!B43,IF(E2="办公",项目基本情况!C43,IF(E2="住宅",项目基本情况!D43,项目基本情况!E43)))</f>
        <v>0</v>
      </c>
      <c r="H2" s="1405" t="s">
        <v>925</v>
      </c>
      <c r="I2" s="1650">
        <f>IF(E2="商业",项目基本情况!B44,IF(E2="办公",项目基本情况!C44,IF(E2="住宅",项目基本情况!D44,项目基本情况!E44)))</f>
        <v>0</v>
      </c>
      <c r="J2" s="1407"/>
      <c r="K2" s="1398"/>
      <c r="L2" s="1882" t="s">
        <v>2240</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6">
      <c r="A3" s="1408" t="s">
        <v>1687</v>
      </c>
      <c r="B3" s="1037" t="e">
        <f>ROUND(B2*10000/D1,0)</f>
        <v>#DIV/0!</v>
      </c>
      <c r="C3" s="1404" t="s">
        <v>926</v>
      </c>
      <c r="D3" s="1405" t="s">
        <v>927</v>
      </c>
      <c r="E3" s="1409"/>
      <c r="F3" s="1410" t="s">
        <v>2932</v>
      </c>
      <c r="G3" s="1038">
        <f>IF(F3="宗地容积率",'数据-汇总表'!I4,IF(F3="估价对象容积率",'数据-汇总表'!I6,'数据-汇总表'!I7))</f>
        <v>2.78</v>
      </c>
      <c r="H3" s="1411" t="s">
        <v>928</v>
      </c>
      <c r="I3" s="1039">
        <v>8</v>
      </c>
      <c r="J3" s="1407" t="s">
        <v>929</v>
      </c>
      <c r="K3" s="1398"/>
      <c r="L3" s="1882" t="s">
        <v>2241</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31.2">
      <c r="A4" s="1888" t="s">
        <v>2281</v>
      </c>
      <c r="B4" s="2474" t="e">
        <f>ROUND(B2*10000/F1,0)</f>
        <v>#DIV/0!</v>
      </c>
      <c r="C4" s="1891" t="s">
        <v>2255</v>
      </c>
      <c r="D4" s="1891" t="e">
        <f>ROUND(B2/(F1/666.67),0)</f>
        <v>#DIV/0!</v>
      </c>
      <c r="E4" s="1891" t="s">
        <v>2256</v>
      </c>
      <c r="F4" s="1889"/>
      <c r="G4" s="1889"/>
      <c r="H4" s="1889"/>
      <c r="I4" s="1889"/>
      <c r="J4" s="1890"/>
      <c r="K4" s="1398"/>
      <c r="L4" s="1882" t="s">
        <v>2242</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8" customFormat="1" ht="15.6" thickBot="1">
      <c r="A5" s="1635" t="s">
        <v>1823</v>
      </c>
      <c r="B5" s="1412" t="s">
        <v>930</v>
      </c>
      <c r="C5" s="1040" t="e">
        <f>ROUND(IF(E2="商业",IF(F16="增加",C6*C7+C16,C6*C7-C16),IF(E2="住宅",IF(F16="增加",C6*C12+C16,C6*C12-C16),IF(F16="增加",C6+C16,C6-C16))),0)</f>
        <v>#DIV/0!</v>
      </c>
      <c r="D5" s="3145">
        <f>ROUND(IF(E2="商业",IF(F16="增加",C6+C16,C6-C16)),0)</f>
        <v>0</v>
      </c>
      <c r="E5" s="1413"/>
      <c r="F5" s="1413"/>
      <c r="G5" s="1414"/>
      <c r="H5" s="1414"/>
      <c r="I5" s="1414"/>
      <c r="J5" s="1415"/>
      <c r="K5" s="1591"/>
      <c r="L5" s="1882" t="s">
        <v>2243</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6"/>
      <c r="AE5" s="1416"/>
      <c r="AF5" s="1416"/>
      <c r="AG5" s="1416"/>
      <c r="AH5" s="1416"/>
      <c r="AI5" s="1416"/>
      <c r="AJ5" s="1417"/>
      <c r="AK5" s="1417"/>
      <c r="AL5" s="1417"/>
      <c r="AM5" s="1417"/>
    </row>
    <row r="6" spans="1:39" ht="15.6" thickBot="1">
      <c r="A6" s="1636" t="s">
        <v>1870</v>
      </c>
      <c r="B6" s="1419" t="s">
        <v>930</v>
      </c>
      <c r="C6" s="1041">
        <f>SUMIF(L1:L12,基准地价!G2,M1:M12)</f>
        <v>0</v>
      </c>
      <c r="D6" s="1420" t="s">
        <v>1695</v>
      </c>
      <c r="E6" s="1421"/>
      <c r="F6" s="1421"/>
      <c r="G6" s="1422"/>
      <c r="H6" s="1422"/>
      <c r="I6" s="1422"/>
      <c r="J6" s="1423"/>
      <c r="K6" s="1592"/>
      <c r="L6" s="1882" t="s">
        <v>2244</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6"/>
      <c r="AE6" s="1416"/>
      <c r="AF6" s="1416"/>
      <c r="AG6" s="1416"/>
      <c r="AH6" s="1416"/>
      <c r="AI6" s="1416"/>
      <c r="AJ6" s="1417"/>
    </row>
    <row r="7" spans="1:39" ht="24">
      <c r="A7" s="3452" t="str">
        <f>IF(E2="商业",IF(C8="不临58条商业街","",2),"")</f>
        <v/>
      </c>
      <c r="B7" s="1424" t="s">
        <v>931</v>
      </c>
      <c r="C7" s="1042" t="e">
        <f>IF(C8="不临58条商业街",1,ROUND(1+(1.6*E8+1.2*E9+0.8*E10+0.4*E11)*C9,4))</f>
        <v>#DIV/0!</v>
      </c>
      <c r="D7" s="1425" t="s">
        <v>932</v>
      </c>
      <c r="E7" s="1043"/>
      <c r="F7" s="1426"/>
      <c r="G7" s="1427"/>
      <c r="H7" s="1427"/>
      <c r="I7" s="1427"/>
      <c r="J7" s="1428"/>
      <c r="K7" s="1592"/>
      <c r="L7" s="1882" t="s">
        <v>2245</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2763</v>
      </c>
      <c r="X7" s="2948">
        <f>G2</f>
        <v>0</v>
      </c>
      <c r="Y7" s="2948" t="s">
        <v>2764</v>
      </c>
      <c r="Z7" s="2949">
        <f>G3</f>
        <v>2.78</v>
      </c>
      <c r="AA7" s="2189"/>
      <c r="AB7" s="2189"/>
      <c r="AC7" s="2190"/>
      <c r="AD7" s="2950"/>
      <c r="AE7" s="2950"/>
      <c r="AF7" s="2950"/>
      <c r="AG7" s="2950"/>
      <c r="AH7" s="2950"/>
      <c r="AI7" s="2950"/>
      <c r="AJ7" s="2951"/>
    </row>
    <row r="8" spans="1:39" ht="15">
      <c r="A8" s="3453"/>
      <c r="B8" s="1411" t="s">
        <v>933</v>
      </c>
      <c r="C8" s="1526"/>
      <c r="D8" s="1044" t="s">
        <v>934</v>
      </c>
      <c r="E8" s="1045" t="e">
        <f>ROUND(C11/E7,4)</f>
        <v>#DIV/0!</v>
      </c>
      <c r="F8" s="1429" t="s">
        <v>935</v>
      </c>
      <c r="G8" s="1430"/>
      <c r="H8" s="1430"/>
      <c r="I8" s="1430"/>
      <c r="J8" s="1431"/>
      <c r="K8" s="1398"/>
      <c r="L8" s="1882" t="s">
        <v>2246</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44" t="s">
        <v>2781</v>
      </c>
      <c r="X8" s="3445"/>
      <c r="Y8" s="1846" t="s">
        <v>2765</v>
      </c>
      <c r="Z8" s="1846" t="s">
        <v>2766</v>
      </c>
      <c r="AA8" s="1846" t="s">
        <v>2767</v>
      </c>
      <c r="AB8" s="1846" t="s">
        <v>2768</v>
      </c>
      <c r="AC8" s="1846" t="s">
        <v>2769</v>
      </c>
      <c r="AD8" s="1846" t="s">
        <v>2770</v>
      </c>
      <c r="AE8" s="1846" t="s">
        <v>2771</v>
      </c>
      <c r="AF8" s="1846" t="s">
        <v>2772</v>
      </c>
      <c r="AG8" s="1846" t="s">
        <v>2773</v>
      </c>
      <c r="AH8" s="1846" t="s">
        <v>2774</v>
      </c>
      <c r="AI8" s="1846" t="s">
        <v>2775</v>
      </c>
      <c r="AJ8" s="1846" t="s">
        <v>2776</v>
      </c>
    </row>
    <row r="9" spans="1:39" ht="15">
      <c r="A9" s="3453"/>
      <c r="B9" s="1411" t="s">
        <v>936</v>
      </c>
      <c r="C9" s="1046">
        <f>SUMIF(修正!C59:C119,C8,修正!E59:E119)</f>
        <v>0</v>
      </c>
      <c r="D9" s="1047" t="s">
        <v>937</v>
      </c>
      <c r="E9" s="1047" t="e">
        <f>ROUND(C11/E7,4)</f>
        <v>#DIV/0!</v>
      </c>
      <c r="F9" s="1429" t="s">
        <v>938</v>
      </c>
      <c r="G9" s="1430"/>
      <c r="H9" s="1430"/>
      <c r="I9" s="1430"/>
      <c r="J9" s="1431"/>
      <c r="K9" s="1398"/>
      <c r="L9" s="1882" t="s">
        <v>2247</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43" t="s">
        <v>2777</v>
      </c>
      <c r="X9" s="2952" t="s">
        <v>2778</v>
      </c>
      <c r="Y9" s="3119"/>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53"/>
      <c r="B10" s="1411" t="s">
        <v>939</v>
      </c>
      <c r="C10" s="1047">
        <f>SUMIF(修正!C59:C119,C8,修正!F59:F119)</f>
        <v>0</v>
      </c>
      <c r="D10" s="1047" t="s">
        <v>940</v>
      </c>
      <c r="E10" s="1047" t="e">
        <f>ROUND(C11/E7,4)</f>
        <v>#DIV/0!</v>
      </c>
      <c r="F10" s="1429" t="s">
        <v>941</v>
      </c>
      <c r="G10" s="1430"/>
      <c r="H10" s="1430"/>
      <c r="I10" s="1430"/>
      <c r="J10" s="1431"/>
      <c r="K10" s="1398"/>
      <c r="L10" s="1882" t="s">
        <v>2248</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43"/>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53"/>
      <c r="B11" s="1432" t="s">
        <v>942</v>
      </c>
      <c r="C11" s="1048">
        <f>C10/4</f>
        <v>0</v>
      </c>
      <c r="D11" s="1048" t="s">
        <v>943</v>
      </c>
      <c r="E11" s="1048" t="e">
        <f>ROUND(C11/E7,4)</f>
        <v>#DIV/0!</v>
      </c>
      <c r="F11" s="1433" t="s">
        <v>944</v>
      </c>
      <c r="G11" s="1434"/>
      <c r="H11" s="1434"/>
      <c r="I11" s="1434"/>
      <c r="J11" s="1435"/>
      <c r="K11" s="1398"/>
      <c r="L11" s="1882" t="s">
        <v>2249</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43" t="s">
        <v>2779</v>
      </c>
      <c r="X11" s="1047" t="s">
        <v>2764</v>
      </c>
      <c r="Y11" s="1650">
        <f>$G$3</f>
        <v>2.78</v>
      </c>
      <c r="Z11" s="1650">
        <f t="shared" ref="Z11:AJ11" si="3">$G$3</f>
        <v>2.78</v>
      </c>
      <c r="AA11" s="1650">
        <f t="shared" si="3"/>
        <v>2.78</v>
      </c>
      <c r="AB11" s="1650">
        <f t="shared" si="3"/>
        <v>2.78</v>
      </c>
      <c r="AC11" s="1650">
        <f t="shared" si="3"/>
        <v>2.78</v>
      </c>
      <c r="AD11" s="1650">
        <f t="shared" si="3"/>
        <v>2.78</v>
      </c>
      <c r="AE11" s="1650">
        <f t="shared" si="3"/>
        <v>2.78</v>
      </c>
      <c r="AF11" s="1650">
        <f t="shared" si="3"/>
        <v>2.78</v>
      </c>
      <c r="AG11" s="1650">
        <f t="shared" si="3"/>
        <v>2.78</v>
      </c>
      <c r="AH11" s="1650">
        <f t="shared" si="3"/>
        <v>2.78</v>
      </c>
      <c r="AI11" s="1650">
        <f t="shared" si="3"/>
        <v>2.78</v>
      </c>
      <c r="AJ11" s="1650">
        <f t="shared" si="3"/>
        <v>2.78</v>
      </c>
    </row>
    <row r="12" spans="1:39" ht="25.8" thickBot="1">
      <c r="A12" s="3452" t="s">
        <v>1871</v>
      </c>
      <c r="B12" s="1436" t="s">
        <v>945</v>
      </c>
      <c r="C12" s="1042">
        <f>ROUND(C15*D15*E15*F15*G15*H15*I15*J15,4)</f>
        <v>1</v>
      </c>
      <c r="D12" s="1437" t="s">
        <v>946</v>
      </c>
      <c r="E12" s="1438"/>
      <c r="F12" s="1438"/>
      <c r="G12" s="1439"/>
      <c r="H12" s="1439"/>
      <c r="I12" s="1439"/>
      <c r="J12" s="1440"/>
      <c r="K12" s="1398"/>
      <c r="L12" s="1885" t="s">
        <v>2250</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43"/>
      <c r="X12" s="2955" t="s">
        <v>2780</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54"/>
      <c r="B13" s="1441" t="s">
        <v>1696</v>
      </c>
      <c r="C13" s="1442" t="s">
        <v>1697</v>
      </c>
      <c r="D13" s="1088" t="s">
        <v>1698</v>
      </c>
      <c r="E13" s="1088" t="s">
        <v>1699</v>
      </c>
      <c r="F13" s="1443" t="s">
        <v>947</v>
      </c>
      <c r="G13" s="1444" t="s">
        <v>1642</v>
      </c>
      <c r="H13" s="1445" t="s">
        <v>1642</v>
      </c>
      <c r="I13" s="1446" t="s">
        <v>1642</v>
      </c>
      <c r="J13" s="1447" t="s">
        <v>1642</v>
      </c>
      <c r="K13" s="1398"/>
      <c r="L13" s="2186"/>
      <c r="M13" s="2186"/>
      <c r="N13" s="2186"/>
      <c r="O13" s="2186"/>
      <c r="P13" s="2186"/>
      <c r="Q13" s="2186"/>
      <c r="R13" s="2958">
        <v>12</v>
      </c>
      <c r="S13" s="2947"/>
      <c r="T13" s="2958" t="e">
        <f t="shared" si="0"/>
        <v>#DIV/0!</v>
      </c>
      <c r="U13" s="2947"/>
      <c r="V13" s="2958" t="e">
        <f t="shared" si="1"/>
        <v>#DIV/0!</v>
      </c>
      <c r="W13" s="3443"/>
      <c r="X13" s="2955"/>
      <c r="Y13" s="2954">
        <f>(-0.163*(Y12^2)-0.59*Y12+7617)*(10^(-4))/Y11</f>
        <v>0.2739928057553957</v>
      </c>
      <c r="Z13" s="2954">
        <f t="shared" ref="Z13:AJ13" si="5">(-0.163*(Z12^2)-0.59*Z12+7617)*(10^(-4))/Z11</f>
        <v>0.2739928057553957</v>
      </c>
      <c r="AA13" s="2954">
        <f t="shared" si="5"/>
        <v>0.2739928057553957</v>
      </c>
      <c r="AB13" s="2954">
        <f t="shared" si="5"/>
        <v>0.2739928057553957</v>
      </c>
      <c r="AC13" s="2954">
        <f t="shared" si="5"/>
        <v>0.2739928057553957</v>
      </c>
      <c r="AD13" s="2954">
        <f t="shared" si="5"/>
        <v>0.2739928057553957</v>
      </c>
      <c r="AE13" s="2954">
        <f t="shared" si="5"/>
        <v>0.2739928057553957</v>
      </c>
      <c r="AF13" s="2954">
        <f t="shared" si="5"/>
        <v>0.2739928057553957</v>
      </c>
      <c r="AG13" s="2954">
        <f t="shared" si="5"/>
        <v>0.2739928057553957</v>
      </c>
      <c r="AH13" s="2954">
        <f t="shared" si="5"/>
        <v>0.2739928057553957</v>
      </c>
      <c r="AI13" s="2954">
        <f t="shared" si="5"/>
        <v>0.2739928057553957</v>
      </c>
      <c r="AJ13" s="2954">
        <f t="shared" si="5"/>
        <v>0.2739928057553957</v>
      </c>
    </row>
    <row r="14" spans="1:39" ht="12.75" customHeight="1" thickBot="1">
      <c r="A14" s="3454"/>
      <c r="B14" s="1448"/>
      <c r="C14" s="1449"/>
      <c r="D14" s="1450"/>
      <c r="E14" s="1450"/>
      <c r="F14" s="1451"/>
      <c r="G14" s="1452" t="s">
        <v>948</v>
      </c>
      <c r="H14" s="1453"/>
      <c r="I14" s="1454"/>
      <c r="J14" s="1455"/>
      <c r="K14" s="1398"/>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55"/>
      <c r="B15" s="1456" t="s">
        <v>1700</v>
      </c>
      <c r="C15" s="1050">
        <f>IF(C14="有",1.1,1)</f>
        <v>1</v>
      </c>
      <c r="D15" s="1050">
        <f>IF(D14="有",1.1,1)</f>
        <v>1</v>
      </c>
      <c r="E15" s="1050">
        <f>IF(E14="有",1.1,1)</f>
        <v>1</v>
      </c>
      <c r="F15" s="1050">
        <f>IF(F14="500米范围内",1.2,IF(F14="500-1000米",1.1,1))</f>
        <v>1</v>
      </c>
      <c r="G15" s="1051">
        <v>1</v>
      </c>
      <c r="H15" s="1051">
        <v>1</v>
      </c>
      <c r="I15" s="1051">
        <v>1</v>
      </c>
      <c r="J15" s="1052">
        <v>1</v>
      </c>
      <c r="K15" s="1398"/>
      <c r="L15" s="1595" t="s">
        <v>897</v>
      </c>
      <c r="M15" s="1425" t="s">
        <v>983</v>
      </c>
      <c r="N15" s="1425" t="s">
        <v>984</v>
      </c>
      <c r="O15" s="1425" t="s">
        <v>901</v>
      </c>
      <c r="P15" s="1473" t="s">
        <v>985</v>
      </c>
      <c r="Q15" s="2186"/>
      <c r="R15" s="2958">
        <v>14</v>
      </c>
      <c r="S15" s="2947"/>
      <c r="T15" s="2958" t="e">
        <f t="shared" si="0"/>
        <v>#DIV/0!</v>
      </c>
      <c r="U15" s="2947"/>
      <c r="V15" s="2958" t="e">
        <f t="shared" si="1"/>
        <v>#DIV/0!</v>
      </c>
      <c r="W15" s="2186"/>
      <c r="X15" s="2186"/>
      <c r="Y15" s="2186"/>
      <c r="Z15" s="2186"/>
      <c r="AA15" s="2186"/>
      <c r="AB15" s="2186"/>
      <c r="AC15" s="2187"/>
    </row>
    <row r="16" spans="1:39" ht="24">
      <c r="A16" s="3452" t="s">
        <v>1838</v>
      </c>
      <c r="B16" s="1424" t="s">
        <v>949</v>
      </c>
      <c r="C16" s="1053" t="e">
        <f>ROUND(SUM(G17:J17)/C17,0)</f>
        <v>#DIV/0!</v>
      </c>
      <c r="D16" s="1457" t="s">
        <v>950</v>
      </c>
      <c r="E16" s="1458"/>
      <c r="F16" s="1459"/>
      <c r="G16" s="1460"/>
      <c r="H16" s="1460"/>
      <c r="I16" s="1460"/>
      <c r="J16" s="1460"/>
      <c r="K16" s="1398"/>
      <c r="L16" s="1461" t="s">
        <v>987</v>
      </c>
      <c r="M16" s="1046">
        <v>0.25</v>
      </c>
      <c r="N16" s="1046">
        <v>0.2</v>
      </c>
      <c r="O16" s="1046">
        <v>0.15</v>
      </c>
      <c r="P16" s="1536">
        <v>0.1</v>
      </c>
      <c r="Q16" s="2189"/>
      <c r="R16" s="2958">
        <v>15</v>
      </c>
      <c r="S16" s="2947"/>
      <c r="T16" s="2958" t="e">
        <f t="shared" si="0"/>
        <v>#DIV/0!</v>
      </c>
      <c r="U16" s="2947"/>
      <c r="V16" s="2958" t="e">
        <f t="shared" si="1"/>
        <v>#DIV/0!</v>
      </c>
      <c r="W16" s="2189"/>
      <c r="X16" s="2189"/>
      <c r="Y16" s="2189"/>
      <c r="Z16" s="2189"/>
      <c r="AA16" s="2189"/>
      <c r="AB16" s="2189"/>
      <c r="AC16" s="2190"/>
    </row>
    <row r="17" spans="1:40" ht="24.6" thickBot="1">
      <c r="A17" s="3453"/>
      <c r="B17" s="1462" t="s">
        <v>952</v>
      </c>
      <c r="C17" s="1054">
        <f>SUMPRODUCT((修正!A2:A5=E2)*(修正!B1:M1=G2)*(修正!B2:M5))</f>
        <v>0</v>
      </c>
      <c r="D17" s="1464" t="s">
        <v>953</v>
      </c>
      <c r="E17" s="1465" t="str">
        <f>IF(OR(G2="八级",G2="九级",G2="十级",G2="十一级",G2="十二级"),"五通一平","七通一平")</f>
        <v>七通一平</v>
      </c>
      <c r="F17" s="1463"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 thickBot="1">
      <c r="A18" s="1638" t="s">
        <v>1829</v>
      </c>
      <c r="B18" s="2793" t="s">
        <v>955</v>
      </c>
      <c r="C18" s="2794">
        <f>SUMIF(修正!C18:C39,E3,修正!E18:E39)</f>
        <v>0</v>
      </c>
      <c r="D18" s="2795"/>
      <c r="E18" s="2796"/>
      <c r="F18" s="2797"/>
      <c r="G18" s="2791"/>
      <c r="H18" s="2791"/>
      <c r="I18" s="2791"/>
      <c r="J18" s="2798"/>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9.4" thickBot="1">
      <c r="A19" s="1637" t="s">
        <v>1835</v>
      </c>
      <c r="B19" s="1467" t="s">
        <v>956</v>
      </c>
      <c r="C19" s="1056" t="e">
        <f>ROUND(IF(H19="按公示增长率计算",SUMPRODUCT((地价!A3:A22=YEAR(G19)&amp;"-"&amp;ROUNDUP(MONTH(G19)/3,0))*(地价!X2:AB2=E2)*(地价!X3:AB22)),IF(H19="地价指数",M20/M19,(1+I19)^O19)),4)</f>
        <v>#DIV/0!</v>
      </c>
      <c r="D19" s="1471" t="s">
        <v>957</v>
      </c>
      <c r="E19" s="1057">
        <v>41640</v>
      </c>
      <c r="F19" s="1471" t="s">
        <v>958</v>
      </c>
      <c r="G19" s="1058">
        <f>'数据-取费表'!B2</f>
        <v>43507</v>
      </c>
      <c r="H19" s="1472" t="s">
        <v>2933</v>
      </c>
      <c r="I19" s="2805" t="str">
        <f>IF(H19="季度增幅（自定义）",SUMIF(N21:N24,E2,O21:O24),"")</f>
        <v/>
      </c>
      <c r="J19" s="1468"/>
      <c r="K19" s="1478"/>
      <c r="L19" s="3061" t="s">
        <v>2839</v>
      </c>
      <c r="M19" s="3062">
        <f>ROUND(SUMIF(地价!B2:F2,E2,地价!B22:F22),0)</f>
        <v>0</v>
      </c>
      <c r="N19" s="2807" t="s">
        <v>1676</v>
      </c>
      <c r="O19" s="2806">
        <f>ROUNDDOWN(DATEDIF(E19,G19,"M")/3,0)</f>
        <v>20</v>
      </c>
      <c r="P19" s="1593"/>
      <c r="R19" s="2946"/>
      <c r="S19" s="2946"/>
      <c r="T19" s="2946"/>
      <c r="U19" s="2946"/>
      <c r="V19" s="2946"/>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9.4" thickBot="1">
      <c r="A20" s="2799" t="s">
        <v>1836</v>
      </c>
      <c r="B20" s="2800" t="s">
        <v>971</v>
      </c>
      <c r="C20" s="2801" t="e">
        <f>ROUND(POWER(1+G20,J20-I20)*(POWER(1+G20,I20)-1)/(POWER(1+G20,J20)-1),4)</f>
        <v>#DIV/0!</v>
      </c>
      <c r="D20" s="2802" t="s">
        <v>972</v>
      </c>
      <c r="E20" s="3116">
        <f ca="1">存贷款利率!I4/100</f>
        <v>4.3499999999999997E-2</v>
      </c>
      <c r="F20" s="2802" t="s">
        <v>973</v>
      </c>
      <c r="G20" s="2803">
        <f>SUMIF(M15:P15,E2,M17:P17)</f>
        <v>0</v>
      </c>
      <c r="H20" s="2802" t="s">
        <v>974</v>
      </c>
      <c r="I20" s="2792" t="e">
        <f>SUMIF('数据-取费表'!C6:C15,E2,'数据-取费表'!F6:F15)/COUNTIF('数据-取费表'!C6:C15,E2)</f>
        <v>#DIV/0!</v>
      </c>
      <c r="J20" s="2804">
        <f>IF(E2="住宅",70,IF(E2="商业",40,50))</f>
        <v>50</v>
      </c>
      <c r="K20" s="1478"/>
      <c r="L20" s="3063" t="s">
        <v>2840</v>
      </c>
      <c r="M20" s="3064">
        <f>ROUND(SUMPRODUCT((地价!A4:A22=YEAR(G19)&amp;"-"&amp;ROUNDUP(MONTH(G19)/3,0))*(地价!B2:F2=E2)*(地价!B4:F22)),0)</f>
        <v>0</v>
      </c>
      <c r="N20" s="2810" t="s">
        <v>2644</v>
      </c>
      <c r="O20" s="2808" t="s">
        <v>2643</v>
      </c>
      <c r="P20" s="2809" t="s">
        <v>2648</v>
      </c>
      <c r="R20" s="2946"/>
      <c r="S20" s="2946"/>
      <c r="T20" s="2946"/>
      <c r="U20" s="2946"/>
      <c r="V20" s="2946"/>
      <c r="W20" s="2192"/>
      <c r="X20" s="2192"/>
      <c r="Y20" s="2192"/>
      <c r="Z20" s="2192"/>
      <c r="AA20" s="2192"/>
      <c r="AB20" s="2192"/>
      <c r="AC20" s="2192"/>
      <c r="AD20" s="1469"/>
      <c r="AE20" s="1469"/>
      <c r="AF20" s="1469"/>
      <c r="AG20" s="1469"/>
      <c r="AH20" s="1469"/>
      <c r="AI20" s="1469"/>
    </row>
    <row r="21" spans="1:40" s="1418" customFormat="1" ht="14.4">
      <c r="A21" s="1639" t="s">
        <v>1837</v>
      </c>
      <c r="B21" s="1477" t="s">
        <v>2759</v>
      </c>
      <c r="C21" s="1157">
        <f>IF(B21="容积率修正",IF(G3&lt;=10,D22,J22),C23)</f>
        <v>0</v>
      </c>
      <c r="D21" s="1478"/>
      <c r="E21" s="1478"/>
      <c r="F21" s="1478"/>
      <c r="G21" s="1478"/>
      <c r="H21" s="1478"/>
      <c r="I21" s="1478"/>
      <c r="J21" s="1479"/>
      <c r="K21" s="1478"/>
      <c r="L21" s="1478"/>
      <c r="M21" s="1478"/>
      <c r="N21" s="1475" t="s">
        <v>975</v>
      </c>
      <c r="O21" s="1539"/>
      <c r="P21" s="2790">
        <f>SUMPRODUCT((地价!A3:A22=YEAR(G19)&amp;"-"&amp;ROUNDUP(MONTH(G19)/3,0))*(地价!AD2:AH2=N21)*(地价!AD3:AH22))</f>
        <v>0</v>
      </c>
      <c r="R21" s="2946"/>
      <c r="S21" s="2946"/>
      <c r="T21" s="2946"/>
      <c r="U21" s="2946"/>
      <c r="V21" s="2946"/>
      <c r="W21" s="2192"/>
      <c r="X21" s="2192"/>
      <c r="Y21" s="2192"/>
      <c r="Z21" s="2192"/>
      <c r="AA21" s="2192"/>
      <c r="AB21" s="2192"/>
      <c r="AC21" s="2192"/>
      <c r="AD21" s="1400"/>
      <c r="AE21" s="1400"/>
      <c r="AF21" s="1400"/>
      <c r="AG21" s="1400"/>
      <c r="AH21" s="1469"/>
      <c r="AI21" s="1469"/>
    </row>
    <row r="22" spans="1:40" s="1418" customFormat="1" ht="14.4">
      <c r="A22" s="1640" t="s">
        <v>1870</v>
      </c>
      <c r="B22" s="1480" t="s">
        <v>976</v>
      </c>
      <c r="C22" s="1059" t="s">
        <v>1702</v>
      </c>
      <c r="D22" s="1059">
        <f>IF(E22=G22,F22,IF(G3&lt;=10,ROUND(F22+(H22-F22)*(G3-E22)/(G22-E22),4),"——"))</f>
        <v>0</v>
      </c>
      <c r="E22" s="1038">
        <f>ROUNDDOWN(G3,1)</f>
        <v>2.7</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2.8000000000000003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78"/>
      <c r="L22" s="1478"/>
      <c r="M22" s="1478"/>
      <c r="N22" s="1475" t="s">
        <v>978</v>
      </c>
      <c r="O22" s="1539"/>
      <c r="P22" s="2790">
        <f>SUMPRODUCT((地价!A3:A22=YEAR(G19)&amp;"-"&amp;ROUNDUP(MONTH(G19)/3,0))*(地价!AD2:AH2=N22)*(地价!AD3:AH22))</f>
        <v>0</v>
      </c>
      <c r="R22" s="2946"/>
      <c r="S22" s="2946"/>
      <c r="T22" s="2946"/>
      <c r="U22" s="2946"/>
      <c r="V22" s="2946"/>
      <c r="W22" s="2192"/>
      <c r="X22" s="2192"/>
      <c r="Y22" s="2192"/>
      <c r="Z22" s="2192"/>
      <c r="AA22" s="2192"/>
      <c r="AB22" s="2192"/>
      <c r="AC22" s="2192"/>
      <c r="AD22" s="1469"/>
      <c r="AE22" s="1469"/>
      <c r="AF22" s="1469"/>
      <c r="AG22" s="1469"/>
      <c r="AH22" s="1469"/>
      <c r="AI22" s="1469"/>
    </row>
    <row r="23" spans="1:40" ht="29.4" thickBot="1">
      <c r="A23" s="1640" t="s">
        <v>1871</v>
      </c>
      <c r="B23" s="1480" t="s">
        <v>979</v>
      </c>
      <c r="C23" s="1060">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922</v>
      </c>
      <c r="O23" s="1539"/>
      <c r="P23" s="2790">
        <f>SUMPRODUCT((地价!A3:A22=YEAR(G19)&amp;"-"&amp;ROUNDUP(MONTH(G19)/3,0))*(地价!AD2:AH2=N23)*(地价!AD3:AH22))</f>
        <v>0</v>
      </c>
      <c r="R23" s="2946"/>
      <c r="S23" s="2946"/>
      <c r="T23" s="2946"/>
      <c r="U23" s="2946"/>
      <c r="V23" s="2946"/>
      <c r="W23" s="2192"/>
      <c r="X23" s="2192"/>
      <c r="Y23" s="2192"/>
      <c r="Z23" s="2192"/>
      <c r="AA23" s="2192"/>
      <c r="AB23" s="2192"/>
      <c r="AC23" s="2192"/>
      <c r="AN23" s="1401"/>
    </row>
    <row r="24" spans="1:40" s="1418" customFormat="1" ht="15" thickBot="1">
      <c r="A24" s="1638" t="s">
        <v>1872</v>
      </c>
      <c r="B24" s="1412" t="s">
        <v>980</v>
      </c>
      <c r="C24" s="1061">
        <f>SUMIF(A44:A87,E2,B44:B87)</f>
        <v>0</v>
      </c>
      <c r="D24" s="1532"/>
      <c r="E24" s="1533"/>
      <c r="F24" s="1533"/>
      <c r="G24" s="1533"/>
      <c r="H24" s="1533"/>
      <c r="I24" s="1533"/>
      <c r="J24" s="1533"/>
      <c r="K24" s="1478"/>
      <c r="L24" s="1478"/>
      <c r="M24" s="1478"/>
      <c r="N24" s="1481" t="s">
        <v>981</v>
      </c>
      <c r="O24" s="1540"/>
      <c r="P24" s="1538">
        <f>SUMPRODUCT((地价!A3:A22=YEAR(G19)&amp;"-"&amp;ROUNDUP(MONTH(G19)/3,0))*(地价!AD2:AH2=N24)*(地价!AD3:AH22))</f>
        <v>0</v>
      </c>
      <c r="R24" s="2946"/>
      <c r="S24" s="2946"/>
      <c r="T24" s="2946"/>
      <c r="U24" s="2946"/>
      <c r="V24" s="2946"/>
      <c r="W24" s="2192"/>
      <c r="X24" s="2192"/>
      <c r="Y24" s="2192"/>
      <c r="Z24" s="2192"/>
      <c r="AA24" s="2192"/>
      <c r="AB24" s="2192"/>
      <c r="AC24" s="2192"/>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2"/>
      <c r="M25" s="2192"/>
      <c r="N25" s="2818" t="s">
        <v>2646</v>
      </c>
      <c r="O25" s="2192"/>
      <c r="P25" s="1538">
        <f>SUMPRODUCT((地价!A3:A22=YEAR(G19)&amp;"-"&amp;ROUNDUP(MONTH(G19)/3,0))*(地价!AD2:AH2=N25)*(地价!AD3:AH22))</f>
        <v>0</v>
      </c>
      <c r="R25" s="2946"/>
      <c r="S25" s="2946"/>
      <c r="T25" s="2946"/>
      <c r="U25" s="2946"/>
      <c r="V25" s="2946"/>
      <c r="W25" s="2192"/>
      <c r="X25" s="2192"/>
      <c r="Y25" s="2192"/>
      <c r="Z25" s="2192"/>
      <c r="AA25" s="2192"/>
      <c r="AB25" s="2192"/>
      <c r="AC25" s="2192"/>
    </row>
    <row r="26" spans="1:40" ht="14.4">
      <c r="A26" s="1486"/>
      <c r="B26" s="1480" t="s">
        <v>986</v>
      </c>
      <c r="C26" s="1062" t="e">
        <f>E29+SUM(E33:E39)</f>
        <v>#DIV/0!</v>
      </c>
      <c r="D26" s="1487"/>
      <c r="E26" s="1453"/>
      <c r="F26" s="1488"/>
      <c r="G26" s="1453"/>
      <c r="H26" s="1453"/>
      <c r="I26" s="1453"/>
      <c r="J26" s="1489"/>
      <c r="K26" s="1398"/>
      <c r="L26" s="2192"/>
      <c r="M26" s="2192"/>
      <c r="N26" s="2192"/>
      <c r="O26" s="2192"/>
      <c r="P26" s="2192"/>
      <c r="Q26" s="2192"/>
      <c r="R26" s="2946"/>
      <c r="S26" s="2946"/>
      <c r="T26" s="2946"/>
      <c r="U26" s="2946"/>
      <c r="V26" s="2946"/>
      <c r="W26" s="2192"/>
      <c r="X26" s="2192"/>
      <c r="Y26" s="2192"/>
      <c r="Z26" s="2192"/>
      <c r="AA26" s="2192"/>
      <c r="AB26" s="2192"/>
      <c r="AC26" s="2192"/>
      <c r="AD26" s="1469"/>
      <c r="AE26" s="1469"/>
      <c r="AF26" s="1469"/>
      <c r="AG26" s="1469"/>
    </row>
    <row r="27" spans="1:40" ht="15" thickBot="1">
      <c r="A27" s="1486"/>
      <c r="B27" s="1490" t="s">
        <v>988</v>
      </c>
      <c r="C27" s="1063" t="e">
        <f>E30+SUM(I33:I39)</f>
        <v>#DIV/0!</v>
      </c>
      <c r="D27" s="1491"/>
      <c r="E27" s="1492"/>
      <c r="F27" s="1493"/>
      <c r="G27" s="1492"/>
      <c r="H27" s="1492"/>
      <c r="I27" s="1492"/>
      <c r="J27" s="1494"/>
      <c r="K27" s="1398"/>
      <c r="L27" s="2192"/>
      <c r="M27" s="2192"/>
      <c r="N27" s="2192"/>
      <c r="O27" s="2192"/>
      <c r="P27" s="2192"/>
      <c r="Q27" s="2192"/>
      <c r="R27" s="2946"/>
      <c r="S27" s="2946"/>
      <c r="T27" s="2946"/>
      <c r="U27" s="2946"/>
      <c r="V27" s="2946"/>
      <c r="W27" s="2192"/>
      <c r="X27" s="2192"/>
      <c r="Y27" s="2192"/>
      <c r="Z27" s="2192"/>
      <c r="AA27" s="2192"/>
      <c r="AB27" s="2192"/>
      <c r="AC27" s="2192"/>
    </row>
    <row r="28" spans="1:40" ht="14.4">
      <c r="A28" s="1482"/>
      <c r="B28" s="1495" t="s">
        <v>989</v>
      </c>
      <c r="C28" s="1496" t="s">
        <v>990</v>
      </c>
      <c r="D28" s="1496" t="s">
        <v>991</v>
      </c>
      <c r="E28" s="1497" t="s">
        <v>992</v>
      </c>
      <c r="F28" s="1498"/>
      <c r="G28" s="1439"/>
      <c r="H28" s="1439"/>
      <c r="I28" s="1439"/>
      <c r="J28" s="1440"/>
      <c r="K28" s="1398"/>
      <c r="L28" s="2192"/>
      <c r="M28" s="2192"/>
      <c r="N28" s="2192"/>
      <c r="O28" s="2192"/>
      <c r="P28" s="2192"/>
      <c r="Q28" s="2192"/>
      <c r="R28" s="2946"/>
      <c r="S28" s="2946"/>
      <c r="T28" s="2946"/>
      <c r="U28" s="2946"/>
      <c r="V28" s="2946"/>
      <c r="W28" s="2192"/>
      <c r="X28" s="2192"/>
      <c r="Y28" s="2192"/>
      <c r="Z28" s="2192"/>
      <c r="AA28" s="2192"/>
      <c r="AB28" s="2192"/>
      <c r="AC28" s="2192"/>
      <c r="AD28" s="1469"/>
      <c r="AE28" s="1469"/>
      <c r="AF28" s="1469"/>
      <c r="AG28" s="1469"/>
    </row>
    <row r="29" spans="1:40" ht="24">
      <c r="A29" s="1499"/>
      <c r="B29" s="1500" t="s">
        <v>993</v>
      </c>
      <c r="C29" s="1062" t="e">
        <f>ROUND(C5*C18*C19*C20*C21*C24,0)</f>
        <v>#DIV/0!</v>
      </c>
      <c r="D29" s="1501"/>
      <c r="E29" s="1846" t="e">
        <f>ROUND(C29*D29/10000,0)</f>
        <v>#DIV/0!</v>
      </c>
      <c r="F29" s="1502" t="s">
        <v>1701</v>
      </c>
      <c r="G29" s="1503"/>
      <c r="H29" s="1503"/>
      <c r="I29" s="1503"/>
      <c r="J29" s="1504"/>
      <c r="K29" s="1398"/>
      <c r="L29" s="2192"/>
      <c r="M29" s="2192"/>
      <c r="N29" s="2192"/>
      <c r="O29" s="2192"/>
      <c r="P29" s="2192"/>
      <c r="Q29" s="2192"/>
      <c r="R29" s="2946"/>
      <c r="S29" s="2946"/>
      <c r="T29" s="2946"/>
      <c r="U29" s="2946"/>
      <c r="V29" s="2946"/>
      <c r="W29" s="2192"/>
      <c r="X29" s="2192"/>
      <c r="Y29" s="2192"/>
      <c r="Z29" s="2192"/>
      <c r="AA29" s="2192"/>
      <c r="AB29" s="2192"/>
      <c r="AC29" s="2192"/>
      <c r="AH29" s="1399"/>
      <c r="AI29" s="1399"/>
      <c r="AJ29" s="1402"/>
      <c r="AK29" s="1402"/>
      <c r="AL29" s="1402"/>
      <c r="AM29" s="1402"/>
    </row>
    <row r="30" spans="1:40" ht="24.6" thickBot="1">
      <c r="A30" s="1505"/>
      <c r="B30" s="1506" t="s">
        <v>994</v>
      </c>
      <c r="C30" s="1050" t="e">
        <f>ROUND(IF(E2="工业",C29*M39,C29*M38),0)</f>
        <v>#DIV/0!</v>
      </c>
      <c r="D30" s="1507"/>
      <c r="E30" s="1846" t="e">
        <f>ROUND(C30*D30/10000,0)</f>
        <v>#DIV/0!</v>
      </c>
      <c r="F30" s="1508" t="s">
        <v>995</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36">
      <c r="A32" s="1499"/>
      <c r="B32" s="1515"/>
      <c r="C32" s="1516" t="s">
        <v>990</v>
      </c>
      <c r="D32" s="1517" t="s">
        <v>991</v>
      </c>
      <c r="E32" s="1517" t="s">
        <v>992</v>
      </c>
      <c r="F32" s="1518" t="s">
        <v>998</v>
      </c>
      <c r="G32" s="1476" t="s">
        <v>990</v>
      </c>
      <c r="H32" s="1476" t="s">
        <v>991</v>
      </c>
      <c r="I32" s="1476" t="s">
        <v>992</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3.2">
      <c r="A33" s="3458" t="s">
        <v>2960</v>
      </c>
      <c r="B33" s="1521" t="s">
        <v>999</v>
      </c>
      <c r="C33" s="1062" t="e">
        <f>ROUND(D5*C19*C20*C24*F33,0)</f>
        <v>#DIV/0!</v>
      </c>
      <c r="D33" s="1534"/>
      <c r="E33" s="1047" t="e">
        <f>ROUND(C33*D33/10000,0)</f>
        <v>#DIV/0!</v>
      </c>
      <c r="F33" s="1047">
        <f>SUMIF(修正!A45:A56,G2,修正!B45:B56)</f>
        <v>0</v>
      </c>
      <c r="G33" s="1047" t="e">
        <f t="shared" ref="G33:G39" si="6">ROUND(IF(E2="工业",C33*$M$39,C33*$M$38),0)</f>
        <v>#DIV/0!</v>
      </c>
      <c r="H33" s="1047">
        <f>D33</f>
        <v>0</v>
      </c>
      <c r="I33" s="1047" t="e">
        <f>ROUND(G33*H33/10000,0)</f>
        <v>#DIV/0!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3.2">
      <c r="A34" s="3459"/>
      <c r="B34" s="1442" t="s">
        <v>1000</v>
      </c>
      <c r="C34" s="1062" t="e">
        <f>ROUND(D5*C19*C20*C24*F34,0)</f>
        <v>#DIV/0!</v>
      </c>
      <c r="D34" s="1534"/>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3.2">
      <c r="A35" s="3459"/>
      <c r="B35" s="1442" t="s">
        <v>1001</v>
      </c>
      <c r="C35" s="1062" t="e">
        <f>ROUND(D5*C19*C20*C24*F35,0)</f>
        <v>#DIV/0!</v>
      </c>
      <c r="D35" s="1534"/>
      <c r="E35" s="1047" t="e">
        <f t="shared" si="7"/>
        <v>#DIV/0!</v>
      </c>
      <c r="F35" s="1047">
        <f>SUMIF(修正!A45:A56,G2,修正!D45:D56)</f>
        <v>0</v>
      </c>
      <c r="G35" s="1047" t="e">
        <f t="shared" si="6"/>
        <v>#DIV/0!</v>
      </c>
      <c r="H35" s="1047">
        <f t="shared" si="8"/>
        <v>0</v>
      </c>
      <c r="I35" s="1047" t="e">
        <f t="shared" si="9"/>
        <v>#DIV/0!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8" thickBot="1">
      <c r="A36" s="3460"/>
      <c r="B36" s="1442" t="s">
        <v>1002</v>
      </c>
      <c r="C36" s="1062" t="e">
        <f>ROUND(D5*C19*C20*C24*F36,0)</f>
        <v>#DIV/0!</v>
      </c>
      <c r="D36" s="1534"/>
      <c r="E36" s="1047" t="e">
        <f t="shared" si="7"/>
        <v>#DIV/0!</v>
      </c>
      <c r="F36" s="1047">
        <f>SUMIF(修正!A45:A56,G2,修正!E45:E56)</f>
        <v>0</v>
      </c>
      <c r="G36" s="1047" t="e">
        <f t="shared" si="6"/>
        <v>#DIV/0!</v>
      </c>
      <c r="H36" s="1047">
        <f t="shared" si="8"/>
        <v>0</v>
      </c>
      <c r="I36" s="1047" t="e">
        <f t="shared" si="9"/>
        <v>#DIV/0!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3.2">
      <c r="A37" s="1520"/>
      <c r="B37" s="1442" t="s">
        <v>1003</v>
      </c>
      <c r="C37" s="1047" t="e">
        <f>ROUND(C5*C19*C20*C24*F37,0)</f>
        <v>#DIV/0!</v>
      </c>
      <c r="D37" s="1534"/>
      <c r="E37" s="1047" t="e">
        <f t="shared" si="7"/>
        <v>#DIV/0!</v>
      </c>
      <c r="F37" s="1062">
        <f>SUMIF(修正!A45:A56,G2,修正!F45:F56)</f>
        <v>0</v>
      </c>
      <c r="G37" s="1047" t="e">
        <f t="shared" si="6"/>
        <v>#DIV/0!</v>
      </c>
      <c r="H37" s="1047">
        <f t="shared" si="8"/>
        <v>0</v>
      </c>
      <c r="I37" s="1047" t="e">
        <f t="shared" si="9"/>
        <v>#DIV/0!</v>
      </c>
      <c r="J37" s="1522"/>
      <c r="K37" s="1398"/>
      <c r="L37" s="1541" t="s">
        <v>1703</v>
      </c>
      <c r="M37" s="1542"/>
      <c r="N37" s="2186"/>
      <c r="O37" s="2186"/>
      <c r="P37" s="2186"/>
      <c r="Q37" s="2186"/>
      <c r="R37" s="2187"/>
      <c r="S37" s="2187"/>
      <c r="T37" s="2187"/>
      <c r="U37" s="2187"/>
      <c r="V37" s="2187"/>
      <c r="W37" s="2186"/>
      <c r="X37" s="2186"/>
      <c r="Y37" s="2186"/>
      <c r="Z37" s="2186"/>
      <c r="AA37" s="2186"/>
      <c r="AB37" s="2186"/>
      <c r="AC37" s="2187"/>
    </row>
    <row r="38" spans="1:40" ht="13.2">
      <c r="A38" s="1520"/>
      <c r="B38" s="1442" t="s">
        <v>1004</v>
      </c>
      <c r="C38" s="1047" t="e">
        <f>ROUND(C5*C19*C20*C24*F38,0)</f>
        <v>#DIV/0!</v>
      </c>
      <c r="D38" s="1534"/>
      <c r="E38" s="1047" t="e">
        <f t="shared" si="7"/>
        <v>#DIV/0!</v>
      </c>
      <c r="F38" s="1062">
        <f>SUMIF(修正!A45:A56,G2,修正!G45:G56)</f>
        <v>0</v>
      </c>
      <c r="G38" s="1047" t="e">
        <f t="shared" si="6"/>
        <v>#DIV/0!</v>
      </c>
      <c r="H38" s="1047">
        <f t="shared" si="8"/>
        <v>0</v>
      </c>
      <c r="I38" s="1047" t="e">
        <f t="shared" si="9"/>
        <v>#DIV/0!</v>
      </c>
      <c r="J38" s="1522"/>
      <c r="K38" s="1398"/>
      <c r="L38" s="1543" t="s">
        <v>1705</v>
      </c>
      <c r="M38" s="1544">
        <v>0.25</v>
      </c>
      <c r="N38" s="2186"/>
      <c r="O38" s="2186"/>
      <c r="P38" s="2186"/>
      <c r="Q38" s="2186"/>
      <c r="R38" s="2187"/>
      <c r="S38" s="2187"/>
      <c r="T38" s="2187"/>
      <c r="U38" s="2187"/>
      <c r="V38" s="2187"/>
      <c r="W38" s="2186"/>
      <c r="X38" s="2186"/>
      <c r="Y38" s="2186"/>
      <c r="Z38" s="2186"/>
      <c r="AA38" s="2186"/>
      <c r="AB38" s="2186"/>
      <c r="AC38" s="2187"/>
    </row>
    <row r="39" spans="1:40" ht="13.8" thickBot="1">
      <c r="A39" s="1505"/>
      <c r="B39" s="1523" t="s">
        <v>1005</v>
      </c>
      <c r="C39" s="1050" t="e">
        <f>ROUND(C5*C19*C20*C24*F39,0)</f>
        <v>#DIV/0!</v>
      </c>
      <c r="D39" s="1535"/>
      <c r="E39" s="1050" t="e">
        <f t="shared" si="7"/>
        <v>#DIV/0!</v>
      </c>
      <c r="F39" s="1064">
        <f>SUMIF(修正!A45:A56,G2,修正!H45:H56)</f>
        <v>0</v>
      </c>
      <c r="G39" s="1050" t="e">
        <f t="shared" si="6"/>
        <v>#DIV/0!</v>
      </c>
      <c r="H39" s="1050">
        <f t="shared" si="8"/>
        <v>0</v>
      </c>
      <c r="I39" s="1050" t="e">
        <f t="shared" si="9"/>
        <v>#DIV/0!</v>
      </c>
      <c r="J39" s="1524"/>
      <c r="K39" s="1398"/>
      <c r="L39" s="1545" t="s">
        <v>1704</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c r="A41" s="1400"/>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440" t="s">
        <v>1006</v>
      </c>
      <c r="B44" s="2441"/>
      <c r="C44" s="2442"/>
      <c r="D44" s="2443"/>
      <c r="E44" s="2443"/>
      <c r="F44" s="2444"/>
      <c r="G44" s="1065"/>
      <c r="H44" s="2444"/>
      <c r="I44" s="1065"/>
      <c r="J44" s="1065"/>
      <c r="K44" s="1065"/>
      <c r="L44" s="1065"/>
      <c r="M44" s="1065"/>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4.4">
      <c r="A45" s="2445" t="s">
        <v>1007</v>
      </c>
      <c r="B45" s="2446">
        <f>1+E47</f>
        <v>1</v>
      </c>
      <c r="C45" s="2447"/>
      <c r="D45" s="2448"/>
      <c r="E45" s="2449"/>
      <c r="F45" s="2450"/>
      <c r="G45" s="2444"/>
      <c r="H45" s="2444"/>
      <c r="I45" s="1065"/>
      <c r="J45" s="1065"/>
      <c r="K45" s="1065"/>
      <c r="L45" s="1065"/>
      <c r="M45" s="1065"/>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6" t="s">
        <v>1008</v>
      </c>
      <c r="B46" s="2429" t="s">
        <v>1009</v>
      </c>
      <c r="C46" s="2451" t="s">
        <v>1010</v>
      </c>
      <c r="D46" s="2452" t="s">
        <v>1011</v>
      </c>
      <c r="E46" s="2453" t="s">
        <v>1013</v>
      </c>
      <c r="F46" s="2454" t="s">
        <v>2251</v>
      </c>
      <c r="G46" s="2452" t="s">
        <v>1014</v>
      </c>
      <c r="H46" s="2435" t="s">
        <v>2418</v>
      </c>
      <c r="I46" s="2452" t="s">
        <v>1012</v>
      </c>
      <c r="J46" s="2455" t="s">
        <v>1015</v>
      </c>
      <c r="K46" s="2455" t="s">
        <v>1016</v>
      </c>
      <c r="L46" s="2455" t="s">
        <v>1017</v>
      </c>
      <c r="M46" s="2455" t="s">
        <v>1018</v>
      </c>
      <c r="N46" s="2455" t="s">
        <v>1019</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48">
      <c r="A47" s="1066" t="s">
        <v>1020</v>
      </c>
      <c r="B47" s="2432" t="str">
        <f>估价对象房地状况!C16</f>
        <v>估价对象位于XX商圈，周边商业氛围成熟，人流量大，商业繁华度一般</v>
      </c>
      <c r="C47" s="1049"/>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60">
      <c r="A48" s="1066" t="s">
        <v>1021</v>
      </c>
      <c r="B48" s="2429" t="str">
        <f>估价对象房地状况!C18</f>
        <v>估价对象周边道路状况、公共交通通达情况、停车便捷程度，综合评价交通便捷度较好</v>
      </c>
      <c r="C48" s="1049"/>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6" t="s">
        <v>1022</v>
      </c>
      <c r="B49" s="2429">
        <f>估价对象房地状况!C19</f>
        <v>0</v>
      </c>
      <c r="C49" s="1049"/>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48">
      <c r="A50" s="1066" t="s">
        <v>1023</v>
      </c>
      <c r="B50" s="3118" t="s">
        <v>2935</v>
      </c>
      <c r="C50" s="1049"/>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6" t="s">
        <v>1024</v>
      </c>
      <c r="B51" s="2429">
        <f>估价对象房地状况!C24</f>
        <v>0</v>
      </c>
      <c r="C51" s="1049"/>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36">
      <c r="A52" s="1066" t="s">
        <v>1025</v>
      </c>
      <c r="B52" s="3117" t="s">
        <v>2934</v>
      </c>
      <c r="C52" s="1049"/>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61" t="s">
        <v>1026</v>
      </c>
      <c r="B53" s="2430" t="str">
        <f>估价对象房地状况!C21</f>
        <v>估价对象所在区域公共配套设施齐备情况</v>
      </c>
      <c r="C53" s="1049"/>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61" t="s">
        <v>1027</v>
      </c>
      <c r="B54" s="2429" t="str">
        <f>估价对象房地状况!C22</f>
        <v>估价对象所在区域基础设施水平</v>
      </c>
      <c r="C54" s="1049"/>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36.6" thickBot="1">
      <c r="A55" s="2462" t="s">
        <v>1028</v>
      </c>
      <c r="B55" s="2433" t="str">
        <f>估价对象房地状况!C20</f>
        <v>区域自然环境：；人文环境；综合评价好</v>
      </c>
      <c r="C55" s="1049"/>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4.4">
      <c r="A56" s="2445" t="s">
        <v>1029</v>
      </c>
      <c r="B56" s="2446">
        <f>1+E58</f>
        <v>1</v>
      </c>
      <c r="C56" s="2465"/>
      <c r="D56" s="2448"/>
      <c r="E56" s="2449"/>
      <c r="F56" s="2450"/>
      <c r="G56" s="2444"/>
      <c r="H56" s="2444"/>
      <c r="I56" s="2444"/>
      <c r="J56" s="1065"/>
      <c r="K56" s="1065"/>
      <c r="L56" s="1065"/>
      <c r="M56" s="1065"/>
      <c r="N56" s="1065"/>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6" t="s">
        <v>1008</v>
      </c>
      <c r="B57" s="2429"/>
      <c r="C57" s="2451" t="s">
        <v>1010</v>
      </c>
      <c r="D57" s="2452" t="s">
        <v>1011</v>
      </c>
      <c r="E57" s="2453" t="s">
        <v>1013</v>
      </c>
      <c r="F57" s="2454" t="s">
        <v>2252</v>
      </c>
      <c r="G57" s="2452" t="s">
        <v>1014</v>
      </c>
      <c r="H57" s="2435" t="s">
        <v>2418</v>
      </c>
      <c r="I57" s="2452" t="s">
        <v>1012</v>
      </c>
      <c r="J57" s="2455" t="s">
        <v>1015</v>
      </c>
      <c r="K57" s="2455" t="s">
        <v>1016</v>
      </c>
      <c r="L57" s="2455" t="s">
        <v>1017</v>
      </c>
      <c r="M57" s="2455" t="s">
        <v>1018</v>
      </c>
      <c r="N57" s="2455" t="s">
        <v>1019</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48">
      <c r="A58" s="1066" t="s">
        <v>1030</v>
      </c>
      <c r="B58" s="2432" t="str">
        <f>估价对象房地状况!C17</f>
        <v>估价对象位于XX商圈，周边办公楼项目较多，入驻率高，办公集聚程度较好</v>
      </c>
      <c r="C58" s="1049"/>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60">
      <c r="A59" s="1066" t="s">
        <v>1021</v>
      </c>
      <c r="B59" s="2429" t="str">
        <f>估价对象房地状况!C18</f>
        <v>估价对象周边道路状况、公共交通通达情况、停车便捷程度，综合评价交通便捷度较好</v>
      </c>
      <c r="C59" s="1049"/>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6" t="s">
        <v>1022</v>
      </c>
      <c r="B60" s="2429">
        <f>估价对象房地状况!C19</f>
        <v>0</v>
      </c>
      <c r="C60" s="1049"/>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48">
      <c r="A61" s="1066" t="s">
        <v>1023</v>
      </c>
      <c r="B61" s="3118" t="s">
        <v>2936</v>
      </c>
      <c r="C61" s="1049"/>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6" t="s">
        <v>1024</v>
      </c>
      <c r="B62" s="2429">
        <f>估价对象房地状况!C24</f>
        <v>0</v>
      </c>
      <c r="C62" s="1049"/>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36">
      <c r="A63" s="1066" t="s">
        <v>1025</v>
      </c>
      <c r="B63" s="3117" t="s">
        <v>2934</v>
      </c>
      <c r="C63" s="1049"/>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6" t="s">
        <v>1026</v>
      </c>
      <c r="B64" s="2430" t="str">
        <f>估价对象房地状况!C21</f>
        <v>估价对象所在区域公共配套设施齐备情况</v>
      </c>
      <c r="C64" s="1049"/>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6" t="s">
        <v>1027</v>
      </c>
      <c r="B65" s="2430" t="str">
        <f>估价对象房地状况!C22</f>
        <v>估价对象所在区域基础设施水平</v>
      </c>
      <c r="C65" s="1049"/>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36.6" thickBot="1">
      <c r="A66" s="2462" t="s">
        <v>1028</v>
      </c>
      <c r="B66" s="2434" t="str">
        <f>估价对象房地状况!C20</f>
        <v>区域自然环境：；人文环境；综合评价好</v>
      </c>
      <c r="C66" s="1049"/>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4.4">
      <c r="A67" s="2445" t="s">
        <v>1031</v>
      </c>
      <c r="B67" s="2446">
        <f>1+E69</f>
        <v>1</v>
      </c>
      <c r="C67" s="2465"/>
      <c r="D67" s="2448"/>
      <c r="E67" s="2449"/>
      <c r="F67" s="2450"/>
      <c r="G67" s="2444"/>
      <c r="H67" s="2444"/>
      <c r="I67" s="2444"/>
      <c r="J67" s="1065"/>
      <c r="K67" s="1065"/>
      <c r="L67" s="1065"/>
      <c r="M67" s="1065"/>
      <c r="N67" s="1065"/>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6" t="s">
        <v>1008</v>
      </c>
      <c r="B68" s="2429"/>
      <c r="C68" s="2451" t="s">
        <v>1010</v>
      </c>
      <c r="D68" s="2452" t="s">
        <v>1011</v>
      </c>
      <c r="E68" s="2453" t="s">
        <v>1013</v>
      </c>
      <c r="F68" s="2454" t="s">
        <v>2253</v>
      </c>
      <c r="G68" s="2452" t="s">
        <v>1014</v>
      </c>
      <c r="H68" s="2435" t="s">
        <v>2418</v>
      </c>
      <c r="I68" s="2452" t="s">
        <v>1012</v>
      </c>
      <c r="J68" s="2455" t="s">
        <v>1015</v>
      </c>
      <c r="K68" s="2455" t="s">
        <v>1016</v>
      </c>
      <c r="L68" s="2455" t="s">
        <v>1017</v>
      </c>
      <c r="M68" s="2455" t="s">
        <v>1018</v>
      </c>
      <c r="N68" s="2455" t="s">
        <v>1019</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60">
      <c r="A69" s="1066" t="s">
        <v>1032</v>
      </c>
      <c r="B69" s="2432" t="str">
        <f>估价对象房地状况!C15</f>
        <v>估价对象周边居住用地比例、居住小区规模和社区发展完善程度，综合评价居住社区成熟度较好</v>
      </c>
      <c r="C69" s="1158"/>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60">
      <c r="A70" s="1066" t="s">
        <v>1033</v>
      </c>
      <c r="B70" s="2429" t="str">
        <f>估价对象房地状况!C18</f>
        <v>估价对象周边道路状况、公共交通通达情况、停车便捷程度，综合评价交通便捷度较好</v>
      </c>
      <c r="C70" s="1158"/>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6" t="s">
        <v>1022</v>
      </c>
      <c r="B71" s="2429">
        <f>估价对象房地状况!C19</f>
        <v>0</v>
      </c>
      <c r="C71" s="1158"/>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3.8">
      <c r="A72" s="1066" t="s">
        <v>1034</v>
      </c>
      <c r="B72" s="2429">
        <f>估价对象房地状况!C24</f>
        <v>0</v>
      </c>
      <c r="C72" s="1158"/>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6" t="s">
        <v>1026</v>
      </c>
      <c r="B73" s="2430" t="str">
        <f>估价对象房地状况!C21</f>
        <v>估价对象所在区域公共配套设施齐备情况</v>
      </c>
      <c r="C73" s="1158"/>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6" t="s">
        <v>1027</v>
      </c>
      <c r="B74" s="2430" t="str">
        <f>估价对象房地状况!C22</f>
        <v>估价对象所在区域基础设施水平</v>
      </c>
      <c r="C74" s="1158"/>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36">
      <c r="A75" s="1066" t="s">
        <v>1025</v>
      </c>
      <c r="B75" s="3117" t="s">
        <v>2934</v>
      </c>
      <c r="C75" s="1158"/>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36">
      <c r="A76" s="1066" t="s">
        <v>1028</v>
      </c>
      <c r="B76" s="2432" t="str">
        <f>估价对象房地状况!C20</f>
        <v>区域自然环境：；人文环境；综合评价好</v>
      </c>
      <c r="C76" s="1158"/>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400"/>
      <c r="AN76" s="1401"/>
    </row>
    <row r="77" spans="1:40" ht="36.6" thickBot="1">
      <c r="A77" s="2462" t="s">
        <v>1035</v>
      </c>
      <c r="B77" s="1847"/>
      <c r="C77" s="1158"/>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2"/>
      <c r="AD77" s="1401"/>
      <c r="AJ77" s="1400"/>
      <c r="AN77" s="1401"/>
    </row>
    <row r="78" spans="1:40" ht="14.4">
      <c r="A78" s="2445" t="s">
        <v>1036</v>
      </c>
      <c r="B78" s="2446">
        <f>1+E80</f>
        <v>1</v>
      </c>
      <c r="C78" s="2465"/>
      <c r="D78" s="2448"/>
      <c r="E78" s="2449"/>
      <c r="F78" s="2450"/>
      <c r="G78" s="2444"/>
      <c r="H78" s="2444"/>
      <c r="I78" s="2444"/>
      <c r="J78" s="1065"/>
      <c r="K78" s="1065"/>
      <c r="L78" s="1065"/>
      <c r="M78" s="1065"/>
      <c r="N78" s="1065"/>
      <c r="AC78" s="1402"/>
      <c r="AD78" s="1401"/>
      <c r="AJ78" s="1400"/>
      <c r="AN78" s="1401"/>
    </row>
    <row r="79" spans="1:40" ht="24">
      <c r="A79" s="1066" t="s">
        <v>1008</v>
      </c>
      <c r="B79" s="2429"/>
      <c r="C79" s="2451" t="s">
        <v>1010</v>
      </c>
      <c r="D79" s="2452" t="s">
        <v>1011</v>
      </c>
      <c r="E79" s="2453" t="s">
        <v>1013</v>
      </c>
      <c r="F79" s="2454" t="s">
        <v>2254</v>
      </c>
      <c r="G79" s="2452" t="s">
        <v>1014</v>
      </c>
      <c r="H79" s="2435" t="s">
        <v>2418</v>
      </c>
      <c r="I79" s="2452" t="s">
        <v>1012</v>
      </c>
      <c r="J79" s="2455" t="s">
        <v>1015</v>
      </c>
      <c r="K79" s="2455" t="s">
        <v>1016</v>
      </c>
      <c r="L79" s="2455" t="s">
        <v>1017</v>
      </c>
      <c r="M79" s="2455" t="s">
        <v>1018</v>
      </c>
      <c r="N79" s="2455" t="s">
        <v>1019</v>
      </c>
      <c r="AC79" s="1402"/>
      <c r="AD79" s="1401"/>
      <c r="AJ79" s="1400"/>
      <c r="AN79" s="1401"/>
    </row>
    <row r="80" spans="1:40" ht="36">
      <c r="A80" s="1066" t="s">
        <v>1037</v>
      </c>
      <c r="B80" s="2429" t="str">
        <f>估价对象房地状况!G15</f>
        <v>估价对象位于XX开发区，园区建设成熟度XX，产业集聚程度XX</v>
      </c>
      <c r="C80" s="1049"/>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2"/>
      <c r="AD80" s="1401"/>
      <c r="AJ80" s="1400"/>
      <c r="AN80" s="1401"/>
    </row>
    <row r="81" spans="1:40" ht="60">
      <c r="A81" s="1066" t="s">
        <v>1033</v>
      </c>
      <c r="B81" s="2429" t="str">
        <f>估价对象房地状况!G16</f>
        <v>估价对象周边道路状况、公共交通通达情况、停车便捷程度，综合评价交通便捷度较好</v>
      </c>
      <c r="C81" s="1049"/>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2"/>
      <c r="AD81" s="1401"/>
      <c r="AJ81" s="1400"/>
      <c r="AN81" s="1401"/>
    </row>
    <row r="82" spans="1:40" ht="24">
      <c r="A82" s="1066" t="s">
        <v>1022</v>
      </c>
      <c r="B82" s="2429">
        <f>估价对象房地状况!G17</f>
        <v>0</v>
      </c>
      <c r="C82" s="1049"/>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2"/>
      <c r="AD82" s="1401"/>
      <c r="AJ82" s="1400"/>
      <c r="AN82" s="1401"/>
    </row>
    <row r="83" spans="1:40" ht="13.8">
      <c r="A83" s="1066" t="s">
        <v>1034</v>
      </c>
      <c r="B83" s="2429">
        <f>估价对象房地状况!G22</f>
        <v>0</v>
      </c>
      <c r="C83" s="1049"/>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2"/>
      <c r="AD83" s="1401"/>
      <c r="AJ83" s="1400"/>
      <c r="AN83" s="1401"/>
    </row>
    <row r="84" spans="1:40" ht="24">
      <c r="A84" s="1066" t="s">
        <v>1026</v>
      </c>
      <c r="B84" s="2430" t="str">
        <f>估价对象房地状况!G19</f>
        <v>估价对象所在区域公共配套设施齐备情况</v>
      </c>
      <c r="C84" s="1049"/>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2"/>
      <c r="AD84" s="1401"/>
      <c r="AJ84" s="1400"/>
      <c r="AN84" s="1401"/>
    </row>
    <row r="85" spans="1:40" ht="24">
      <c r="A85" s="1066" t="s">
        <v>1027</v>
      </c>
      <c r="B85" s="2430" t="str">
        <f>估价对象房地状况!G20</f>
        <v>估价对象所在区域基础设施水平</v>
      </c>
      <c r="C85" s="1049"/>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2"/>
      <c r="AD85" s="1401"/>
      <c r="AJ85" s="1400"/>
      <c r="AN85" s="1401"/>
    </row>
    <row r="86" spans="1:40" ht="36">
      <c r="A86" s="1066" t="s">
        <v>1025</v>
      </c>
      <c r="B86" s="3117" t="s">
        <v>2934</v>
      </c>
      <c r="C86" s="1049"/>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2"/>
      <c r="AD86" s="1401"/>
      <c r="AJ86" s="1400"/>
      <c r="AN86" s="1401"/>
    </row>
    <row r="87" spans="1:40" ht="48.6" thickBot="1">
      <c r="A87" s="2462" t="s">
        <v>1038</v>
      </c>
      <c r="B87" s="2431" t="str">
        <f>估价对象房地状况!G18</f>
        <v>该园区内是否有污染型企业，绿化情况，卫生条件，整体环境状况判断</v>
      </c>
      <c r="C87" s="1049"/>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2"/>
      <c r="AD87" s="1401"/>
      <c r="AJ87" s="1400"/>
      <c r="AN87" s="1401"/>
    </row>
    <row r="90" spans="1:40">
      <c r="A90" s="3456" t="s">
        <v>1633</v>
      </c>
      <c r="B90" s="3456"/>
      <c r="C90" s="3456"/>
      <c r="D90" s="3456"/>
      <c r="E90" s="3456"/>
      <c r="F90" s="3456"/>
      <c r="G90" s="3456"/>
      <c r="H90" s="3456"/>
      <c r="I90" s="3456"/>
      <c r="J90" s="3456"/>
      <c r="K90" s="2471"/>
      <c r="L90" s="2471"/>
      <c r="M90" s="2471"/>
      <c r="N90" s="2471"/>
    </row>
    <row r="91" spans="1:40">
      <c r="A91" s="3457" t="s">
        <v>1443</v>
      </c>
      <c r="B91" s="3457" t="s">
        <v>1634</v>
      </c>
      <c r="C91" s="1139" t="s">
        <v>1635</v>
      </c>
      <c r="D91" s="1140"/>
      <c r="E91" s="1140"/>
      <c r="F91" s="1140"/>
      <c r="G91" s="1140"/>
      <c r="H91" s="1140"/>
      <c r="I91" s="1140"/>
      <c r="J91" s="1141"/>
      <c r="K91" s="1133"/>
      <c r="L91" s="1133"/>
      <c r="M91" s="1133"/>
      <c r="N91" s="1133"/>
    </row>
    <row r="92" spans="1:40">
      <c r="A92" s="3457"/>
      <c r="B92" s="3457"/>
      <c r="C92" s="2470" t="s">
        <v>906</v>
      </c>
      <c r="D92" s="2470" t="s">
        <v>884</v>
      </c>
      <c r="E92" s="2470" t="s">
        <v>885</v>
      </c>
      <c r="F92" s="2470" t="s">
        <v>909</v>
      </c>
      <c r="G92" s="2470" t="s">
        <v>887</v>
      </c>
      <c r="H92" s="2470" t="s">
        <v>888</v>
      </c>
      <c r="I92" s="2470" t="s">
        <v>889</v>
      </c>
      <c r="J92" s="2470" t="s">
        <v>890</v>
      </c>
      <c r="K92" s="2470" t="s">
        <v>914</v>
      </c>
      <c r="L92" s="2470" t="s">
        <v>892</v>
      </c>
      <c r="M92" s="2470" t="s">
        <v>893</v>
      </c>
      <c r="N92" s="2470" t="s">
        <v>917</v>
      </c>
    </row>
    <row r="93" spans="1:40">
      <c r="A93" s="3446"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7"/>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6" t="s">
        <v>1637</v>
      </c>
      <c r="B101" s="1146" t="s">
        <v>905</v>
      </c>
      <c r="C101" s="1147">
        <f>$G$3</f>
        <v>2.78</v>
      </c>
      <c r="D101" s="1147">
        <f t="shared" ref="D101:N101" si="31">$G$3</f>
        <v>2.78</v>
      </c>
      <c r="E101" s="1147">
        <f t="shared" si="31"/>
        <v>2.78</v>
      </c>
      <c r="F101" s="1147">
        <f t="shared" si="31"/>
        <v>2.78</v>
      </c>
      <c r="G101" s="1147">
        <f t="shared" si="31"/>
        <v>2.78</v>
      </c>
      <c r="H101" s="1147">
        <f t="shared" si="31"/>
        <v>2.78</v>
      </c>
      <c r="I101" s="1147">
        <f t="shared" si="31"/>
        <v>2.78</v>
      </c>
      <c r="J101" s="1147">
        <f t="shared" si="31"/>
        <v>2.78</v>
      </c>
      <c r="K101" s="1147">
        <f t="shared" si="31"/>
        <v>2.78</v>
      </c>
      <c r="L101" s="1147">
        <f t="shared" si="31"/>
        <v>2.78</v>
      </c>
      <c r="M101" s="1147">
        <f t="shared" si="31"/>
        <v>2.78</v>
      </c>
      <c r="N101" s="1147">
        <f t="shared" si="31"/>
        <v>2.78</v>
      </c>
    </row>
    <row r="102" spans="1:14">
      <c r="A102" s="3447"/>
      <c r="B102" s="1142">
        <v>1</v>
      </c>
      <c r="C102" s="1143">
        <f>1.9362/C101</f>
        <v>0.69647482014388495</v>
      </c>
      <c r="D102" s="1143">
        <f>1.9362/D101</f>
        <v>0.69647482014388495</v>
      </c>
      <c r="E102" s="1143">
        <f>1.8629/E101</f>
        <v>0.67010791366906475</v>
      </c>
      <c r="F102" s="1143">
        <f>1.8629/F101</f>
        <v>0.67010791366906475</v>
      </c>
      <c r="G102" s="1143">
        <f>1.8629/G101</f>
        <v>0.67010791366906475</v>
      </c>
      <c r="H102" s="1143">
        <f>1.8629/H101</f>
        <v>0.67010791366906475</v>
      </c>
      <c r="I102" s="1143">
        <f>1.8629/I101</f>
        <v>0.67010791366906475</v>
      </c>
      <c r="J102" s="1143">
        <f>1.942/J101</f>
        <v>0.69856115107913674</v>
      </c>
      <c r="K102" s="1143">
        <f>1.942/K101</f>
        <v>0.69856115107913674</v>
      </c>
      <c r="L102" s="1143">
        <f>1.942/L101</f>
        <v>0.69856115107913674</v>
      </c>
      <c r="M102" s="1143">
        <f>1.942/M101</f>
        <v>0.69856115107913674</v>
      </c>
      <c r="N102" s="1143">
        <f>1.942/N101</f>
        <v>0.69856115107913674</v>
      </c>
    </row>
    <row r="103" spans="1:14">
      <c r="A103" s="3447"/>
      <c r="B103" s="1142">
        <v>2</v>
      </c>
      <c r="C103" s="1143">
        <f>1.4198/C101</f>
        <v>0.51071942446043173</v>
      </c>
      <c r="D103" s="1143">
        <f>1.4198/D101</f>
        <v>0.51071942446043173</v>
      </c>
      <c r="E103" s="1143">
        <f>1.3372/E101</f>
        <v>0.48100719424460431</v>
      </c>
      <c r="F103" s="1143">
        <f>1.3372/F101</f>
        <v>0.48100719424460431</v>
      </c>
      <c r="G103" s="1143">
        <f>1.3372/G101</f>
        <v>0.48100719424460431</v>
      </c>
      <c r="H103" s="1143">
        <f>1.3372/H101</f>
        <v>0.48100719424460431</v>
      </c>
      <c r="I103" s="1143">
        <f>1.3372/I101</f>
        <v>0.48100719424460431</v>
      </c>
      <c r="J103" s="1143">
        <f>1.2799/J101</f>
        <v>0.46039568345323745</v>
      </c>
      <c r="K103" s="1143">
        <f>1.2799/K101</f>
        <v>0.46039568345323745</v>
      </c>
      <c r="L103" s="1143">
        <f>1.2799/L101</f>
        <v>0.46039568345323745</v>
      </c>
      <c r="M103" s="1143">
        <f>1.2799/M101</f>
        <v>0.46039568345323745</v>
      </c>
      <c r="N103" s="1143">
        <f>1.2799/N101</f>
        <v>0.46039568345323745</v>
      </c>
    </row>
    <row r="104" spans="1:14">
      <c r="A104" s="3447"/>
      <c r="B104" s="1142">
        <v>3</v>
      </c>
      <c r="C104" s="1143">
        <f>1.1594/C101</f>
        <v>0.41705035971223026</v>
      </c>
      <c r="D104" s="1143">
        <f>1.1594/D101</f>
        <v>0.41705035971223026</v>
      </c>
      <c r="E104" s="1143">
        <f>1.0788/E101</f>
        <v>0.38805755395683456</v>
      </c>
      <c r="F104" s="1143">
        <f>1.0788/F101</f>
        <v>0.38805755395683456</v>
      </c>
      <c r="G104" s="1143">
        <f>1.0788/G101</f>
        <v>0.38805755395683456</v>
      </c>
      <c r="H104" s="1143">
        <f>1.0788/H101</f>
        <v>0.38805755395683456</v>
      </c>
      <c r="I104" s="1143">
        <f>1.0788/I101</f>
        <v>0.38805755395683456</v>
      </c>
      <c r="J104" s="1143">
        <f>1.0072/J101</f>
        <v>0.36230215827338136</v>
      </c>
      <c r="K104" s="1143">
        <f>1.0072/K101</f>
        <v>0.36230215827338136</v>
      </c>
      <c r="L104" s="1143">
        <f>1.0072/L101</f>
        <v>0.36230215827338136</v>
      </c>
      <c r="M104" s="1143">
        <f>1.0072/M101</f>
        <v>0.36230215827338136</v>
      </c>
      <c r="N104" s="1143">
        <f>1.0072/N101</f>
        <v>0.36230215827338136</v>
      </c>
    </row>
    <row r="105" spans="1:14">
      <c r="A105" s="3447"/>
      <c r="B105" s="1142">
        <v>4</v>
      </c>
      <c r="C105" s="1143">
        <f>0.9622/C101</f>
        <v>0.34611510791366912</v>
      </c>
      <c r="D105" s="1143">
        <f>0.9622/D101</f>
        <v>0.34611510791366912</v>
      </c>
      <c r="E105" s="1143">
        <f>0.8656/E101</f>
        <v>0.31136690647482018</v>
      </c>
      <c r="F105" s="1143">
        <f>0.8656/F101</f>
        <v>0.31136690647482018</v>
      </c>
      <c r="G105" s="1143">
        <f>0.8656/G101</f>
        <v>0.31136690647482018</v>
      </c>
      <c r="H105" s="1143">
        <f>0.8656/H101</f>
        <v>0.31136690647482018</v>
      </c>
      <c r="I105" s="1143">
        <f>0.8656/I101</f>
        <v>0.31136690647482018</v>
      </c>
      <c r="J105" s="1143">
        <f>0.7525/J101</f>
        <v>0.27068345323741005</v>
      </c>
      <c r="K105" s="1143">
        <f>0.7525/K101</f>
        <v>0.27068345323741005</v>
      </c>
      <c r="L105" s="1143">
        <f>0.7525/L101</f>
        <v>0.27068345323741005</v>
      </c>
      <c r="M105" s="1143">
        <f>0.7525/M101</f>
        <v>0.27068345323741005</v>
      </c>
      <c r="N105" s="1143">
        <f>0.7525/N101</f>
        <v>0.27068345323741005</v>
      </c>
    </row>
    <row r="106" spans="1:14">
      <c r="A106" s="3447"/>
      <c r="B106" s="1142">
        <v>5</v>
      </c>
      <c r="C106" s="1143">
        <f>0.8417/C101</f>
        <v>0.30276978417266187</v>
      </c>
      <c r="D106" s="1143">
        <f>0.8417/D101</f>
        <v>0.30276978417266187</v>
      </c>
      <c r="E106" s="1143">
        <f>0.7371/E101</f>
        <v>0.26514388489208635</v>
      </c>
      <c r="F106" s="1143">
        <f>0.7371/F101</f>
        <v>0.26514388489208635</v>
      </c>
      <c r="G106" s="1143">
        <f>0.7371/G101</f>
        <v>0.26514388489208635</v>
      </c>
      <c r="H106" s="1143">
        <f>0.7371/H101</f>
        <v>0.26514388489208635</v>
      </c>
      <c r="I106" s="1143">
        <f>0.7371/I101</f>
        <v>0.26514388489208635</v>
      </c>
      <c r="J106" s="1143">
        <f>0.5659/J101</f>
        <v>0.20356115107913669</v>
      </c>
      <c r="K106" s="1143">
        <f>0.5659/K101</f>
        <v>0.20356115107913669</v>
      </c>
      <c r="L106" s="1143">
        <f>0.5659/L101</f>
        <v>0.20356115107913669</v>
      </c>
      <c r="M106" s="1143">
        <f>0.5659/M101</f>
        <v>0.20356115107913669</v>
      </c>
      <c r="N106" s="1143">
        <f>0.5659/N101</f>
        <v>0.20356115107913669</v>
      </c>
    </row>
    <row r="107" spans="1:14">
      <c r="A107" s="3447"/>
      <c r="B107" s="1142">
        <v>6</v>
      </c>
      <c r="C107" s="1143">
        <f>0.7608/C101</f>
        <v>0.27366906474820146</v>
      </c>
      <c r="D107" s="1143">
        <f>0.7608/D101</f>
        <v>0.27366906474820146</v>
      </c>
      <c r="E107" s="1143">
        <f>0.6482/E101</f>
        <v>0.23316546762589929</v>
      </c>
      <c r="F107" s="1143">
        <f>0.6482/F101</f>
        <v>0.23316546762589929</v>
      </c>
      <c r="G107" s="1143">
        <f>0.6482/G101</f>
        <v>0.23316546762589929</v>
      </c>
      <c r="H107" s="1143">
        <f>0.6482/H101</f>
        <v>0.23316546762589929</v>
      </c>
      <c r="I107" s="1143">
        <f>0.6482/I101</f>
        <v>0.23316546762589929</v>
      </c>
      <c r="J107" s="1143">
        <f>0.4525/J101</f>
        <v>0.16276978417266189</v>
      </c>
      <c r="K107" s="1143">
        <f>0.4525/K101</f>
        <v>0.16276978417266189</v>
      </c>
      <c r="L107" s="1143">
        <f>0.4525/L101</f>
        <v>0.16276978417266189</v>
      </c>
      <c r="M107" s="1143">
        <f>0.4525/M101</f>
        <v>0.16276978417266189</v>
      </c>
      <c r="N107" s="1143">
        <f>0.4525/N101</f>
        <v>0.16276978417266189</v>
      </c>
    </row>
    <row r="108" spans="1:14">
      <c r="A108" s="3447"/>
      <c r="B108" s="3449"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8"/>
      <c r="B109" s="3450"/>
      <c r="C109" s="1145">
        <f>(-0.163*(C108^2)-0.59*C108+7617)*(10^(-4))/C101</f>
        <v>0.27344776978417268</v>
      </c>
      <c r="D109" s="1145">
        <f>(-0.163*(D108^2)-0.59*D108+7617)*(10^(-4))/D101</f>
        <v>0.27344776978417268</v>
      </c>
      <c r="E109" s="1145">
        <f>(-0.161*(E108^2)-7.509*E108+6533)*(10^(-4))/E101</f>
        <v>0.23246848920863311</v>
      </c>
      <c r="F109" s="1145">
        <f>(-0.161*(F108^2)-7.509*F108+6533)*(10^(-4))/F101</f>
        <v>0.23246848920863311</v>
      </c>
      <c r="G109" s="1145">
        <f>(-0.161*(G108^2)-7.509*G108+6533)*(10^(-4))/G101</f>
        <v>0.23246848920863311</v>
      </c>
      <c r="H109" s="1145">
        <f>(-0.161*(H108^2)-7.509*H108+6533)*(10^(-4))/H101</f>
        <v>0.23246848920863311</v>
      </c>
      <c r="I109" s="1145">
        <f>(-0.161*(I108^2)-7.509*I108+6533)*(10^(-4))/I101</f>
        <v>0.23246848920863311</v>
      </c>
      <c r="J109" s="1145">
        <f>(-0.214*(J108^2)-21.991*J108+4665)*(10^(-4))/J101</f>
        <v>0.16098474820143888</v>
      </c>
      <c r="K109" s="1145">
        <f>(-0.214*(K108^2)-21.991*K108+4665)*(10^(-4))/K101</f>
        <v>0.16098474820143888</v>
      </c>
      <c r="L109" s="1145">
        <f>(-0.214*(L108^2)-21.991*L108+4665)*(10^(-4))/L101</f>
        <v>0.16098474820143888</v>
      </c>
      <c r="M109" s="1145">
        <f>(-0.214*(M108^2)-21.991*M108+4665)*(10^(-4))/M101</f>
        <v>0.16098474820143888</v>
      </c>
      <c r="N109" s="1145">
        <f>(-0.214*(N108^2)-21.991*N108+4665)*(10^(-4))/N101</f>
        <v>0.16098474820143888</v>
      </c>
    </row>
    <row r="110" spans="1:14">
      <c r="A110" s="3451" t="s">
        <v>1639</v>
      </c>
      <c r="B110" s="3451"/>
      <c r="C110" s="3451"/>
      <c r="D110" s="3451"/>
      <c r="E110" s="3451"/>
      <c r="F110" s="3451"/>
      <c r="G110" s="3451"/>
      <c r="H110" s="3451"/>
      <c r="I110" s="3451"/>
      <c r="J110" s="3451"/>
      <c r="K110" s="2469"/>
      <c r="L110" s="2469"/>
      <c r="M110" s="2469"/>
      <c r="N110" s="2469"/>
    </row>
    <row r="112" spans="1:14" ht="12.6" thickBot="1"/>
    <row r="113" spans="1:13" ht="25.8" thickBot="1">
      <c r="A113" s="1015" t="s">
        <v>895</v>
      </c>
      <c r="B113" s="2472">
        <f>G3</f>
        <v>2.78</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3.2">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3.2">
      <c r="A115" s="1028" t="s">
        <v>899</v>
      </c>
      <c r="B115" s="1029">
        <f>ROUND(0.9335-0.0094*B113,4)</f>
        <v>0.90739999999999998</v>
      </c>
      <c r="C115" s="1029">
        <f>B115</f>
        <v>0.90739999999999998</v>
      </c>
      <c r="D115" s="1029">
        <f>ROUND(0.8331-0.0109*B113,4)</f>
        <v>0.80279999999999996</v>
      </c>
      <c r="E115" s="1029">
        <f>D115</f>
        <v>0.80279999999999996</v>
      </c>
      <c r="F115" s="1029">
        <f>E115</f>
        <v>0.80279999999999996</v>
      </c>
      <c r="G115" s="1029">
        <f>F115</f>
        <v>0.80279999999999996</v>
      </c>
      <c r="H115" s="1029">
        <f>G115</f>
        <v>0.80279999999999996</v>
      </c>
      <c r="I115" s="1029">
        <f>ROUND(0.689-0.0155*B113,4)</f>
        <v>0.64590000000000003</v>
      </c>
      <c r="J115" s="1029">
        <f t="shared" ref="J115:M118" si="33">I115</f>
        <v>0.64590000000000003</v>
      </c>
      <c r="K115" s="1029">
        <f t="shared" si="33"/>
        <v>0.64590000000000003</v>
      </c>
      <c r="L115" s="1029">
        <f t="shared" si="33"/>
        <v>0.64590000000000003</v>
      </c>
      <c r="M115" s="1030">
        <f t="shared" si="33"/>
        <v>0.64590000000000003</v>
      </c>
    </row>
    <row r="116" spans="1:13" ht="13.2">
      <c r="A116" s="1028" t="s">
        <v>900</v>
      </c>
      <c r="B116" s="1029">
        <f>ROUND(0.949-0.012*B113,4)</f>
        <v>0.91559999999999997</v>
      </c>
      <c r="C116" s="1029">
        <f>B116</f>
        <v>0.91559999999999997</v>
      </c>
      <c r="D116" s="1029">
        <f>ROUND(0.8567-0.013*B113,4)</f>
        <v>0.8206</v>
      </c>
      <c r="E116" s="1029">
        <f t="shared" ref="E116:H117" si="34">D116</f>
        <v>0.8206</v>
      </c>
      <c r="F116" s="1029">
        <f t="shared" si="34"/>
        <v>0.8206</v>
      </c>
      <c r="G116" s="1029">
        <f t="shared" si="34"/>
        <v>0.8206</v>
      </c>
      <c r="H116" s="1029">
        <f t="shared" si="34"/>
        <v>0.8206</v>
      </c>
      <c r="I116" s="1029">
        <f>ROUND(0.7694-0.014*B113,4)</f>
        <v>0.73050000000000004</v>
      </c>
      <c r="J116" s="1029">
        <f t="shared" si="33"/>
        <v>0.73050000000000004</v>
      </c>
      <c r="K116" s="1029">
        <f t="shared" si="33"/>
        <v>0.73050000000000004</v>
      </c>
      <c r="L116" s="1029">
        <f t="shared" si="33"/>
        <v>0.73050000000000004</v>
      </c>
      <c r="M116" s="1030">
        <f t="shared" si="33"/>
        <v>0.73050000000000004</v>
      </c>
    </row>
    <row r="117" spans="1:13" ht="13.2">
      <c r="A117" s="1031" t="s">
        <v>901</v>
      </c>
      <c r="B117" s="1029">
        <f>ROUND(0.8808-0.006*B113,4)</f>
        <v>0.86409999999999998</v>
      </c>
      <c r="C117" s="1029">
        <f>B117</f>
        <v>0.86409999999999998</v>
      </c>
      <c r="D117" s="1029">
        <f>ROUND(0.8748-0.008*B113,4)</f>
        <v>0.85260000000000002</v>
      </c>
      <c r="E117" s="1029">
        <f t="shared" si="34"/>
        <v>0.85260000000000002</v>
      </c>
      <c r="F117" s="1029">
        <f t="shared" si="34"/>
        <v>0.85260000000000002</v>
      </c>
      <c r="G117" s="1029">
        <f t="shared" si="34"/>
        <v>0.85260000000000002</v>
      </c>
      <c r="H117" s="1029">
        <f t="shared" si="34"/>
        <v>0.85260000000000002</v>
      </c>
      <c r="I117" s="1029">
        <f>ROUND(0.7412-0.0095*B113,4)</f>
        <v>0.71479999999999999</v>
      </c>
      <c r="J117" s="1029">
        <f t="shared" si="33"/>
        <v>0.71479999999999999</v>
      </c>
      <c r="K117" s="1029">
        <f t="shared" si="33"/>
        <v>0.71479999999999999</v>
      </c>
      <c r="L117" s="1029">
        <f t="shared" si="33"/>
        <v>0.71479999999999999</v>
      </c>
      <c r="M117" s="1030">
        <f t="shared" si="33"/>
        <v>0.71479999999999999</v>
      </c>
    </row>
    <row r="118" spans="1:13" ht="13.8" thickBot="1">
      <c r="A118" s="1032" t="s">
        <v>902</v>
      </c>
      <c r="B118" s="1033">
        <f>ROUND(0.7275-0.01*B113,4)</f>
        <v>0.69969999999999999</v>
      </c>
      <c r="C118" s="1033">
        <f>B118</f>
        <v>0.69969999999999999</v>
      </c>
      <c r="D118" s="1033">
        <f>ROUND(0.7043-0.012*B113,4)</f>
        <v>0.67090000000000005</v>
      </c>
      <c r="E118" s="1033">
        <f>D118</f>
        <v>0.67090000000000005</v>
      </c>
      <c r="F118" s="1033">
        <f>E118</f>
        <v>0.67090000000000005</v>
      </c>
      <c r="G118" s="1033">
        <f>ROUND(0.6299-0.0122*B113,4)</f>
        <v>0.59599999999999997</v>
      </c>
      <c r="H118" s="1033">
        <f>G118</f>
        <v>0.59599999999999997</v>
      </c>
      <c r="I118" s="1033">
        <f>ROUND(0.5667-0.0136*B113,4)</f>
        <v>0.52890000000000004</v>
      </c>
      <c r="J118" s="1033">
        <f t="shared" si="33"/>
        <v>0.52890000000000004</v>
      </c>
      <c r="K118" s="1033">
        <f t="shared" si="33"/>
        <v>0.52890000000000004</v>
      </c>
      <c r="L118" s="1033">
        <f t="shared" si="33"/>
        <v>0.52890000000000004</v>
      </c>
      <c r="M118" s="1034">
        <f t="shared" si="33"/>
        <v>0.52890000000000004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5" customWidth="1"/>
    <col min="2" max="9" width="8.21875" style="1104" customWidth="1"/>
    <col min="10" max="13" width="8.21875" style="1065"/>
    <col min="14" max="14" width="10" style="1065" customWidth="1"/>
    <col min="15" max="16" width="8.21875" style="1065"/>
    <col min="17" max="17" width="34.109375" style="1065" customWidth="1"/>
    <col min="18" max="18" width="8.21875" style="1065" customWidth="1"/>
    <col min="19" max="19" width="8.21875" style="1065"/>
    <col min="20" max="20" width="11.6640625" style="1065" customWidth="1"/>
    <col min="21" max="16384" width="8.2187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6" customFormat="1" ht="19.5" customHeight="1">
      <c r="A18" s="3457" t="s">
        <v>1007</v>
      </c>
      <c r="B18" s="1153" t="s">
        <v>1446</v>
      </c>
      <c r="C18" s="1130" t="s">
        <v>1447</v>
      </c>
      <c r="D18" s="1131"/>
      <c r="E18" s="1153">
        <v>1</v>
      </c>
      <c r="F18" s="1132" t="s">
        <v>1448</v>
      </c>
      <c r="G18" s="1133"/>
      <c r="H18" s="1104"/>
      <c r="I18" s="1104"/>
    </row>
    <row r="19" spans="1:9" s="1596" customFormat="1" ht="19.5" customHeight="1">
      <c r="A19" s="3457"/>
      <c r="B19" s="3457" t="s">
        <v>1449</v>
      </c>
      <c r="C19" s="1130" t="s">
        <v>1450</v>
      </c>
      <c r="D19" s="1131"/>
      <c r="E19" s="1153">
        <v>0.9</v>
      </c>
      <c r="F19" s="1132" t="s">
        <v>1451</v>
      </c>
      <c r="G19" s="1133"/>
      <c r="H19" s="1104"/>
      <c r="I19" s="1104"/>
    </row>
    <row r="20" spans="1:9" s="1596" customFormat="1" ht="19.5" customHeight="1">
      <c r="A20" s="3457"/>
      <c r="B20" s="3457"/>
      <c r="C20" s="1130" t="s">
        <v>1452</v>
      </c>
      <c r="D20" s="1131"/>
      <c r="E20" s="1153">
        <v>1.1000000000000001</v>
      </c>
      <c r="F20" s="1132" t="s">
        <v>1453</v>
      </c>
      <c r="G20" s="1133"/>
      <c r="H20" s="1104"/>
      <c r="I20" s="1104"/>
    </row>
    <row r="21" spans="1:9" s="1596" customFormat="1" ht="19.5" customHeight="1">
      <c r="A21" s="3457"/>
      <c r="B21" s="3457"/>
      <c r="C21" s="1130" t="s">
        <v>1454</v>
      </c>
      <c r="D21" s="1131"/>
      <c r="E21" s="1153">
        <v>0.8</v>
      </c>
      <c r="F21" s="1132" t="s">
        <v>1455</v>
      </c>
      <c r="G21" s="1133"/>
      <c r="H21" s="1104"/>
      <c r="I21" s="1104"/>
    </row>
    <row r="22" spans="1:9" s="1596" customFormat="1" ht="19.5" customHeight="1">
      <c r="A22" s="3457"/>
      <c r="B22" s="3457"/>
      <c r="C22" s="1130" t="s">
        <v>1456</v>
      </c>
      <c r="D22" s="1131"/>
      <c r="E22" s="1153">
        <v>0.5</v>
      </c>
      <c r="F22" s="1132"/>
      <c r="G22" s="1133"/>
      <c r="H22" s="1104"/>
      <c r="I22" s="1104"/>
    </row>
    <row r="23" spans="1:9" s="1596" customFormat="1" ht="19.5" customHeight="1">
      <c r="A23" s="3457" t="s">
        <v>1029</v>
      </c>
      <c r="B23" s="1153" t="s">
        <v>1446</v>
      </c>
      <c r="C23" s="1130" t="s">
        <v>1457</v>
      </c>
      <c r="D23" s="1131"/>
      <c r="E23" s="1153">
        <v>1</v>
      </c>
      <c r="F23" s="1132" t="s">
        <v>1458</v>
      </c>
      <c r="G23" s="1133"/>
      <c r="H23" s="1104"/>
      <c r="I23" s="1104"/>
    </row>
    <row r="24" spans="1:9" s="1596" customFormat="1" ht="19.5" customHeight="1">
      <c r="A24" s="3457"/>
      <c r="B24" s="3457" t="s">
        <v>1449</v>
      </c>
      <c r="C24" s="1130" t="s">
        <v>1459</v>
      </c>
      <c r="D24" s="1131"/>
      <c r="E24" s="1153">
        <v>0.5</v>
      </c>
      <c r="F24" s="1132"/>
      <c r="G24" s="1133"/>
      <c r="H24" s="1104"/>
      <c r="I24" s="1104"/>
    </row>
    <row r="25" spans="1:9" s="1596" customFormat="1" ht="19.5" customHeight="1">
      <c r="A25" s="3457"/>
      <c r="B25" s="3457"/>
      <c r="C25" s="1130" t="s">
        <v>1460</v>
      </c>
      <c r="D25" s="1131"/>
      <c r="E25" s="1153">
        <v>1.1000000000000001</v>
      </c>
      <c r="F25" s="1132"/>
      <c r="G25" s="1133"/>
      <c r="H25" s="1104"/>
      <c r="I25" s="1104"/>
    </row>
    <row r="26" spans="1:9" s="1596" customFormat="1" ht="19.5" customHeight="1">
      <c r="A26" s="3457"/>
      <c r="B26" s="3457"/>
      <c r="C26" s="1130" t="s">
        <v>1461</v>
      </c>
      <c r="D26" s="1131"/>
      <c r="E26" s="1153">
        <v>1.1000000000000001</v>
      </c>
      <c r="F26" s="1132"/>
      <c r="G26" s="1133"/>
      <c r="H26" s="1104"/>
      <c r="I26" s="1104"/>
    </row>
    <row r="27" spans="1:9" s="1596" customFormat="1" ht="19.5" customHeight="1">
      <c r="A27" s="3457"/>
      <c r="B27" s="3457"/>
      <c r="C27" s="1130" t="s">
        <v>1462</v>
      </c>
      <c r="D27" s="1131"/>
      <c r="E27" s="1153">
        <v>0.9</v>
      </c>
      <c r="F27" s="1132" t="s">
        <v>1463</v>
      </c>
      <c r="G27" s="1133"/>
      <c r="H27" s="1104"/>
      <c r="I27" s="1104"/>
    </row>
    <row r="28" spans="1:9" s="1596" customFormat="1" ht="19.5" customHeight="1">
      <c r="A28" s="3457"/>
      <c r="B28" s="3457"/>
      <c r="C28" s="1130" t="s">
        <v>1464</v>
      </c>
      <c r="D28" s="1131"/>
      <c r="E28" s="1153">
        <v>0.9</v>
      </c>
      <c r="F28" s="1132" t="s">
        <v>1465</v>
      </c>
      <c r="G28" s="1133"/>
      <c r="H28" s="1104"/>
      <c r="I28" s="1104"/>
    </row>
    <row r="29" spans="1:9" s="1596" customFormat="1" ht="19.5" customHeight="1">
      <c r="A29" s="3457"/>
      <c r="B29" s="3457"/>
      <c r="C29" s="1130" t="s">
        <v>1466</v>
      </c>
      <c r="D29" s="1131"/>
      <c r="E29" s="1153">
        <v>0.9</v>
      </c>
      <c r="F29" s="1132" t="s">
        <v>1467</v>
      </c>
      <c r="G29" s="1133"/>
      <c r="H29" s="1104"/>
      <c r="I29" s="1104"/>
    </row>
    <row r="30" spans="1:9" s="1596" customFormat="1" ht="19.5" customHeight="1">
      <c r="A30" s="3457"/>
      <c r="B30" s="3457"/>
      <c r="C30" s="1130" t="s">
        <v>1468</v>
      </c>
      <c r="D30" s="1131"/>
      <c r="E30" s="1153">
        <v>0.9</v>
      </c>
      <c r="F30" s="1132" t="s">
        <v>1469</v>
      </c>
      <c r="G30" s="1133"/>
      <c r="H30" s="1104"/>
      <c r="I30" s="1104"/>
    </row>
    <row r="31" spans="1:9" s="1596" customFormat="1" ht="19.5" customHeight="1">
      <c r="A31" s="3457"/>
      <c r="B31" s="3457"/>
      <c r="C31" s="1130" t="s">
        <v>1470</v>
      </c>
      <c r="D31" s="1131"/>
      <c r="E31" s="1153">
        <v>0.8</v>
      </c>
      <c r="F31" s="1132" t="s">
        <v>1471</v>
      </c>
      <c r="G31" s="1133"/>
      <c r="H31" s="1104"/>
      <c r="I31" s="1104"/>
    </row>
    <row r="32" spans="1:9" s="1596" customFormat="1" ht="19.5" customHeight="1">
      <c r="A32" s="3457"/>
      <c r="B32" s="3457"/>
      <c r="C32" s="1130" t="s">
        <v>1472</v>
      </c>
      <c r="D32" s="1131"/>
      <c r="E32" s="1153">
        <v>0.8</v>
      </c>
      <c r="F32" s="1132" t="s">
        <v>1473</v>
      </c>
      <c r="G32" s="1133"/>
      <c r="H32" s="1104"/>
      <c r="I32" s="1104"/>
    </row>
    <row r="33" spans="1:9" s="1596" customFormat="1" ht="19.5" customHeight="1">
      <c r="A33" s="3457" t="s">
        <v>1474</v>
      </c>
      <c r="B33" s="1153" t="s">
        <v>1446</v>
      </c>
      <c r="C33" s="1130" t="s">
        <v>1475</v>
      </c>
      <c r="D33" s="1131"/>
      <c r="E33" s="1153">
        <v>1</v>
      </c>
      <c r="F33" s="1132" t="s">
        <v>1476</v>
      </c>
      <c r="G33" s="1133"/>
      <c r="H33" s="1104"/>
      <c r="I33" s="1104"/>
    </row>
    <row r="34" spans="1:9" s="1596" customFormat="1" ht="19.5" customHeight="1">
      <c r="A34" s="3457"/>
      <c r="B34" s="1153" t="s">
        <v>1449</v>
      </c>
      <c r="C34" s="1130" t="s">
        <v>1477</v>
      </c>
      <c r="D34" s="1131"/>
      <c r="E34" s="1153">
        <v>1.5</v>
      </c>
      <c r="F34" s="1132" t="s">
        <v>1478</v>
      </c>
      <c r="G34" s="1133"/>
      <c r="H34" s="1104"/>
      <c r="I34" s="1104"/>
    </row>
    <row r="35" spans="1:9" s="1596" customFormat="1" ht="19.5" customHeight="1">
      <c r="A35" s="3457" t="s">
        <v>1432</v>
      </c>
      <c r="B35" s="1153" t="s">
        <v>1446</v>
      </c>
      <c r="C35" s="1130" t="s">
        <v>1479</v>
      </c>
      <c r="D35" s="1131"/>
      <c r="E35" s="1153">
        <v>1</v>
      </c>
      <c r="F35" s="1132" t="s">
        <v>1480</v>
      </c>
      <c r="G35" s="1133"/>
      <c r="H35" s="1104"/>
      <c r="I35" s="1104"/>
    </row>
    <row r="36" spans="1:9" s="1596" customFormat="1" ht="19.5" customHeight="1">
      <c r="A36" s="3457"/>
      <c r="B36" s="3457" t="s">
        <v>1449</v>
      </c>
      <c r="C36" s="1130" t="s">
        <v>1481</v>
      </c>
      <c r="D36" s="1131"/>
      <c r="E36" s="1153">
        <v>1</v>
      </c>
      <c r="F36" s="1132" t="s">
        <v>1482</v>
      </c>
      <c r="G36" s="1133"/>
      <c r="H36" s="1104"/>
      <c r="I36" s="1104"/>
    </row>
    <row r="37" spans="1:9" s="1596" customFormat="1" ht="19.5" customHeight="1">
      <c r="A37" s="3457"/>
      <c r="B37" s="3457"/>
      <c r="C37" s="1130" t="s">
        <v>1483</v>
      </c>
      <c r="D37" s="1131"/>
      <c r="E37" s="1153">
        <v>1.5</v>
      </c>
      <c r="F37" s="1132" t="s">
        <v>1484</v>
      </c>
      <c r="G37" s="1133"/>
      <c r="H37" s="1104"/>
      <c r="I37" s="1104"/>
    </row>
    <row r="38" spans="1:9" s="1596" customFormat="1" ht="19.5" customHeight="1">
      <c r="A38" s="3457"/>
      <c r="B38" s="3457"/>
      <c r="C38" s="1130" t="s">
        <v>1485</v>
      </c>
      <c r="D38" s="1131"/>
      <c r="E38" s="1153">
        <v>1</v>
      </c>
      <c r="F38" s="1132" t="s">
        <v>1486</v>
      </c>
      <c r="G38" s="1133"/>
      <c r="H38" s="1104"/>
      <c r="I38" s="1104"/>
    </row>
    <row r="39" spans="1:9" s="1596" customFormat="1" ht="19.5" customHeight="1">
      <c r="A39" s="3457"/>
      <c r="B39" s="3457"/>
      <c r="C39" s="1130" t="s">
        <v>1487</v>
      </c>
      <c r="D39" s="1131"/>
      <c r="E39" s="1153">
        <v>1</v>
      </c>
      <c r="F39" s="1132" t="s">
        <v>1488</v>
      </c>
      <c r="G39" s="1133"/>
      <c r="H39" s="1104"/>
      <c r="I39" s="1104"/>
    </row>
    <row r="40" spans="1:9" s="1596" customFormat="1" ht="19.5" customHeight="1">
      <c r="A40" s="1597" t="s">
        <v>1489</v>
      </c>
      <c r="B40" s="1597"/>
      <c r="C40" s="1597"/>
      <c r="D40" s="1597"/>
      <c r="E40" s="1597"/>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36">
      <c r="A61" s="1153">
        <v>1</v>
      </c>
      <c r="B61" s="3457" t="s">
        <v>1501</v>
      </c>
      <c r="C61" s="1067" t="s">
        <v>1502</v>
      </c>
      <c r="D61" s="1067" t="s">
        <v>1503</v>
      </c>
      <c r="E61" s="1138">
        <v>0.5</v>
      </c>
      <c r="F61" s="1153">
        <v>80</v>
      </c>
      <c r="H61" s="1104">
        <f>SUMIF(C59:C119,基准地价!C8,E59:E119)</f>
        <v>0</v>
      </c>
    </row>
    <row r="62" spans="1:8" s="1104" customFormat="1" ht="36">
      <c r="A62" s="1153">
        <v>2</v>
      </c>
      <c r="B62" s="3457"/>
      <c r="C62" s="1067" t="s">
        <v>1504</v>
      </c>
      <c r="D62" s="1067" t="s">
        <v>1505</v>
      </c>
      <c r="E62" s="1138">
        <v>0.5</v>
      </c>
      <c r="F62" s="1153">
        <v>80</v>
      </c>
    </row>
    <row r="63" spans="1:8" s="1104" customFormat="1" ht="48">
      <c r="A63" s="1153">
        <v>3</v>
      </c>
      <c r="B63" s="3457"/>
      <c r="C63" s="1067" t="s">
        <v>1506</v>
      </c>
      <c r="D63" s="1067" t="s">
        <v>1507</v>
      </c>
      <c r="E63" s="1138">
        <v>0.5</v>
      </c>
      <c r="F63" s="1153">
        <v>80</v>
      </c>
    </row>
    <row r="64" spans="1:8" s="1104" customFormat="1" ht="48">
      <c r="A64" s="1153">
        <v>4</v>
      </c>
      <c r="B64" s="3457"/>
      <c r="C64" s="1067" t="s">
        <v>1508</v>
      </c>
      <c r="D64" s="1067" t="s">
        <v>1509</v>
      </c>
      <c r="E64" s="1138">
        <v>0.4</v>
      </c>
      <c r="F64" s="1153">
        <v>60</v>
      </c>
    </row>
    <row r="65" spans="1:6" s="1104" customFormat="1" ht="48">
      <c r="A65" s="1153">
        <v>5</v>
      </c>
      <c r="B65" s="3457"/>
      <c r="C65" s="1067" t="s">
        <v>1510</v>
      </c>
      <c r="D65" s="1067" t="s">
        <v>1511</v>
      </c>
      <c r="E65" s="1138">
        <v>0.2</v>
      </c>
      <c r="F65" s="1153">
        <v>30</v>
      </c>
    </row>
    <row r="66" spans="1:6" s="1104" customFormat="1" ht="48">
      <c r="A66" s="1153">
        <v>6</v>
      </c>
      <c r="B66" s="3457"/>
      <c r="C66" s="1067" t="s">
        <v>1512</v>
      </c>
      <c r="D66" s="1067" t="s">
        <v>1513</v>
      </c>
      <c r="E66" s="1138">
        <v>0.3</v>
      </c>
      <c r="F66" s="1153">
        <v>50</v>
      </c>
    </row>
    <row r="67" spans="1:6" s="1104" customFormat="1" ht="48">
      <c r="A67" s="1153">
        <v>7</v>
      </c>
      <c r="B67" s="3457"/>
      <c r="C67" s="1067" t="s">
        <v>1514</v>
      </c>
      <c r="D67" s="1067" t="s">
        <v>1515</v>
      </c>
      <c r="E67" s="1138">
        <v>0.2</v>
      </c>
      <c r="F67" s="1153">
        <v>30</v>
      </c>
    </row>
    <row r="68" spans="1:6" s="1104" customFormat="1" ht="48">
      <c r="A68" s="1153">
        <v>8</v>
      </c>
      <c r="B68" s="3457"/>
      <c r="C68" s="1067" t="s">
        <v>1516</v>
      </c>
      <c r="D68" s="1067" t="s">
        <v>1517</v>
      </c>
      <c r="E68" s="1138">
        <v>0.2</v>
      </c>
      <c r="F68" s="1153">
        <v>30</v>
      </c>
    </row>
    <row r="69" spans="1:6" s="1104" customFormat="1" ht="48">
      <c r="A69" s="1153">
        <v>9</v>
      </c>
      <c r="B69" s="3457"/>
      <c r="C69" s="1067" t="s">
        <v>1518</v>
      </c>
      <c r="D69" s="1067" t="s">
        <v>1519</v>
      </c>
      <c r="E69" s="1138">
        <v>0.2</v>
      </c>
      <c r="F69" s="1153">
        <v>30</v>
      </c>
    </row>
    <row r="70" spans="1:6" s="1104" customFormat="1" ht="60">
      <c r="A70" s="1153">
        <v>10</v>
      </c>
      <c r="B70" s="3457"/>
      <c r="C70" s="1067" t="s">
        <v>1520</v>
      </c>
      <c r="D70" s="1067" t="s">
        <v>1521</v>
      </c>
      <c r="E70" s="1138">
        <v>0.2</v>
      </c>
      <c r="F70" s="1153">
        <v>30</v>
      </c>
    </row>
    <row r="71" spans="1:6" s="1104" customFormat="1" ht="60">
      <c r="A71" s="1153">
        <v>11</v>
      </c>
      <c r="B71" s="3457"/>
      <c r="C71" s="1067" t="s">
        <v>1522</v>
      </c>
      <c r="D71" s="1067" t="s">
        <v>1523</v>
      </c>
      <c r="E71" s="1138">
        <v>0.2</v>
      </c>
      <c r="F71" s="1153">
        <v>30</v>
      </c>
    </row>
    <row r="72" spans="1:6" s="1104" customFormat="1" ht="36">
      <c r="A72" s="1153">
        <v>12</v>
      </c>
      <c r="B72" s="3457"/>
      <c r="C72" s="1067" t="s">
        <v>1524</v>
      </c>
      <c r="D72" s="1067" t="s">
        <v>1525</v>
      </c>
      <c r="E72" s="1138">
        <v>0.5</v>
      </c>
      <c r="F72" s="1153">
        <v>80</v>
      </c>
    </row>
    <row r="73" spans="1:6" s="1104" customFormat="1" ht="36">
      <c r="A73" s="1153">
        <v>13</v>
      </c>
      <c r="B73" s="3457"/>
      <c r="C73" s="1067" t="s">
        <v>1526</v>
      </c>
      <c r="D73" s="1067" t="s">
        <v>1527</v>
      </c>
      <c r="E73" s="1138">
        <v>0.4</v>
      </c>
      <c r="F73" s="1153">
        <v>60</v>
      </c>
    </row>
    <row r="74" spans="1:6" s="1104" customFormat="1" ht="36">
      <c r="A74" s="1153">
        <v>14</v>
      </c>
      <c r="B74" s="3457"/>
      <c r="C74" s="1067" t="s">
        <v>1528</v>
      </c>
      <c r="D74" s="1067" t="s">
        <v>1529</v>
      </c>
      <c r="E74" s="1138">
        <v>0.2</v>
      </c>
      <c r="F74" s="1153">
        <v>30</v>
      </c>
    </row>
    <row r="75" spans="1:6" s="1104" customFormat="1" ht="36">
      <c r="A75" s="1153">
        <v>15</v>
      </c>
      <c r="B75" s="3457"/>
      <c r="C75" s="1067" t="s">
        <v>1530</v>
      </c>
      <c r="D75" s="1067" t="s">
        <v>1531</v>
      </c>
      <c r="E75" s="1138">
        <v>0.2</v>
      </c>
      <c r="F75" s="1153">
        <v>30</v>
      </c>
    </row>
    <row r="76" spans="1:6" s="1104" customFormat="1" ht="36">
      <c r="A76" s="1153">
        <v>16</v>
      </c>
      <c r="B76" s="3457" t="s">
        <v>1532</v>
      </c>
      <c r="C76" s="1067" t="s">
        <v>1533</v>
      </c>
      <c r="D76" s="1067" t="s">
        <v>1534</v>
      </c>
      <c r="E76" s="1138">
        <v>0.5</v>
      </c>
      <c r="F76" s="1153">
        <v>80</v>
      </c>
    </row>
    <row r="77" spans="1:6" s="1104" customFormat="1" ht="36">
      <c r="A77" s="1153">
        <v>17</v>
      </c>
      <c r="B77" s="3457"/>
      <c r="C77" s="1067" t="s">
        <v>1535</v>
      </c>
      <c r="D77" s="1067" t="s">
        <v>1536</v>
      </c>
      <c r="E77" s="1138">
        <v>0.5</v>
      </c>
      <c r="F77" s="1153">
        <v>80</v>
      </c>
    </row>
    <row r="78" spans="1:6" s="1104" customFormat="1" ht="36">
      <c r="A78" s="1153">
        <v>18</v>
      </c>
      <c r="B78" s="3457"/>
      <c r="C78" s="1067" t="s">
        <v>1537</v>
      </c>
      <c r="D78" s="1067" t="s">
        <v>1538</v>
      </c>
      <c r="E78" s="1138">
        <v>0.2</v>
      </c>
      <c r="F78" s="1153">
        <v>30</v>
      </c>
    </row>
    <row r="79" spans="1:6" s="1104" customFormat="1" ht="36">
      <c r="A79" s="1153">
        <v>19</v>
      </c>
      <c r="B79" s="3457"/>
      <c r="C79" s="1067" t="s">
        <v>1539</v>
      </c>
      <c r="D79" s="1067" t="s">
        <v>1540</v>
      </c>
      <c r="E79" s="1138">
        <v>0.5</v>
      </c>
      <c r="F79" s="1153">
        <v>80</v>
      </c>
    </row>
    <row r="80" spans="1:6" s="1104" customFormat="1" ht="36">
      <c r="A80" s="1153">
        <v>20</v>
      </c>
      <c r="B80" s="3457"/>
      <c r="C80" s="1067" t="s">
        <v>1541</v>
      </c>
      <c r="D80" s="1067" t="s">
        <v>1542</v>
      </c>
      <c r="E80" s="1138">
        <v>0.2</v>
      </c>
      <c r="F80" s="1153">
        <v>30</v>
      </c>
    </row>
    <row r="81" spans="1:6" s="1104" customFormat="1" ht="36">
      <c r="A81" s="1153">
        <v>21</v>
      </c>
      <c r="B81" s="3457"/>
      <c r="C81" s="1067" t="s">
        <v>1543</v>
      </c>
      <c r="D81" s="1067" t="s">
        <v>1544</v>
      </c>
      <c r="E81" s="1138">
        <v>0.2</v>
      </c>
      <c r="F81" s="1153">
        <v>30</v>
      </c>
    </row>
    <row r="82" spans="1:6" s="1104" customFormat="1" ht="60">
      <c r="A82" s="1153">
        <v>22</v>
      </c>
      <c r="B82" s="3457"/>
      <c r="C82" s="1067" t="s">
        <v>1545</v>
      </c>
      <c r="D82" s="1067" t="s">
        <v>1546</v>
      </c>
      <c r="E82" s="1138">
        <v>0.2</v>
      </c>
      <c r="F82" s="1153">
        <v>30</v>
      </c>
    </row>
    <row r="83" spans="1:6" s="1104" customFormat="1" ht="60">
      <c r="A83" s="1153">
        <v>23</v>
      </c>
      <c r="B83" s="3457"/>
      <c r="C83" s="1067" t="s">
        <v>1547</v>
      </c>
      <c r="D83" s="1067" t="s">
        <v>1548</v>
      </c>
      <c r="E83" s="1138">
        <v>0.2</v>
      </c>
      <c r="F83" s="1153">
        <v>30</v>
      </c>
    </row>
    <row r="84" spans="1:6" s="1104" customFormat="1" ht="48">
      <c r="A84" s="1153">
        <v>24</v>
      </c>
      <c r="B84" s="3457"/>
      <c r="C84" s="1067" t="s">
        <v>1549</v>
      </c>
      <c r="D84" s="1067" t="s">
        <v>1550</v>
      </c>
      <c r="E84" s="1138">
        <v>0.2</v>
      </c>
      <c r="F84" s="1153">
        <v>30</v>
      </c>
    </row>
    <row r="85" spans="1:6" s="1104" customFormat="1" ht="36">
      <c r="A85" s="1153">
        <v>25</v>
      </c>
      <c r="B85" s="3457"/>
      <c r="C85" s="1067" t="s">
        <v>1551</v>
      </c>
      <c r="D85" s="1067" t="s">
        <v>1552</v>
      </c>
      <c r="E85" s="1138">
        <v>0.5</v>
      </c>
      <c r="F85" s="1153">
        <v>80</v>
      </c>
    </row>
    <row r="86" spans="1:6" s="1104" customFormat="1" ht="36">
      <c r="A86" s="1153">
        <v>26</v>
      </c>
      <c r="B86" s="3457"/>
      <c r="C86" s="1067" t="s">
        <v>1553</v>
      </c>
      <c r="D86" s="1067" t="s">
        <v>1554</v>
      </c>
      <c r="E86" s="1138">
        <v>0.2</v>
      </c>
      <c r="F86" s="1153">
        <v>30</v>
      </c>
    </row>
    <row r="87" spans="1:6" s="1104" customFormat="1" ht="36">
      <c r="A87" s="1153">
        <v>27</v>
      </c>
      <c r="B87" s="3457"/>
      <c r="C87" s="1067" t="s">
        <v>1555</v>
      </c>
      <c r="D87" s="1067" t="s">
        <v>1556</v>
      </c>
      <c r="E87" s="1138">
        <v>0.2</v>
      </c>
      <c r="F87" s="1153">
        <v>30</v>
      </c>
    </row>
    <row r="88" spans="1:6" s="1104" customFormat="1" ht="36">
      <c r="A88" s="1153">
        <v>28</v>
      </c>
      <c r="B88" s="3457"/>
      <c r="C88" s="1067" t="s">
        <v>1557</v>
      </c>
      <c r="D88" s="1067" t="s">
        <v>1558</v>
      </c>
      <c r="E88" s="1138">
        <v>0.2</v>
      </c>
      <c r="F88" s="1153">
        <v>30</v>
      </c>
    </row>
    <row r="89" spans="1:6" s="1104" customFormat="1" ht="36">
      <c r="A89" s="1153">
        <v>29</v>
      </c>
      <c r="B89" s="3457"/>
      <c r="C89" s="1067" t="s">
        <v>1559</v>
      </c>
      <c r="D89" s="1067" t="s">
        <v>1560</v>
      </c>
      <c r="E89" s="1138">
        <v>0.2</v>
      </c>
      <c r="F89" s="1153">
        <v>30</v>
      </c>
    </row>
    <row r="90" spans="1:6" s="1104" customFormat="1" ht="36">
      <c r="A90" s="1153">
        <v>30</v>
      </c>
      <c r="B90" s="3457"/>
      <c r="C90" s="1067" t="s">
        <v>1561</v>
      </c>
      <c r="D90" s="1067" t="s">
        <v>1562</v>
      </c>
      <c r="E90" s="1138">
        <v>0.2</v>
      </c>
      <c r="F90" s="1153">
        <v>30</v>
      </c>
    </row>
    <row r="91" spans="1:6" s="1104" customFormat="1" ht="48">
      <c r="A91" s="1153">
        <v>31</v>
      </c>
      <c r="B91" s="3457"/>
      <c r="C91" s="1067" t="s">
        <v>1563</v>
      </c>
      <c r="D91" s="1067" t="s">
        <v>1564</v>
      </c>
      <c r="E91" s="1138">
        <v>0.2</v>
      </c>
      <c r="F91" s="1153">
        <v>30</v>
      </c>
    </row>
    <row r="92" spans="1:6" s="1104" customFormat="1" ht="36">
      <c r="A92" s="1153">
        <v>32</v>
      </c>
      <c r="B92" s="3457" t="s">
        <v>1565</v>
      </c>
      <c r="C92" s="1153" t="s">
        <v>1566</v>
      </c>
      <c r="D92" s="1067" t="s">
        <v>1567</v>
      </c>
      <c r="E92" s="1138">
        <v>0.2</v>
      </c>
      <c r="F92" s="1153">
        <v>30</v>
      </c>
    </row>
    <row r="93" spans="1:6" s="1104" customFormat="1" ht="36">
      <c r="A93" s="1153">
        <v>33</v>
      </c>
      <c r="B93" s="3457"/>
      <c r="C93" s="1153" t="s">
        <v>1568</v>
      </c>
      <c r="D93" s="1067" t="s">
        <v>1569</v>
      </c>
      <c r="E93" s="1138">
        <v>0.2</v>
      </c>
      <c r="F93" s="1153">
        <v>30</v>
      </c>
    </row>
    <row r="94" spans="1:6" s="1104" customFormat="1" ht="60">
      <c r="A94" s="1153">
        <v>34</v>
      </c>
      <c r="B94" s="3457"/>
      <c r="C94" s="1153" t="s">
        <v>1570</v>
      </c>
      <c r="D94" s="1067" t="s">
        <v>1571</v>
      </c>
      <c r="E94" s="1138">
        <v>0.2</v>
      </c>
      <c r="F94" s="1153">
        <v>30</v>
      </c>
    </row>
    <row r="95" spans="1:6" s="1104" customFormat="1" ht="48">
      <c r="A95" s="1153">
        <v>35</v>
      </c>
      <c r="B95" s="3457"/>
      <c r="C95" s="1153" t="s">
        <v>1572</v>
      </c>
      <c r="D95" s="1067" t="s">
        <v>1573</v>
      </c>
      <c r="E95" s="1138">
        <v>0.2</v>
      </c>
      <c r="F95" s="1153">
        <v>30</v>
      </c>
    </row>
    <row r="96" spans="1:6" s="1104" customFormat="1" ht="72">
      <c r="A96" s="1153">
        <v>36</v>
      </c>
      <c r="B96" s="3457"/>
      <c r="C96" s="1067" t="s">
        <v>1574</v>
      </c>
      <c r="D96" s="1067" t="s">
        <v>1575</v>
      </c>
      <c r="E96" s="1138">
        <v>0.2</v>
      </c>
      <c r="F96" s="1153">
        <v>30</v>
      </c>
    </row>
    <row r="97" spans="1:6" s="1104" customFormat="1" ht="36">
      <c r="A97" s="1153">
        <v>37</v>
      </c>
      <c r="B97" s="3457"/>
      <c r="C97" s="1153" t="s">
        <v>1576</v>
      </c>
      <c r="D97" s="1067" t="s">
        <v>1577</v>
      </c>
      <c r="E97" s="1138">
        <v>0.2</v>
      </c>
      <c r="F97" s="1153">
        <v>30</v>
      </c>
    </row>
    <row r="98" spans="1:6" s="1104" customFormat="1" ht="36">
      <c r="A98" s="1153">
        <v>38</v>
      </c>
      <c r="B98" s="3457"/>
      <c r="C98" s="1153" t="s">
        <v>1578</v>
      </c>
      <c r="D98" s="1067" t="s">
        <v>1579</v>
      </c>
      <c r="E98" s="1138">
        <v>0.2</v>
      </c>
      <c r="F98" s="1153">
        <v>30</v>
      </c>
    </row>
    <row r="99" spans="1:6" s="1104" customFormat="1" ht="36">
      <c r="A99" s="1153">
        <v>39</v>
      </c>
      <c r="B99" s="3457" t="s">
        <v>1580</v>
      </c>
      <c r="C99" s="1153" t="s">
        <v>1581</v>
      </c>
      <c r="D99" s="1067" t="s">
        <v>1582</v>
      </c>
      <c r="E99" s="1138">
        <v>0.3</v>
      </c>
      <c r="F99" s="1153">
        <v>50</v>
      </c>
    </row>
    <row r="100" spans="1:6" s="1104" customFormat="1" ht="36">
      <c r="A100" s="1153">
        <v>40</v>
      </c>
      <c r="B100" s="3457"/>
      <c r="C100" s="1153" t="s">
        <v>1583</v>
      </c>
      <c r="D100" s="1067" t="s">
        <v>1584</v>
      </c>
      <c r="E100" s="1138">
        <v>0.2</v>
      </c>
      <c r="F100" s="1153">
        <v>30</v>
      </c>
    </row>
    <row r="101" spans="1:6" s="1104" customFormat="1" ht="36">
      <c r="A101" s="1153">
        <v>41</v>
      </c>
      <c r="B101" s="3457"/>
      <c r="C101" s="1153" t="s">
        <v>1585</v>
      </c>
      <c r="D101" s="1067" t="s">
        <v>1582</v>
      </c>
      <c r="E101" s="1138">
        <v>0.2</v>
      </c>
      <c r="F101" s="1153">
        <v>30</v>
      </c>
    </row>
    <row r="102" spans="1:6" s="1104" customFormat="1" ht="72">
      <c r="A102" s="1153">
        <v>42</v>
      </c>
      <c r="B102" s="1153" t="s">
        <v>1586</v>
      </c>
      <c r="C102" s="1067" t="s">
        <v>1587</v>
      </c>
      <c r="D102" s="1067" t="s">
        <v>1588</v>
      </c>
      <c r="E102" s="1138">
        <v>0.2</v>
      </c>
      <c r="F102" s="1153">
        <v>30</v>
      </c>
    </row>
    <row r="103" spans="1:6" s="1104" customFormat="1" ht="36">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48">
      <c r="A105" s="1153">
        <v>45</v>
      </c>
      <c r="B105" s="3457" t="s">
        <v>1595</v>
      </c>
      <c r="C105" s="1153" t="s">
        <v>1596</v>
      </c>
      <c r="D105" s="1067" t="s">
        <v>1597</v>
      </c>
      <c r="E105" s="1138">
        <v>0.2</v>
      </c>
      <c r="F105" s="1153">
        <v>30</v>
      </c>
    </row>
    <row r="106" spans="1:6" s="1104" customFormat="1" ht="48">
      <c r="A106" s="1153">
        <v>46</v>
      </c>
      <c r="B106" s="3457"/>
      <c r="C106" s="1153" t="s">
        <v>1598</v>
      </c>
      <c r="D106" s="1067" t="s">
        <v>1599</v>
      </c>
      <c r="E106" s="1138">
        <v>0.2</v>
      </c>
      <c r="F106" s="1153">
        <v>30</v>
      </c>
    </row>
    <row r="107" spans="1:6" s="1104" customFormat="1" ht="36">
      <c r="A107" s="1153">
        <v>47</v>
      </c>
      <c r="B107" s="3457" t="s">
        <v>1600</v>
      </c>
      <c r="C107" s="1153" t="s">
        <v>1601</v>
      </c>
      <c r="D107" s="1067" t="s">
        <v>1602</v>
      </c>
      <c r="E107" s="1138">
        <v>0.3</v>
      </c>
      <c r="F107" s="1153">
        <v>50</v>
      </c>
    </row>
    <row r="108" spans="1:6" s="1104" customFormat="1" ht="48">
      <c r="A108" s="1153">
        <v>48</v>
      </c>
      <c r="B108" s="3457"/>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48">
      <c r="A110" s="1153">
        <v>50</v>
      </c>
      <c r="B110" s="1153" t="s">
        <v>1608</v>
      </c>
      <c r="C110" s="1153" t="s">
        <v>1609</v>
      </c>
      <c r="D110" s="1067" t="s">
        <v>1610</v>
      </c>
      <c r="E110" s="1138">
        <v>0.2</v>
      </c>
      <c r="F110" s="1153">
        <v>30</v>
      </c>
    </row>
    <row r="111" spans="1:6" s="1104" customFormat="1" ht="48">
      <c r="A111" s="1153">
        <v>51</v>
      </c>
      <c r="B111" s="3457" t="s">
        <v>1611</v>
      </c>
      <c r="C111" s="1153" t="s">
        <v>1612</v>
      </c>
      <c r="D111" s="1067" t="s">
        <v>1613</v>
      </c>
      <c r="E111" s="1138">
        <v>0.2</v>
      </c>
      <c r="F111" s="1153">
        <v>30</v>
      </c>
    </row>
    <row r="112" spans="1:6" s="1104" customFormat="1" ht="36">
      <c r="A112" s="1153">
        <v>52</v>
      </c>
      <c r="B112" s="3457"/>
      <c r="C112" s="1153" t="s">
        <v>1614</v>
      </c>
      <c r="D112" s="1067" t="s">
        <v>1615</v>
      </c>
      <c r="E112" s="1138">
        <v>0.2</v>
      </c>
      <c r="F112" s="1153">
        <v>30</v>
      </c>
    </row>
    <row r="113" spans="1:14" s="1104" customFormat="1" ht="36">
      <c r="A113" s="1153">
        <v>53</v>
      </c>
      <c r="B113" s="3457"/>
      <c r="C113" s="1153" t="s">
        <v>1616</v>
      </c>
      <c r="D113" s="1067" t="s">
        <v>1617</v>
      </c>
      <c r="E113" s="1138">
        <v>0.2</v>
      </c>
      <c r="F113" s="1153">
        <v>30</v>
      </c>
    </row>
    <row r="114" spans="1:14" ht="48">
      <c r="A114" s="1153">
        <v>54</v>
      </c>
      <c r="B114" s="1153" t="s">
        <v>1618</v>
      </c>
      <c r="C114" s="1153" t="s">
        <v>1619</v>
      </c>
      <c r="D114" s="1067" t="s">
        <v>1620</v>
      </c>
      <c r="E114" s="1138">
        <v>0.2</v>
      </c>
      <c r="F114" s="1153">
        <v>30</v>
      </c>
    </row>
    <row r="115" spans="1:14" ht="36">
      <c r="A115" s="1153">
        <v>55</v>
      </c>
      <c r="B115" s="1153" t="s">
        <v>1621</v>
      </c>
      <c r="C115" s="1153" t="s">
        <v>1622</v>
      </c>
      <c r="D115" s="1067" t="s">
        <v>1623</v>
      </c>
      <c r="E115" s="1138">
        <v>0.2</v>
      </c>
      <c r="F115" s="1153">
        <v>30</v>
      </c>
    </row>
    <row r="116" spans="1:14" ht="36">
      <c r="A116" s="1153">
        <v>56</v>
      </c>
      <c r="B116" s="3457" t="s">
        <v>1624</v>
      </c>
      <c r="C116" s="1153" t="s">
        <v>1625</v>
      </c>
      <c r="D116" s="1067" t="s">
        <v>1626</v>
      </c>
      <c r="E116" s="1138">
        <v>0.2</v>
      </c>
      <c r="F116" s="1153">
        <v>30</v>
      </c>
    </row>
    <row r="117" spans="1:14" ht="36">
      <c r="A117" s="1153">
        <v>57</v>
      </c>
      <c r="B117" s="3457"/>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4.4">
      <c r="A119" s="1153"/>
      <c r="B119" s="1153"/>
      <c r="C119" s="1153"/>
      <c r="D119" s="1153"/>
      <c r="E119" s="1138"/>
      <c r="F119" s="1153"/>
    </row>
    <row r="121" spans="1:14" ht="19.5" customHeight="1">
      <c r="A121" s="3456" t="s">
        <v>1633</v>
      </c>
      <c r="B121" s="3456"/>
      <c r="C121" s="3456"/>
      <c r="D121" s="3456"/>
      <c r="E121" s="3456"/>
      <c r="F121" s="3456"/>
      <c r="G121" s="3456"/>
      <c r="H121" s="3456"/>
      <c r="I121" s="3456"/>
      <c r="J121" s="345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4" customWidth="1"/>
    <col min="2" max="5" width="10.21875" style="1065" customWidth="1"/>
    <col min="6" max="6" width="9" style="1065"/>
    <col min="7" max="7" width="9" style="1068"/>
    <col min="8" max="8" width="9" style="1065"/>
    <col min="9" max="9" width="9" style="1068"/>
    <col min="10" max="16384" width="9" style="1065"/>
  </cols>
  <sheetData>
    <row r="1" spans="1:20">
      <c r="A1" s="3461" t="s">
        <v>1039</v>
      </c>
      <c r="B1" s="3461"/>
      <c r="C1" s="3461"/>
      <c r="D1" s="3461"/>
      <c r="E1" s="3461"/>
      <c r="F1" s="3461"/>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5" thickBot="1">
      <c r="A2" s="3462" t="s">
        <v>1052</v>
      </c>
      <c r="B2" s="3462"/>
      <c r="C2" s="3462"/>
      <c r="D2" s="3462"/>
      <c r="E2" s="3462"/>
      <c r="F2" s="3462"/>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63"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64"/>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903</v>
      </c>
      <c r="B103" s="1009"/>
      <c r="C103" s="1009"/>
      <c r="D103" s="1009"/>
      <c r="E103" s="1009"/>
      <c r="F103" s="1009"/>
      <c r="G103" s="1009"/>
      <c r="H103" s="1009"/>
      <c r="I103" s="1009"/>
      <c r="J103" s="1009"/>
      <c r="K103" s="1009"/>
      <c r="L103" s="1009"/>
      <c r="M103" s="1009"/>
      <c r="N103" s="1009"/>
    </row>
    <row r="104" spans="1:14" ht="15.6">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7" customWidth="1"/>
    <col min="2" max="2" width="10.21875" style="1878" customWidth="1"/>
  </cols>
  <sheetData>
    <row r="1" spans="1:6">
      <c r="A1" s="3465" t="s">
        <v>2080</v>
      </c>
      <c r="B1" s="3465"/>
    </row>
    <row r="2" spans="1:6" ht="15" thickBot="1">
      <c r="A2" s="1848"/>
      <c r="B2" s="1848"/>
    </row>
    <row r="3" spans="1:6" ht="15" thickBot="1">
      <c r="A3" s="1848"/>
      <c r="B3" s="1848"/>
      <c r="C3" s="1849" t="s">
        <v>2081</v>
      </c>
      <c r="D3" s="1849" t="s">
        <v>2082</v>
      </c>
      <c r="E3" s="1849" t="s">
        <v>2083</v>
      </c>
      <c r="F3" s="1849" t="s">
        <v>2084</v>
      </c>
    </row>
    <row r="4" spans="1:6" ht="15" thickBot="1">
      <c r="A4" s="1850" t="s">
        <v>2085</v>
      </c>
      <c r="B4" s="1851" t="s">
        <v>2086</v>
      </c>
      <c r="C4" s="1849"/>
      <c r="D4" s="1849"/>
      <c r="E4" s="1849"/>
      <c r="F4" s="1849"/>
    </row>
    <row r="5" spans="1:6" ht="15" thickBot="1">
      <c r="A5" s="1852" t="s">
        <v>2087</v>
      </c>
      <c r="B5" s="1853" t="s">
        <v>2088</v>
      </c>
      <c r="C5" s="1854">
        <v>8.8999999999999996E-2</v>
      </c>
      <c r="D5" s="1854">
        <v>7.3999999999999996E-2</v>
      </c>
      <c r="E5" s="1854">
        <v>7.4999999999999997E-2</v>
      </c>
      <c r="F5" s="1855">
        <v>0.1</v>
      </c>
    </row>
    <row r="6" spans="1:6" ht="15" thickBot="1">
      <c r="A6" s="1852" t="s">
        <v>1096</v>
      </c>
      <c r="B6" s="1856" t="s">
        <v>2089</v>
      </c>
      <c r="C6" s="1857">
        <v>0.1</v>
      </c>
      <c r="D6" s="1857">
        <v>9.0999999999999998E-2</v>
      </c>
      <c r="E6" s="1857">
        <v>9.0999999999999998E-2</v>
      </c>
      <c r="F6" s="1858">
        <v>0.1</v>
      </c>
    </row>
    <row r="7" spans="1:6" ht="15" thickBot="1">
      <c r="A7" s="1852" t="s">
        <v>1096</v>
      </c>
      <c r="B7" s="1859" t="s">
        <v>1084</v>
      </c>
      <c r="C7" s="1857">
        <v>8.5999999999999993E-2</v>
      </c>
      <c r="D7" s="1857">
        <v>9.6000000000000002E-2</v>
      </c>
      <c r="E7" s="1857">
        <v>7.5999999999999998E-2</v>
      </c>
      <c r="F7" s="1858">
        <v>0.1</v>
      </c>
    </row>
    <row r="8" spans="1:6" ht="15" thickBot="1">
      <c r="A8" s="1852" t="s">
        <v>1096</v>
      </c>
      <c r="B8" s="1856" t="s">
        <v>1097</v>
      </c>
      <c r="C8" s="1857">
        <v>9.9000000000000005E-2</v>
      </c>
      <c r="D8" s="1857">
        <v>9.8000000000000004E-2</v>
      </c>
      <c r="E8" s="1857">
        <v>9.8000000000000004E-2</v>
      </c>
      <c r="F8" s="1858">
        <v>0.1</v>
      </c>
    </row>
    <row r="9" spans="1:6" ht="15" thickBot="1">
      <c r="A9" s="1860" t="s">
        <v>1096</v>
      </c>
      <c r="B9" s="1861" t="s">
        <v>1111</v>
      </c>
      <c r="C9" s="1862">
        <v>0.05</v>
      </c>
      <c r="D9" s="1863"/>
      <c r="E9" s="1863"/>
      <c r="F9" s="1864"/>
    </row>
    <row r="10" spans="1:6" ht="15" thickBot="1">
      <c r="A10" s="1852" t="s">
        <v>1155</v>
      </c>
      <c r="B10" s="1853" t="s">
        <v>2090</v>
      </c>
      <c r="C10" s="1854">
        <v>8.8999999999999996E-2</v>
      </c>
      <c r="D10" s="1854">
        <v>7.2999999999999995E-2</v>
      </c>
      <c r="E10" s="1854">
        <v>8.2000000000000003E-2</v>
      </c>
      <c r="F10" s="1855">
        <v>0.1</v>
      </c>
    </row>
    <row r="11" spans="1:6" ht="15" thickBot="1">
      <c r="A11" s="1852" t="s">
        <v>1155</v>
      </c>
      <c r="B11" s="1859" t="s">
        <v>1071</v>
      </c>
      <c r="C11" s="1857">
        <v>8.8999999999999996E-2</v>
      </c>
      <c r="D11" s="1857">
        <v>7.2999999999999995E-2</v>
      </c>
      <c r="E11" s="1857">
        <v>8.2000000000000003E-2</v>
      </c>
      <c r="F11" s="1858">
        <v>0.1</v>
      </c>
    </row>
    <row r="12" spans="1:6" ht="15" thickBot="1">
      <c r="A12" s="1852" t="s">
        <v>1155</v>
      </c>
      <c r="B12" s="1859" t="s">
        <v>1085</v>
      </c>
      <c r="C12" s="1857">
        <v>6.0999999999999999E-2</v>
      </c>
      <c r="D12" s="1857">
        <v>7.0999999999999994E-2</v>
      </c>
      <c r="E12" s="1857">
        <v>9.6000000000000002E-2</v>
      </c>
      <c r="F12" s="1858">
        <v>0.1</v>
      </c>
    </row>
    <row r="13" spans="1:6" ht="15" thickBot="1">
      <c r="A13" s="1852" t="s">
        <v>1155</v>
      </c>
      <c r="B13" s="1859" t="s">
        <v>1098</v>
      </c>
      <c r="C13" s="1857">
        <v>6.9000000000000006E-2</v>
      </c>
      <c r="D13" s="1857">
        <v>6.5000000000000002E-2</v>
      </c>
      <c r="E13" s="1857">
        <v>6.6000000000000003E-2</v>
      </c>
      <c r="F13" s="1858">
        <v>0.1</v>
      </c>
    </row>
    <row r="14" spans="1:6" ht="15" thickBot="1">
      <c r="A14" s="1852" t="s">
        <v>1155</v>
      </c>
      <c r="B14" s="1859" t="s">
        <v>1112</v>
      </c>
      <c r="C14" s="1857">
        <v>0.1</v>
      </c>
      <c r="D14" s="1857">
        <v>6.5000000000000002E-2</v>
      </c>
      <c r="E14" s="1857">
        <v>7.0000000000000007E-2</v>
      </c>
      <c r="F14" s="1858">
        <v>0.1</v>
      </c>
    </row>
    <row r="15" spans="1:6" ht="15" thickBot="1">
      <c r="A15" s="1852" t="s">
        <v>1155</v>
      </c>
      <c r="B15" s="1859" t="s">
        <v>1123</v>
      </c>
      <c r="C15" s="1857">
        <v>9.8000000000000004E-2</v>
      </c>
      <c r="D15" s="1857">
        <v>8.8999999999999996E-2</v>
      </c>
      <c r="E15" s="1857">
        <v>8.8999999999999996E-2</v>
      </c>
      <c r="F15" s="1858">
        <v>0.1</v>
      </c>
    </row>
    <row r="16" spans="1:6" ht="15" thickBot="1">
      <c r="A16" s="1852" t="s">
        <v>1155</v>
      </c>
      <c r="B16" s="1859" t="s">
        <v>1134</v>
      </c>
      <c r="C16" s="1857">
        <v>7.0000000000000007E-2</v>
      </c>
      <c r="D16" s="1857">
        <v>9.2999999999999999E-2</v>
      </c>
      <c r="E16" s="1857">
        <v>9.6000000000000002E-2</v>
      </c>
      <c r="F16" s="1858">
        <v>0.1</v>
      </c>
    </row>
    <row r="17" spans="1:6" ht="15" thickBot="1">
      <c r="A17" s="1852" t="s">
        <v>1155</v>
      </c>
      <c r="B17" s="1859" t="s">
        <v>1145</v>
      </c>
      <c r="C17" s="1857">
        <v>9.5000000000000001E-2</v>
      </c>
      <c r="D17" s="1857">
        <v>0.1</v>
      </c>
      <c r="E17" s="1857">
        <v>0.1</v>
      </c>
      <c r="F17" s="1865"/>
    </row>
    <row r="18" spans="1:6" ht="15" thickBot="1">
      <c r="A18" s="1852" t="s">
        <v>1155</v>
      </c>
      <c r="B18" s="1859" t="s">
        <v>1157</v>
      </c>
      <c r="C18" s="1857">
        <v>7.3999999999999996E-2</v>
      </c>
      <c r="D18" s="1857">
        <v>9.9000000000000005E-2</v>
      </c>
      <c r="E18" s="1857">
        <v>0.1</v>
      </c>
      <c r="F18" s="1865"/>
    </row>
    <row r="19" spans="1:6" ht="15" thickBot="1">
      <c r="A19" s="1852" t="s">
        <v>1155</v>
      </c>
      <c r="B19" s="1859" t="s">
        <v>1167</v>
      </c>
      <c r="C19" s="1857">
        <v>9.9000000000000005E-2</v>
      </c>
      <c r="D19" s="1857">
        <v>7.5999999999999998E-2</v>
      </c>
      <c r="E19" s="1857">
        <v>8.6999999999999994E-2</v>
      </c>
      <c r="F19" s="1865"/>
    </row>
    <row r="20" spans="1:6" ht="15" thickBot="1">
      <c r="A20" s="1852" t="s">
        <v>1155</v>
      </c>
      <c r="B20" s="1859" t="s">
        <v>1177</v>
      </c>
      <c r="C20" s="1857">
        <v>9.8000000000000004E-2</v>
      </c>
      <c r="D20" s="1857">
        <v>8.5000000000000006E-2</v>
      </c>
      <c r="E20" s="1857">
        <v>8.2000000000000003E-2</v>
      </c>
      <c r="F20" s="1865"/>
    </row>
    <row r="21" spans="1:6" ht="15" thickBot="1">
      <c r="A21" s="1852" t="s">
        <v>1155</v>
      </c>
      <c r="B21" s="1859" t="s">
        <v>1187</v>
      </c>
      <c r="C21" s="1857">
        <v>6.6000000000000003E-2</v>
      </c>
      <c r="D21" s="1857">
        <v>6.4000000000000001E-2</v>
      </c>
      <c r="E21" s="1857">
        <v>6.5000000000000002E-2</v>
      </c>
      <c r="F21" s="1865"/>
    </row>
    <row r="22" spans="1:6" ht="15" thickBot="1">
      <c r="A22" s="1852" t="s">
        <v>1155</v>
      </c>
      <c r="B22" s="1859" t="s">
        <v>2091</v>
      </c>
      <c r="C22" s="1857">
        <v>0.08</v>
      </c>
      <c r="D22" s="1857">
        <v>9.8000000000000004E-2</v>
      </c>
      <c r="E22" s="1857">
        <v>9.8000000000000004E-2</v>
      </c>
      <c r="F22" s="1865"/>
    </row>
    <row r="23" spans="1:6" ht="15" thickBot="1">
      <c r="A23" s="1852" t="s">
        <v>1155</v>
      </c>
      <c r="B23" s="1859" t="s">
        <v>1207</v>
      </c>
      <c r="C23" s="1857">
        <v>9.9000000000000005E-2</v>
      </c>
      <c r="D23" s="1857">
        <v>9.8000000000000004E-2</v>
      </c>
      <c r="E23" s="1857">
        <v>9.0999999999999998E-2</v>
      </c>
      <c r="F23" s="1865"/>
    </row>
    <row r="24" spans="1:6" ht="15" thickBot="1">
      <c r="A24" s="1852" t="s">
        <v>1155</v>
      </c>
      <c r="B24" s="1859" t="s">
        <v>1217</v>
      </c>
      <c r="C24" s="1857">
        <v>8.8999999999999996E-2</v>
      </c>
      <c r="D24" s="1857">
        <v>9.7000000000000003E-2</v>
      </c>
      <c r="E24" s="1857">
        <v>7.0000000000000007E-2</v>
      </c>
      <c r="F24" s="1865"/>
    </row>
    <row r="25" spans="1:6" ht="15" thickBot="1">
      <c r="A25" s="1852" t="s">
        <v>1155</v>
      </c>
      <c r="B25" s="1859" t="s">
        <v>1227</v>
      </c>
      <c r="C25" s="1857">
        <v>8.8999999999999996E-2</v>
      </c>
      <c r="D25" s="1857">
        <v>0.1</v>
      </c>
      <c r="E25" s="1857">
        <v>8.1000000000000003E-2</v>
      </c>
      <c r="F25" s="1865"/>
    </row>
    <row r="26" spans="1:6" ht="15" thickBot="1">
      <c r="A26" s="1852" t="s">
        <v>1155</v>
      </c>
      <c r="B26" s="1859" t="s">
        <v>1237</v>
      </c>
      <c r="C26" s="1866"/>
      <c r="D26" s="1857">
        <v>9.6000000000000002E-2</v>
      </c>
      <c r="E26" s="1857">
        <v>9.2999999999999999E-2</v>
      </c>
      <c r="F26" s="1865"/>
    </row>
    <row r="27" spans="1:6" ht="15" thickBot="1">
      <c r="A27" s="1852" t="s">
        <v>1155</v>
      </c>
      <c r="B27" s="1859" t="s">
        <v>1247</v>
      </c>
      <c r="C27" s="1866"/>
      <c r="D27" s="1857">
        <v>7.5999999999999998E-2</v>
      </c>
      <c r="E27" s="1857">
        <v>9.1999999999999998E-2</v>
      </c>
      <c r="F27" s="1865"/>
    </row>
    <row r="28" spans="1:6" ht="15" thickBot="1">
      <c r="A28" s="1860" t="s">
        <v>1155</v>
      </c>
      <c r="B28" s="1861" t="s">
        <v>1257</v>
      </c>
      <c r="C28" s="1863"/>
      <c r="D28" s="1862">
        <v>7.5999999999999998E-2</v>
      </c>
      <c r="E28" s="1862">
        <v>9.1999999999999998E-2</v>
      </c>
      <c r="F28" s="1864"/>
    </row>
    <row r="29" spans="1:6" ht="15" thickBot="1">
      <c r="A29" s="1852" t="s">
        <v>1326</v>
      </c>
      <c r="B29" s="1853" t="s">
        <v>2092</v>
      </c>
      <c r="C29" s="1854">
        <v>6.4000000000000001E-2</v>
      </c>
      <c r="D29" s="1854">
        <v>6.5000000000000002E-2</v>
      </c>
      <c r="E29" s="1854">
        <v>6.9000000000000006E-2</v>
      </c>
      <c r="F29" s="1855">
        <v>0.1</v>
      </c>
    </row>
    <row r="30" spans="1:6" ht="15" thickBot="1">
      <c r="A30" s="1852" t="s">
        <v>1326</v>
      </c>
      <c r="B30" s="1859" t="s">
        <v>1072</v>
      </c>
      <c r="C30" s="1857">
        <v>6.4000000000000001E-2</v>
      </c>
      <c r="D30" s="1857">
        <v>9.9000000000000005E-2</v>
      </c>
      <c r="E30" s="1857">
        <v>0.1</v>
      </c>
      <c r="F30" s="1858">
        <v>0.1</v>
      </c>
    </row>
    <row r="31" spans="1:6" ht="15" thickBot="1">
      <c r="A31" s="1852" t="s">
        <v>1326</v>
      </c>
      <c r="B31" s="1859" t="s">
        <v>1086</v>
      </c>
      <c r="C31" s="1857">
        <v>0.1</v>
      </c>
      <c r="D31" s="1857">
        <v>9.5000000000000001E-2</v>
      </c>
      <c r="E31" s="1857">
        <v>8.8999999999999996E-2</v>
      </c>
      <c r="F31" s="1858">
        <v>0.1</v>
      </c>
    </row>
    <row r="32" spans="1:6" ht="15" thickBot="1">
      <c r="A32" s="1852" t="s">
        <v>1326</v>
      </c>
      <c r="B32" s="1859" t="s">
        <v>1099</v>
      </c>
      <c r="C32" s="1857">
        <v>0.05</v>
      </c>
      <c r="D32" s="1857">
        <v>0.05</v>
      </c>
      <c r="E32" s="1857">
        <v>8.7999999999999995E-2</v>
      </c>
      <c r="F32" s="1858">
        <v>0.1</v>
      </c>
    </row>
    <row r="33" spans="1:6" ht="15" thickBot="1">
      <c r="A33" s="1852" t="s">
        <v>1326</v>
      </c>
      <c r="B33" s="1859" t="s">
        <v>1113</v>
      </c>
      <c r="C33" s="1857">
        <v>7.4999999999999997E-2</v>
      </c>
      <c r="D33" s="1857">
        <v>9.4E-2</v>
      </c>
      <c r="E33" s="1857">
        <v>9.7000000000000003E-2</v>
      </c>
      <c r="F33" s="1858">
        <v>0.1</v>
      </c>
    </row>
    <row r="34" spans="1:6" ht="15" thickBot="1">
      <c r="A34" s="1852" t="s">
        <v>1326</v>
      </c>
      <c r="B34" s="1859" t="s">
        <v>1124</v>
      </c>
      <c r="C34" s="1857">
        <v>9.8000000000000004E-2</v>
      </c>
      <c r="D34" s="1857">
        <v>8.5999999999999993E-2</v>
      </c>
      <c r="E34" s="1857">
        <v>9.7000000000000003E-2</v>
      </c>
      <c r="F34" s="1858">
        <v>0.1</v>
      </c>
    </row>
    <row r="35" spans="1:6" ht="15" thickBot="1">
      <c r="A35" s="1852" t="s">
        <v>1326</v>
      </c>
      <c r="B35" s="1859" t="s">
        <v>1135</v>
      </c>
      <c r="C35" s="1857">
        <v>5.8999999999999997E-2</v>
      </c>
      <c r="D35" s="1857">
        <v>6.5000000000000002E-2</v>
      </c>
      <c r="E35" s="1857">
        <v>7.0000000000000007E-2</v>
      </c>
      <c r="F35" s="1858">
        <v>0.1</v>
      </c>
    </row>
    <row r="36" spans="1:6" ht="15" thickBot="1">
      <c r="A36" s="1852" t="s">
        <v>1326</v>
      </c>
      <c r="B36" s="1859" t="s">
        <v>1146</v>
      </c>
      <c r="C36" s="1857">
        <v>6.3E-2</v>
      </c>
      <c r="D36" s="1857">
        <v>0.1</v>
      </c>
      <c r="E36" s="1857">
        <v>0.1</v>
      </c>
      <c r="F36" s="1858">
        <v>0.1</v>
      </c>
    </row>
    <row r="37" spans="1:6" ht="15" thickBot="1">
      <c r="A37" s="1852" t="s">
        <v>1326</v>
      </c>
      <c r="B37" s="1859" t="s">
        <v>1158</v>
      </c>
      <c r="C37" s="1857">
        <v>7.3999999999999996E-2</v>
      </c>
      <c r="D37" s="1857">
        <v>0.1</v>
      </c>
      <c r="E37" s="1857">
        <v>0.1</v>
      </c>
      <c r="F37" s="1858">
        <v>0.1</v>
      </c>
    </row>
    <row r="38" spans="1:6" ht="15" thickBot="1">
      <c r="A38" s="1852" t="s">
        <v>1326</v>
      </c>
      <c r="B38" s="1859" t="s">
        <v>1168</v>
      </c>
      <c r="C38" s="1857">
        <v>0.1</v>
      </c>
      <c r="D38" s="1857">
        <v>9.6000000000000002E-2</v>
      </c>
      <c r="E38" s="1857">
        <v>9.6000000000000002E-2</v>
      </c>
      <c r="F38" s="1865"/>
    </row>
    <row r="39" spans="1:6" ht="15" thickBot="1">
      <c r="A39" s="1852" t="s">
        <v>1326</v>
      </c>
      <c r="B39" s="1859" t="s">
        <v>1178</v>
      </c>
      <c r="C39" s="1857">
        <v>0.1</v>
      </c>
      <c r="D39" s="1857">
        <v>9.6000000000000002E-2</v>
      </c>
      <c r="E39" s="1857">
        <v>9.6000000000000002E-2</v>
      </c>
      <c r="F39" s="1865"/>
    </row>
    <row r="40" spans="1:6" ht="15" thickBot="1">
      <c r="A40" s="1852" t="s">
        <v>1326</v>
      </c>
      <c r="B40" s="1859" t="s">
        <v>1188</v>
      </c>
      <c r="C40" s="1857">
        <v>9.6000000000000002E-2</v>
      </c>
      <c r="D40" s="1857">
        <v>0.1</v>
      </c>
      <c r="E40" s="1857">
        <v>9.9000000000000005E-2</v>
      </c>
      <c r="F40" s="1865"/>
    </row>
    <row r="41" spans="1:6" ht="15" thickBot="1">
      <c r="A41" s="1852" t="s">
        <v>1326</v>
      </c>
      <c r="B41" s="1859" t="s">
        <v>1198</v>
      </c>
      <c r="C41" s="1857">
        <v>9.6000000000000002E-2</v>
      </c>
      <c r="D41" s="1857">
        <v>9.8000000000000004E-2</v>
      </c>
      <c r="E41" s="1857">
        <v>9.8000000000000004E-2</v>
      </c>
      <c r="F41" s="1865"/>
    </row>
    <row r="42" spans="1:6" ht="15" thickBot="1">
      <c r="A42" s="1852" t="s">
        <v>1326</v>
      </c>
      <c r="B42" s="1859" t="s">
        <v>1208</v>
      </c>
      <c r="C42" s="1857">
        <v>0.1</v>
      </c>
      <c r="D42" s="1857">
        <v>8.7999999999999995E-2</v>
      </c>
      <c r="E42" s="1857">
        <v>0.1</v>
      </c>
      <c r="F42" s="1865"/>
    </row>
    <row r="43" spans="1:6" ht="15" thickBot="1">
      <c r="A43" s="1852" t="s">
        <v>1326</v>
      </c>
      <c r="B43" s="1859" t="s">
        <v>1218</v>
      </c>
      <c r="C43" s="1857">
        <v>9.8000000000000004E-2</v>
      </c>
      <c r="D43" s="1857">
        <v>9.7000000000000003E-2</v>
      </c>
      <c r="E43" s="1857">
        <v>9.6000000000000002E-2</v>
      </c>
      <c r="F43" s="1865"/>
    </row>
    <row r="44" spans="1:6" ht="15" thickBot="1">
      <c r="A44" s="1852" t="s">
        <v>1326</v>
      </c>
      <c r="B44" s="1859" t="s">
        <v>1228</v>
      </c>
      <c r="C44" s="1857">
        <v>8.5999999999999993E-2</v>
      </c>
      <c r="D44" s="1857">
        <v>7.9000000000000001E-2</v>
      </c>
      <c r="E44" s="1857">
        <v>7.0999999999999994E-2</v>
      </c>
      <c r="F44" s="1865"/>
    </row>
    <row r="45" spans="1:6" ht="15" thickBot="1">
      <c r="A45" s="1852" t="s">
        <v>1326</v>
      </c>
      <c r="B45" s="1859" t="s">
        <v>1238</v>
      </c>
      <c r="C45" s="1857">
        <v>9.8000000000000004E-2</v>
      </c>
      <c r="D45" s="1857">
        <v>9.6000000000000002E-2</v>
      </c>
      <c r="E45" s="1857">
        <v>9.6000000000000002E-2</v>
      </c>
      <c r="F45" s="1865"/>
    </row>
    <row r="46" spans="1:6" ht="15" thickBot="1">
      <c r="A46" s="1852" t="s">
        <v>1326</v>
      </c>
      <c r="B46" s="1859" t="s">
        <v>1248</v>
      </c>
      <c r="C46" s="1857">
        <v>8.5999999999999993E-2</v>
      </c>
      <c r="D46" s="1857">
        <v>9.8000000000000004E-2</v>
      </c>
      <c r="E46" s="1857">
        <v>8.7999999999999995E-2</v>
      </c>
      <c r="F46" s="1865"/>
    </row>
    <row r="47" spans="1:6" ht="15" thickBot="1">
      <c r="A47" s="1852" t="s">
        <v>1326</v>
      </c>
      <c r="B47" s="1859" t="s">
        <v>1258</v>
      </c>
      <c r="C47" s="1857">
        <v>9.6000000000000002E-2</v>
      </c>
      <c r="D47" s="1866"/>
      <c r="E47" s="1857">
        <v>6.9000000000000006E-2</v>
      </c>
      <c r="F47" s="1865"/>
    </row>
    <row r="48" spans="1:6" ht="15" thickBot="1">
      <c r="A48" s="1860" t="s">
        <v>1326</v>
      </c>
      <c r="B48" s="1861" t="s">
        <v>1267</v>
      </c>
      <c r="C48" s="1862">
        <v>9.8000000000000004E-2</v>
      </c>
      <c r="D48" s="1863"/>
      <c r="E48" s="1862">
        <v>9.5000000000000001E-2</v>
      </c>
      <c r="F48" s="1864"/>
    </row>
    <row r="49" spans="1:6" ht="15" thickBot="1">
      <c r="A49" s="1852" t="s">
        <v>924</v>
      </c>
      <c r="B49" s="1853" t="s">
        <v>2093</v>
      </c>
      <c r="C49" s="1854">
        <v>9.7000000000000003E-2</v>
      </c>
      <c r="D49" s="1854">
        <v>9.5000000000000001E-2</v>
      </c>
      <c r="E49" s="1854">
        <v>9.7000000000000003E-2</v>
      </c>
      <c r="F49" s="1855">
        <v>0.1</v>
      </c>
    </row>
    <row r="50" spans="1:6" ht="15" thickBot="1">
      <c r="A50" s="1852" t="s">
        <v>924</v>
      </c>
      <c r="B50" s="1856" t="s">
        <v>1073</v>
      </c>
      <c r="C50" s="1857">
        <v>7.4999999999999997E-2</v>
      </c>
      <c r="D50" s="1857">
        <v>9.5000000000000001E-2</v>
      </c>
      <c r="E50" s="1857">
        <v>0.1</v>
      </c>
      <c r="F50" s="1858">
        <v>0.1</v>
      </c>
    </row>
    <row r="51" spans="1:6" ht="15" thickBot="1">
      <c r="A51" s="1852" t="s">
        <v>924</v>
      </c>
      <c r="B51" s="1856" t="s">
        <v>1087</v>
      </c>
      <c r="C51" s="1857">
        <v>9.8000000000000004E-2</v>
      </c>
      <c r="D51" s="1857">
        <v>8.8999999999999996E-2</v>
      </c>
      <c r="E51" s="1857">
        <v>0.1</v>
      </c>
      <c r="F51" s="1858">
        <v>0.1</v>
      </c>
    </row>
    <row r="52" spans="1:6" ht="15" thickBot="1">
      <c r="A52" s="1852" t="s">
        <v>924</v>
      </c>
      <c r="B52" s="1856" t="s">
        <v>1100</v>
      </c>
      <c r="C52" s="1857">
        <v>9.8000000000000004E-2</v>
      </c>
      <c r="D52" s="1857">
        <v>9.7000000000000003E-2</v>
      </c>
      <c r="E52" s="1857">
        <v>8.1000000000000003E-2</v>
      </c>
      <c r="F52" s="1858">
        <v>0.1</v>
      </c>
    </row>
    <row r="53" spans="1:6" ht="15" thickBot="1">
      <c r="A53" s="1852" t="s">
        <v>924</v>
      </c>
      <c r="B53" s="1856" t="s">
        <v>1114</v>
      </c>
      <c r="C53" s="1857">
        <v>9.7000000000000003E-2</v>
      </c>
      <c r="D53" s="1857">
        <v>7.5999999999999998E-2</v>
      </c>
      <c r="E53" s="1857">
        <v>7.0999999999999994E-2</v>
      </c>
      <c r="F53" s="1858">
        <v>0.1</v>
      </c>
    </row>
    <row r="54" spans="1:6" ht="15" thickBot="1">
      <c r="A54" s="1852" t="s">
        <v>924</v>
      </c>
      <c r="B54" s="1856" t="s">
        <v>1125</v>
      </c>
      <c r="C54" s="1857">
        <v>7.5999999999999998E-2</v>
      </c>
      <c r="D54" s="1857">
        <v>0.1</v>
      </c>
      <c r="E54" s="1857">
        <v>9.9000000000000005E-2</v>
      </c>
      <c r="F54" s="1858">
        <v>0.1</v>
      </c>
    </row>
    <row r="55" spans="1:6" ht="15" thickBot="1">
      <c r="A55" s="1852" t="s">
        <v>924</v>
      </c>
      <c r="B55" s="1856" t="s">
        <v>1136</v>
      </c>
      <c r="C55" s="1857">
        <v>0.1</v>
      </c>
      <c r="D55" s="1857">
        <v>0.1</v>
      </c>
      <c r="E55" s="1857">
        <v>9.6000000000000002E-2</v>
      </c>
      <c r="F55" s="1858">
        <v>0.1</v>
      </c>
    </row>
    <row r="56" spans="1:6" ht="15" thickBot="1">
      <c r="A56" s="1852" t="s">
        <v>924</v>
      </c>
      <c r="B56" s="1856" t="s">
        <v>1147</v>
      </c>
      <c r="C56" s="1857">
        <v>0.1</v>
      </c>
      <c r="D56" s="1857">
        <v>9.6000000000000002E-2</v>
      </c>
      <c r="E56" s="1857">
        <v>5.1999999999999998E-2</v>
      </c>
      <c r="F56" s="1858">
        <v>0.1</v>
      </c>
    </row>
    <row r="57" spans="1:6" ht="15" thickBot="1">
      <c r="A57" s="1852" t="s">
        <v>924</v>
      </c>
      <c r="B57" s="1856" t="s">
        <v>1159</v>
      </c>
      <c r="C57" s="1857">
        <v>9.7000000000000003E-2</v>
      </c>
      <c r="D57" s="1857">
        <v>9.6000000000000002E-2</v>
      </c>
      <c r="E57" s="1857">
        <v>9.6000000000000002E-2</v>
      </c>
      <c r="F57" s="1858">
        <v>0.1</v>
      </c>
    </row>
    <row r="58" spans="1:6" ht="15" thickBot="1">
      <c r="A58" s="1852" t="s">
        <v>924</v>
      </c>
      <c r="B58" s="1856" t="s">
        <v>1169</v>
      </c>
      <c r="C58" s="1857">
        <v>9.6000000000000002E-2</v>
      </c>
      <c r="D58" s="1857">
        <v>9.9000000000000005E-2</v>
      </c>
      <c r="E58" s="1857">
        <v>9.6000000000000002E-2</v>
      </c>
      <c r="F58" s="1858">
        <v>0.1</v>
      </c>
    </row>
    <row r="59" spans="1:6" ht="15" thickBot="1">
      <c r="A59" s="1852" t="s">
        <v>924</v>
      </c>
      <c r="B59" s="1856" t="s">
        <v>1179</v>
      </c>
      <c r="C59" s="1857">
        <v>7.1999999999999995E-2</v>
      </c>
      <c r="D59" s="1857">
        <v>9.6000000000000002E-2</v>
      </c>
      <c r="E59" s="1857">
        <v>7.0999999999999994E-2</v>
      </c>
      <c r="F59" s="1858">
        <v>0.1</v>
      </c>
    </row>
    <row r="60" spans="1:6" ht="15" thickBot="1">
      <c r="A60" s="1852" t="s">
        <v>924</v>
      </c>
      <c r="B60" s="1856" t="s">
        <v>1189</v>
      </c>
      <c r="C60" s="1857">
        <v>9.6000000000000002E-2</v>
      </c>
      <c r="D60" s="1857">
        <v>8.8999999999999996E-2</v>
      </c>
      <c r="E60" s="1857">
        <v>9.6000000000000002E-2</v>
      </c>
      <c r="F60" s="1858">
        <v>0.1</v>
      </c>
    </row>
    <row r="61" spans="1:6" ht="15" thickBot="1">
      <c r="A61" s="1852" t="s">
        <v>924</v>
      </c>
      <c r="B61" s="1856" t="s">
        <v>1199</v>
      </c>
      <c r="C61" s="1857">
        <v>8.8999999999999996E-2</v>
      </c>
      <c r="D61" s="1857">
        <v>9.8000000000000004E-2</v>
      </c>
      <c r="E61" s="1857">
        <v>8.7999999999999995E-2</v>
      </c>
      <c r="F61" s="1865"/>
    </row>
    <row r="62" spans="1:6" ht="15" thickBot="1">
      <c r="A62" s="1852" t="s">
        <v>924</v>
      </c>
      <c r="B62" s="1856" t="s">
        <v>1209</v>
      </c>
      <c r="C62" s="1857">
        <v>9.8000000000000004E-2</v>
      </c>
      <c r="D62" s="1857">
        <v>9.2999999999999999E-2</v>
      </c>
      <c r="E62" s="1857">
        <v>9.7000000000000003E-2</v>
      </c>
      <c r="F62" s="1865"/>
    </row>
    <row r="63" spans="1:6" ht="15" thickBot="1">
      <c r="A63" s="1852" t="s">
        <v>924</v>
      </c>
      <c r="B63" s="1856" t="s">
        <v>1219</v>
      </c>
      <c r="C63" s="1857">
        <v>9.6000000000000002E-2</v>
      </c>
      <c r="D63" s="1857">
        <v>9.8000000000000004E-2</v>
      </c>
      <c r="E63" s="1857">
        <v>0.09</v>
      </c>
      <c r="F63" s="1865"/>
    </row>
    <row r="64" spans="1:6" ht="15" thickBot="1">
      <c r="A64" s="1852" t="s">
        <v>924</v>
      </c>
      <c r="B64" s="1856" t="s">
        <v>1229</v>
      </c>
      <c r="C64" s="1857">
        <v>9.9000000000000005E-2</v>
      </c>
      <c r="D64" s="1857">
        <v>9.7000000000000003E-2</v>
      </c>
      <c r="E64" s="1857">
        <v>9.9000000000000005E-2</v>
      </c>
      <c r="F64" s="1865"/>
    </row>
    <row r="65" spans="1:6" ht="15" thickBot="1">
      <c r="A65" s="1852" t="s">
        <v>924</v>
      </c>
      <c r="B65" s="1856" t="s">
        <v>1239</v>
      </c>
      <c r="C65" s="1857">
        <v>9.8000000000000004E-2</v>
      </c>
      <c r="D65" s="1857">
        <v>9.6000000000000002E-2</v>
      </c>
      <c r="E65" s="1857">
        <v>9.6000000000000002E-2</v>
      </c>
      <c r="F65" s="1865"/>
    </row>
    <row r="66" spans="1:6" ht="15" thickBot="1">
      <c r="A66" s="1852" t="s">
        <v>924</v>
      </c>
      <c r="B66" s="1856" t="s">
        <v>1249</v>
      </c>
      <c r="C66" s="1857">
        <v>9.6000000000000002E-2</v>
      </c>
      <c r="D66" s="1857">
        <v>9.1999999999999998E-2</v>
      </c>
      <c r="E66" s="1857">
        <v>9.6000000000000002E-2</v>
      </c>
      <c r="F66" s="1865"/>
    </row>
    <row r="67" spans="1:6" ht="15" thickBot="1">
      <c r="A67" s="1852" t="s">
        <v>924</v>
      </c>
      <c r="B67" s="1856" t="s">
        <v>1259</v>
      </c>
      <c r="C67" s="1857">
        <v>9.4E-2</v>
      </c>
      <c r="D67" s="1857">
        <v>0.1</v>
      </c>
      <c r="E67" s="1857">
        <v>8.7999999999999995E-2</v>
      </c>
      <c r="F67" s="1865"/>
    </row>
    <row r="68" spans="1:6" ht="15" thickBot="1">
      <c r="A68" s="1852" t="s">
        <v>924</v>
      </c>
      <c r="B68" s="1856" t="s">
        <v>1268</v>
      </c>
      <c r="C68" s="1857">
        <v>0.1</v>
      </c>
      <c r="D68" s="1857">
        <v>8.7999999999999995E-2</v>
      </c>
      <c r="E68" s="1857">
        <v>9.7000000000000003E-2</v>
      </c>
      <c r="F68" s="1865"/>
    </row>
    <row r="69" spans="1:6" ht="15" thickBot="1">
      <c r="A69" s="1852" t="s">
        <v>924</v>
      </c>
      <c r="B69" s="1856" t="s">
        <v>1277</v>
      </c>
      <c r="C69" s="1857">
        <v>6.4000000000000001E-2</v>
      </c>
      <c r="D69" s="1857">
        <v>0.1</v>
      </c>
      <c r="E69" s="1857">
        <v>0.1</v>
      </c>
      <c r="F69" s="1865"/>
    </row>
    <row r="70" spans="1:6" ht="15" thickBot="1">
      <c r="A70" s="1852" t="s">
        <v>924</v>
      </c>
      <c r="B70" s="1856" t="s">
        <v>1285</v>
      </c>
      <c r="C70" s="1857">
        <v>9.0999999999999998E-2</v>
      </c>
      <c r="D70" s="1866"/>
      <c r="E70" s="1866"/>
      <c r="F70" s="1865"/>
    </row>
    <row r="71" spans="1:6" ht="15" thickBot="1">
      <c r="A71" s="1852" t="s">
        <v>924</v>
      </c>
      <c r="B71" s="1856" t="s">
        <v>1292</v>
      </c>
      <c r="C71" s="1857">
        <v>0.1</v>
      </c>
      <c r="D71" s="1866"/>
      <c r="E71" s="1866"/>
      <c r="F71" s="1865"/>
    </row>
    <row r="72" spans="1:6" ht="24.6" thickBot="1">
      <c r="A72" s="1852" t="s">
        <v>924</v>
      </c>
      <c r="B72" s="1856" t="s">
        <v>2094</v>
      </c>
      <c r="C72" s="1866"/>
      <c r="D72" s="1866"/>
      <c r="E72" s="1866"/>
      <c r="F72" s="1858">
        <v>0.05</v>
      </c>
    </row>
    <row r="73" spans="1:6" ht="24.6" thickBot="1">
      <c r="A73" s="1852" t="s">
        <v>924</v>
      </c>
      <c r="B73" s="1856" t="s">
        <v>2095</v>
      </c>
      <c r="C73" s="1866"/>
      <c r="D73" s="1866"/>
      <c r="E73" s="1866"/>
      <c r="F73" s="1858">
        <v>0.05</v>
      </c>
    </row>
    <row r="74" spans="1:6" ht="24.6" thickBot="1">
      <c r="A74" s="1852" t="s">
        <v>924</v>
      </c>
      <c r="B74" s="1856" t="s">
        <v>2096</v>
      </c>
      <c r="C74" s="1866"/>
      <c r="D74" s="1866"/>
      <c r="E74" s="1866"/>
      <c r="F74" s="1858">
        <v>0.05</v>
      </c>
    </row>
    <row r="75" spans="1:6" ht="24.6" thickBot="1">
      <c r="A75" s="1860" t="s">
        <v>924</v>
      </c>
      <c r="B75" s="1867" t="s">
        <v>2097</v>
      </c>
      <c r="C75" s="1863"/>
      <c r="D75" s="1863"/>
      <c r="E75" s="1863"/>
      <c r="F75" s="1868">
        <v>0.05</v>
      </c>
    </row>
    <row r="76" spans="1:6" ht="15" thickBot="1">
      <c r="A76" s="1852" t="s">
        <v>1407</v>
      </c>
      <c r="B76" s="1853" t="s">
        <v>2098</v>
      </c>
      <c r="C76" s="1854">
        <v>0.1</v>
      </c>
      <c r="D76" s="1854">
        <v>0.1</v>
      </c>
      <c r="E76" s="1854">
        <v>0.1</v>
      </c>
      <c r="F76" s="1855">
        <v>0.1</v>
      </c>
    </row>
    <row r="77" spans="1:6" ht="15" thickBot="1">
      <c r="A77" s="1852" t="s">
        <v>1407</v>
      </c>
      <c r="B77" s="1856" t="s">
        <v>1074</v>
      </c>
      <c r="C77" s="1857">
        <v>8.7999999999999995E-2</v>
      </c>
      <c r="D77" s="1857">
        <v>8.6999999999999994E-2</v>
      </c>
      <c r="E77" s="1857">
        <v>7.9000000000000001E-2</v>
      </c>
      <c r="F77" s="1858">
        <v>0.1</v>
      </c>
    </row>
    <row r="78" spans="1:6" ht="15" thickBot="1">
      <c r="A78" s="1852" t="s">
        <v>1407</v>
      </c>
      <c r="B78" s="1856" t="s">
        <v>1088</v>
      </c>
      <c r="C78" s="1857">
        <v>8.6999999999999994E-2</v>
      </c>
      <c r="D78" s="1857">
        <v>8.4000000000000005E-2</v>
      </c>
      <c r="E78" s="1857">
        <v>9.6000000000000002E-2</v>
      </c>
      <c r="F78" s="1858">
        <v>0.1</v>
      </c>
    </row>
    <row r="79" spans="1:6" ht="15" thickBot="1">
      <c r="A79" s="1852" t="s">
        <v>1407</v>
      </c>
      <c r="B79" s="1856" t="s">
        <v>1101</v>
      </c>
      <c r="C79" s="1857">
        <v>9.8000000000000004E-2</v>
      </c>
      <c r="D79" s="1857">
        <v>9.8000000000000004E-2</v>
      </c>
      <c r="E79" s="1857">
        <v>9.0999999999999998E-2</v>
      </c>
      <c r="F79" s="1858">
        <v>0.1</v>
      </c>
    </row>
    <row r="80" spans="1:6" ht="15" thickBot="1">
      <c r="A80" s="1852" t="s">
        <v>1407</v>
      </c>
      <c r="B80" s="1856" t="s">
        <v>1115</v>
      </c>
      <c r="C80" s="1857">
        <v>9.6000000000000002E-2</v>
      </c>
      <c r="D80" s="1857">
        <v>9.6000000000000002E-2</v>
      </c>
      <c r="E80" s="1857">
        <v>0.1</v>
      </c>
      <c r="F80" s="1858">
        <v>0.1</v>
      </c>
    </row>
    <row r="81" spans="1:6" ht="15" thickBot="1">
      <c r="A81" s="1852" t="s">
        <v>1407</v>
      </c>
      <c r="B81" s="1856" t="s">
        <v>1126</v>
      </c>
      <c r="C81" s="1857">
        <v>9.9000000000000005E-2</v>
      </c>
      <c r="D81" s="1857">
        <v>9.9000000000000005E-2</v>
      </c>
      <c r="E81" s="1857">
        <v>9.8000000000000004E-2</v>
      </c>
      <c r="F81" s="1858">
        <v>0.1</v>
      </c>
    </row>
    <row r="82" spans="1:6" ht="15" thickBot="1">
      <c r="A82" s="1852" t="s">
        <v>1407</v>
      </c>
      <c r="B82" s="1856" t="s">
        <v>1137</v>
      </c>
      <c r="C82" s="1857">
        <v>9.9000000000000005E-2</v>
      </c>
      <c r="D82" s="1857">
        <v>9.9000000000000005E-2</v>
      </c>
      <c r="E82" s="1857">
        <v>9.7000000000000003E-2</v>
      </c>
      <c r="F82" s="1858">
        <v>0.1</v>
      </c>
    </row>
    <row r="83" spans="1:6" ht="15" thickBot="1">
      <c r="A83" s="1852" t="s">
        <v>1407</v>
      </c>
      <c r="B83" s="1856" t="s">
        <v>1148</v>
      </c>
      <c r="C83" s="1857">
        <v>9.8000000000000004E-2</v>
      </c>
      <c r="D83" s="1857">
        <v>9.8000000000000004E-2</v>
      </c>
      <c r="E83" s="1857">
        <v>9.8000000000000004E-2</v>
      </c>
      <c r="F83" s="1858">
        <v>0.1</v>
      </c>
    </row>
    <row r="84" spans="1:6" ht="15" thickBot="1">
      <c r="A84" s="1852" t="s">
        <v>1407</v>
      </c>
      <c r="B84" s="1856" t="s">
        <v>1160</v>
      </c>
      <c r="C84" s="1857">
        <v>9.9000000000000005E-2</v>
      </c>
      <c r="D84" s="1857">
        <v>9.9000000000000005E-2</v>
      </c>
      <c r="E84" s="1857">
        <v>9.9000000000000005E-2</v>
      </c>
      <c r="F84" s="1858">
        <v>0.1</v>
      </c>
    </row>
    <row r="85" spans="1:6" ht="15" thickBot="1">
      <c r="A85" s="1852" t="s">
        <v>1407</v>
      </c>
      <c r="B85" s="1856" t="s">
        <v>1170</v>
      </c>
      <c r="C85" s="1857">
        <v>9.9000000000000005E-2</v>
      </c>
      <c r="D85" s="1857">
        <v>9.9000000000000005E-2</v>
      </c>
      <c r="E85" s="1857">
        <v>9.9000000000000005E-2</v>
      </c>
      <c r="F85" s="1858">
        <v>0.1</v>
      </c>
    </row>
    <row r="86" spans="1:6" ht="15" thickBot="1">
      <c r="A86" s="1852" t="s">
        <v>1407</v>
      </c>
      <c r="B86" s="1856" t="s">
        <v>1180</v>
      </c>
      <c r="C86" s="1857">
        <v>0.1</v>
      </c>
      <c r="D86" s="1857">
        <v>0.1</v>
      </c>
      <c r="E86" s="1857">
        <v>7.6999999999999999E-2</v>
      </c>
      <c r="F86" s="1858">
        <v>0.1</v>
      </c>
    </row>
    <row r="87" spans="1:6" ht="15" thickBot="1">
      <c r="A87" s="1852" t="s">
        <v>1407</v>
      </c>
      <c r="B87" s="1856" t="s">
        <v>1190</v>
      </c>
      <c r="C87" s="1857">
        <v>0.1</v>
      </c>
      <c r="D87" s="1857">
        <v>0.1</v>
      </c>
      <c r="E87" s="1857">
        <v>9.8000000000000004E-2</v>
      </c>
      <c r="F87" s="1865"/>
    </row>
    <row r="88" spans="1:6" ht="15" thickBot="1">
      <c r="A88" s="1852" t="s">
        <v>1407</v>
      </c>
      <c r="B88" s="1856" t="s">
        <v>1200</v>
      </c>
      <c r="C88" s="1857">
        <v>9.1999999999999998E-2</v>
      </c>
      <c r="D88" s="1857">
        <v>8.5000000000000006E-2</v>
      </c>
      <c r="E88" s="1857">
        <v>9.6000000000000002E-2</v>
      </c>
      <c r="F88" s="1865"/>
    </row>
    <row r="89" spans="1:6" ht="15" thickBot="1">
      <c r="A89" s="1852" t="s">
        <v>1407</v>
      </c>
      <c r="B89" s="1856" t="s">
        <v>1210</v>
      </c>
      <c r="C89" s="1857">
        <v>0.1</v>
      </c>
      <c r="D89" s="1857">
        <v>0.1</v>
      </c>
      <c r="E89" s="1857">
        <v>9.7000000000000003E-2</v>
      </c>
      <c r="F89" s="1865"/>
    </row>
    <row r="90" spans="1:6" ht="15" thickBot="1">
      <c r="A90" s="1852" t="s">
        <v>1407</v>
      </c>
      <c r="B90" s="1856" t="s">
        <v>1220</v>
      </c>
      <c r="C90" s="1857">
        <v>9.8000000000000004E-2</v>
      </c>
      <c r="D90" s="1857">
        <v>9.8000000000000004E-2</v>
      </c>
      <c r="E90" s="1857">
        <v>8.7999999999999995E-2</v>
      </c>
      <c r="F90" s="1865"/>
    </row>
    <row r="91" spans="1:6" ht="15" thickBot="1">
      <c r="A91" s="1852" t="s">
        <v>1407</v>
      </c>
      <c r="B91" s="1856" t="s">
        <v>1230</v>
      </c>
      <c r="C91" s="1857">
        <v>9.9000000000000005E-2</v>
      </c>
      <c r="D91" s="1857">
        <v>9.9000000000000005E-2</v>
      </c>
      <c r="E91" s="1857">
        <v>9.0999999999999998E-2</v>
      </c>
      <c r="F91" s="1865"/>
    </row>
    <row r="92" spans="1:6" ht="15" thickBot="1">
      <c r="A92" s="1852" t="s">
        <v>1407</v>
      </c>
      <c r="B92" s="1856" t="s">
        <v>1240</v>
      </c>
      <c r="C92" s="1857">
        <v>9.6000000000000002E-2</v>
      </c>
      <c r="D92" s="1857">
        <v>9.6000000000000002E-2</v>
      </c>
      <c r="E92" s="1857">
        <v>7.2999999999999995E-2</v>
      </c>
      <c r="F92" s="1865"/>
    </row>
    <row r="93" spans="1:6" ht="15" thickBot="1">
      <c r="A93" s="1852" t="s">
        <v>1407</v>
      </c>
      <c r="B93" s="1856" t="s">
        <v>1250</v>
      </c>
      <c r="C93" s="1857">
        <v>9.6000000000000002E-2</v>
      </c>
      <c r="D93" s="1857">
        <v>9.6000000000000002E-2</v>
      </c>
      <c r="E93" s="1857">
        <v>9.9000000000000005E-2</v>
      </c>
      <c r="F93" s="1865"/>
    </row>
    <row r="94" spans="1:6" ht="15" thickBot="1">
      <c r="A94" s="1852" t="s">
        <v>1407</v>
      </c>
      <c r="B94" s="1856" t="s">
        <v>1260</v>
      </c>
      <c r="C94" s="1857">
        <v>7.5999999999999998E-2</v>
      </c>
      <c r="D94" s="1857">
        <v>7.3999999999999996E-2</v>
      </c>
      <c r="E94" s="1857">
        <v>9.7000000000000003E-2</v>
      </c>
      <c r="F94" s="1865"/>
    </row>
    <row r="95" spans="1:6" ht="15" thickBot="1">
      <c r="A95" s="1852" t="s">
        <v>1407</v>
      </c>
      <c r="B95" s="1856" t="s">
        <v>1269</v>
      </c>
      <c r="C95" s="1857">
        <v>9.9000000000000005E-2</v>
      </c>
      <c r="D95" s="1857">
        <v>9.4E-2</v>
      </c>
      <c r="E95" s="1857">
        <v>9.6000000000000002E-2</v>
      </c>
      <c r="F95" s="1865"/>
    </row>
    <row r="96" spans="1:6" ht="15" thickBot="1">
      <c r="A96" s="1852" t="s">
        <v>1407</v>
      </c>
      <c r="B96" s="1856" t="s">
        <v>1278</v>
      </c>
      <c r="C96" s="1857">
        <v>9.9000000000000005E-2</v>
      </c>
      <c r="D96" s="1857">
        <v>9.9000000000000005E-2</v>
      </c>
      <c r="E96" s="1857">
        <v>9.9000000000000005E-2</v>
      </c>
      <c r="F96" s="1865"/>
    </row>
    <row r="97" spans="1:6" ht="15" thickBot="1">
      <c r="A97" s="1852" t="s">
        <v>1407</v>
      </c>
      <c r="B97" s="1856" t="s">
        <v>1286</v>
      </c>
      <c r="C97" s="1857">
        <v>9.8000000000000004E-2</v>
      </c>
      <c r="D97" s="1857">
        <v>9.8000000000000004E-2</v>
      </c>
      <c r="E97" s="1857">
        <v>9.7000000000000003E-2</v>
      </c>
      <c r="F97" s="1865"/>
    </row>
    <row r="98" spans="1:6" ht="15" thickBot="1">
      <c r="A98" s="1852" t="s">
        <v>1407</v>
      </c>
      <c r="B98" s="1856" t="s">
        <v>1293</v>
      </c>
      <c r="C98" s="1857">
        <v>0.1</v>
      </c>
      <c r="D98" s="1857">
        <v>0.1</v>
      </c>
      <c r="E98" s="1857">
        <v>9.7000000000000003E-2</v>
      </c>
      <c r="F98" s="1865"/>
    </row>
    <row r="99" spans="1:6" ht="15" thickBot="1">
      <c r="A99" s="1852" t="s">
        <v>1407</v>
      </c>
      <c r="B99" s="1856" t="s">
        <v>1300</v>
      </c>
      <c r="C99" s="1857">
        <v>0.1</v>
      </c>
      <c r="D99" s="1857">
        <v>0.1</v>
      </c>
      <c r="E99" s="1866"/>
      <c r="F99" s="1865"/>
    </row>
    <row r="100" spans="1:6" ht="15" thickBot="1">
      <c r="A100" s="1852" t="s">
        <v>1407</v>
      </c>
      <c r="B100" s="1856" t="s">
        <v>1307</v>
      </c>
      <c r="C100" s="1857">
        <v>0.09</v>
      </c>
      <c r="D100" s="1857">
        <v>8.8999999999999996E-2</v>
      </c>
      <c r="E100" s="1866"/>
      <c r="F100" s="1865"/>
    </row>
    <row r="101" spans="1:6" ht="15" thickBot="1">
      <c r="A101" s="1852" t="s">
        <v>1407</v>
      </c>
      <c r="B101" s="1856" t="s">
        <v>1314</v>
      </c>
      <c r="C101" s="1857">
        <v>9.8000000000000004E-2</v>
      </c>
      <c r="D101" s="1857">
        <v>9.7000000000000003E-2</v>
      </c>
      <c r="E101" s="1866"/>
      <c r="F101" s="1865"/>
    </row>
    <row r="102" spans="1:6" ht="24.6" thickBot="1">
      <c r="A102" s="1852" t="s">
        <v>1407</v>
      </c>
      <c r="B102" s="1856" t="s">
        <v>2099</v>
      </c>
      <c r="C102" s="1866"/>
      <c r="D102" s="1866"/>
      <c r="E102" s="1866"/>
      <c r="F102" s="1858">
        <v>0.05</v>
      </c>
    </row>
    <row r="103" spans="1:6" ht="24.6" thickBot="1">
      <c r="A103" s="1852" t="s">
        <v>1407</v>
      </c>
      <c r="B103" s="1856" t="s">
        <v>2100</v>
      </c>
      <c r="C103" s="1866"/>
      <c r="D103" s="1866"/>
      <c r="E103" s="1866"/>
      <c r="F103" s="1858">
        <v>0.05</v>
      </c>
    </row>
    <row r="104" spans="1:6" ht="15" thickBot="1">
      <c r="A104" s="1852" t="s">
        <v>1407</v>
      </c>
      <c r="B104" s="1856" t="s">
        <v>2101</v>
      </c>
      <c r="C104" s="1866"/>
      <c r="D104" s="1866"/>
      <c r="E104" s="1866"/>
      <c r="F104" s="1858">
        <v>0.05</v>
      </c>
    </row>
    <row r="105" spans="1:6" ht="24.6" thickBot="1">
      <c r="A105" s="1852" t="s">
        <v>1407</v>
      </c>
      <c r="B105" s="1856" t="s">
        <v>2102</v>
      </c>
      <c r="C105" s="1866"/>
      <c r="D105" s="1866"/>
      <c r="E105" s="1866"/>
      <c r="F105" s="1858">
        <v>0.05</v>
      </c>
    </row>
    <row r="106" spans="1:6" ht="24.6" thickBot="1">
      <c r="A106" s="1852" t="s">
        <v>1407</v>
      </c>
      <c r="B106" s="1856" t="s">
        <v>2103</v>
      </c>
      <c r="C106" s="1866"/>
      <c r="D106" s="1866"/>
      <c r="E106" s="1866"/>
      <c r="F106" s="1858">
        <v>0.05</v>
      </c>
    </row>
    <row r="107" spans="1:6" ht="24.6" thickBot="1">
      <c r="A107" s="1852" t="s">
        <v>1407</v>
      </c>
      <c r="B107" s="1856" t="s">
        <v>2104</v>
      </c>
      <c r="C107" s="1866"/>
      <c r="D107" s="1866"/>
      <c r="E107" s="1866"/>
      <c r="F107" s="1858">
        <v>0.05</v>
      </c>
    </row>
    <row r="108" spans="1:6" ht="24.6" thickBot="1">
      <c r="A108" s="1852" t="s">
        <v>1407</v>
      </c>
      <c r="B108" s="1856" t="s">
        <v>2105</v>
      </c>
      <c r="C108" s="1866"/>
      <c r="D108" s="1866"/>
      <c r="E108" s="1866"/>
      <c r="F108" s="1858">
        <v>0.05</v>
      </c>
    </row>
    <row r="109" spans="1:6" ht="24.6" thickBot="1">
      <c r="A109" s="1860" t="s">
        <v>1407</v>
      </c>
      <c r="B109" s="1867" t="s">
        <v>2106</v>
      </c>
      <c r="C109" s="1863"/>
      <c r="D109" s="1863"/>
      <c r="E109" s="1863"/>
      <c r="F109" s="1868">
        <v>0.05</v>
      </c>
    </row>
    <row r="110" spans="1:6" ht="15" thickBot="1">
      <c r="A110" s="1852" t="s">
        <v>1409</v>
      </c>
      <c r="B110" s="1853" t="s">
        <v>2107</v>
      </c>
      <c r="C110" s="1854">
        <v>0.129</v>
      </c>
      <c r="D110" s="1854">
        <v>0.129</v>
      </c>
      <c r="E110" s="1854">
        <v>0.126</v>
      </c>
      <c r="F110" s="1855">
        <v>0.13</v>
      </c>
    </row>
    <row r="111" spans="1:6" ht="15" thickBot="1">
      <c r="A111" s="1852" t="s">
        <v>1409</v>
      </c>
      <c r="B111" s="1856" t="s">
        <v>1075</v>
      </c>
      <c r="C111" s="1857">
        <v>0.11</v>
      </c>
      <c r="D111" s="1857">
        <v>0.11</v>
      </c>
      <c r="E111" s="1857">
        <v>9.9000000000000005E-2</v>
      </c>
      <c r="F111" s="1858">
        <v>0.128</v>
      </c>
    </row>
    <row r="112" spans="1:6" ht="15" thickBot="1">
      <c r="A112" s="1852" t="s">
        <v>1409</v>
      </c>
      <c r="B112" s="1856" t="s">
        <v>1089</v>
      </c>
      <c r="C112" s="1857">
        <v>0.125</v>
      </c>
      <c r="D112" s="1857">
        <v>0.125</v>
      </c>
      <c r="E112" s="1857">
        <v>0.12</v>
      </c>
      <c r="F112" s="1858">
        <v>0.125</v>
      </c>
    </row>
    <row r="113" spans="1:6" ht="15" thickBot="1">
      <c r="A113" s="1852" t="s">
        <v>1409</v>
      </c>
      <c r="B113" s="1856" t="s">
        <v>1102</v>
      </c>
      <c r="C113" s="1857">
        <v>0.13</v>
      </c>
      <c r="D113" s="1857">
        <v>0.13</v>
      </c>
      <c r="E113" s="1857">
        <v>0.13</v>
      </c>
      <c r="F113" s="1858">
        <v>0.13</v>
      </c>
    </row>
    <row r="114" spans="1:6" ht="15" thickBot="1">
      <c r="A114" s="1852" t="s">
        <v>1409</v>
      </c>
      <c r="B114" s="1856" t="s">
        <v>1116</v>
      </c>
      <c r="C114" s="1857">
        <v>0.123</v>
      </c>
      <c r="D114" s="1857">
        <v>0.123</v>
      </c>
      <c r="E114" s="1857">
        <v>0.12</v>
      </c>
      <c r="F114" s="1858">
        <v>0.13</v>
      </c>
    </row>
    <row r="115" spans="1:6" ht="15" thickBot="1">
      <c r="A115" s="1852" t="s">
        <v>1409</v>
      </c>
      <c r="B115" s="1856" t="s">
        <v>1127</v>
      </c>
      <c r="C115" s="1857">
        <v>0.125</v>
      </c>
      <c r="D115" s="1857">
        <v>0.125</v>
      </c>
      <c r="E115" s="1857">
        <v>0.11700000000000001</v>
      </c>
      <c r="F115" s="1858">
        <v>0.13</v>
      </c>
    </row>
    <row r="116" spans="1:6" ht="15" thickBot="1">
      <c r="A116" s="1852" t="s">
        <v>1409</v>
      </c>
      <c r="B116" s="1856" t="s">
        <v>1138</v>
      </c>
      <c r="C116" s="1857">
        <v>0.11700000000000001</v>
      </c>
      <c r="D116" s="1857">
        <v>0.11700000000000001</v>
      </c>
      <c r="E116" s="1857">
        <v>8.7999999999999995E-2</v>
      </c>
      <c r="F116" s="1858">
        <v>0.13</v>
      </c>
    </row>
    <row r="117" spans="1:6" ht="15" thickBot="1">
      <c r="A117" s="1852" t="s">
        <v>1409</v>
      </c>
      <c r="B117" s="1856" t="s">
        <v>1149</v>
      </c>
      <c r="C117" s="1857">
        <v>0.13</v>
      </c>
      <c r="D117" s="1857">
        <v>0.13</v>
      </c>
      <c r="E117" s="1857">
        <v>0.129</v>
      </c>
      <c r="F117" s="1858">
        <v>0.13</v>
      </c>
    </row>
    <row r="118" spans="1:6" ht="15" thickBot="1">
      <c r="A118" s="1852" t="s">
        <v>1409</v>
      </c>
      <c r="B118" s="1856" t="s">
        <v>1161</v>
      </c>
      <c r="C118" s="1857">
        <v>0.123</v>
      </c>
      <c r="D118" s="1857">
        <v>0.123</v>
      </c>
      <c r="E118" s="1857">
        <v>0.11600000000000001</v>
      </c>
      <c r="F118" s="1858">
        <v>0.13</v>
      </c>
    </row>
    <row r="119" spans="1:6" ht="15" thickBot="1">
      <c r="A119" s="1852" t="s">
        <v>1409</v>
      </c>
      <c r="B119" s="1856" t="s">
        <v>1171</v>
      </c>
      <c r="C119" s="1857">
        <v>0.127</v>
      </c>
      <c r="D119" s="1857">
        <v>0.127</v>
      </c>
      <c r="E119" s="1857">
        <v>0.124</v>
      </c>
      <c r="F119" s="1858">
        <v>0.13</v>
      </c>
    </row>
    <row r="120" spans="1:6" ht="15" thickBot="1">
      <c r="A120" s="1852" t="s">
        <v>1409</v>
      </c>
      <c r="B120" s="1856" t="s">
        <v>1181</v>
      </c>
      <c r="C120" s="1857">
        <v>0.125</v>
      </c>
      <c r="D120" s="1857">
        <v>0.125</v>
      </c>
      <c r="E120" s="1857">
        <v>0.122</v>
      </c>
      <c r="F120" s="1858">
        <v>0.13</v>
      </c>
    </row>
    <row r="121" spans="1:6" ht="15" thickBot="1">
      <c r="A121" s="1852" t="s">
        <v>1409</v>
      </c>
      <c r="B121" s="1856" t="s">
        <v>1191</v>
      </c>
      <c r="C121" s="1857">
        <v>0.13</v>
      </c>
      <c r="D121" s="1857">
        <v>0.13</v>
      </c>
      <c r="E121" s="1857">
        <v>0.13</v>
      </c>
      <c r="F121" s="1858">
        <v>0.13</v>
      </c>
    </row>
    <row r="122" spans="1:6" ht="15" thickBot="1">
      <c r="A122" s="1852" t="s">
        <v>1409</v>
      </c>
      <c r="B122" s="1856" t="s">
        <v>1201</v>
      </c>
      <c r="C122" s="1857">
        <v>0.13</v>
      </c>
      <c r="D122" s="1857">
        <v>0.13</v>
      </c>
      <c r="E122" s="1857">
        <v>0.125</v>
      </c>
      <c r="F122" s="1858">
        <v>0.13</v>
      </c>
    </row>
    <row r="123" spans="1:6" ht="15" thickBot="1">
      <c r="A123" s="1852" t="s">
        <v>1409</v>
      </c>
      <c r="B123" s="1856" t="s">
        <v>1211</v>
      </c>
      <c r="C123" s="1857">
        <v>0.129</v>
      </c>
      <c r="D123" s="1857">
        <v>0.129</v>
      </c>
      <c r="E123" s="1857">
        <v>0.123</v>
      </c>
      <c r="F123" s="1858">
        <v>0.13</v>
      </c>
    </row>
    <row r="124" spans="1:6" ht="15" thickBot="1">
      <c r="A124" s="1852" t="s">
        <v>1409</v>
      </c>
      <c r="B124" s="1856" t="s">
        <v>1221</v>
      </c>
      <c r="C124" s="1857">
        <v>0.10199999999999999</v>
      </c>
      <c r="D124" s="1857">
        <v>0.10100000000000001</v>
      </c>
      <c r="E124" s="1857">
        <v>0.08</v>
      </c>
      <c r="F124" s="1865"/>
    </row>
    <row r="125" spans="1:6" ht="15" thickBot="1">
      <c r="A125" s="1852" t="s">
        <v>1409</v>
      </c>
      <c r="B125" s="1856" t="s">
        <v>1231</v>
      </c>
      <c r="C125" s="1857">
        <v>0.13</v>
      </c>
      <c r="D125" s="1857">
        <v>0.13</v>
      </c>
      <c r="E125" s="1857">
        <v>0.129</v>
      </c>
      <c r="F125" s="1865"/>
    </row>
    <row r="126" spans="1:6" ht="15" thickBot="1">
      <c r="A126" s="1852" t="s">
        <v>1409</v>
      </c>
      <c r="B126" s="1856" t="s">
        <v>1241</v>
      </c>
      <c r="C126" s="1857">
        <v>0.13</v>
      </c>
      <c r="D126" s="1857">
        <v>0.13</v>
      </c>
      <c r="E126" s="1857">
        <v>0.126</v>
      </c>
      <c r="F126" s="1865"/>
    </row>
    <row r="127" spans="1:6" ht="15" thickBot="1">
      <c r="A127" s="1852" t="s">
        <v>1409</v>
      </c>
      <c r="B127" s="1856" t="s">
        <v>1251</v>
      </c>
      <c r="C127" s="1857">
        <v>0.125</v>
      </c>
      <c r="D127" s="1857">
        <v>0.125</v>
      </c>
      <c r="E127" s="1857">
        <v>0.121</v>
      </c>
      <c r="F127" s="1865"/>
    </row>
    <row r="128" spans="1:6" ht="15" thickBot="1">
      <c r="A128" s="1852" t="s">
        <v>1409</v>
      </c>
      <c r="B128" s="1856" t="s">
        <v>1261</v>
      </c>
      <c r="C128" s="1857">
        <v>0.12</v>
      </c>
      <c r="D128" s="1857">
        <v>0.12</v>
      </c>
      <c r="E128" s="1857">
        <v>0.105</v>
      </c>
      <c r="F128" s="1865"/>
    </row>
    <row r="129" spans="1:6" ht="15" thickBot="1">
      <c r="A129" s="1852" t="s">
        <v>1409</v>
      </c>
      <c r="B129" s="1856" t="s">
        <v>1270</v>
      </c>
      <c r="C129" s="1857">
        <v>0.13</v>
      </c>
      <c r="D129" s="1857">
        <v>0.13</v>
      </c>
      <c r="E129" s="1857">
        <v>0.126</v>
      </c>
      <c r="F129" s="1865"/>
    </row>
    <row r="130" spans="1:6" ht="15" thickBot="1">
      <c r="A130" s="1852" t="s">
        <v>1409</v>
      </c>
      <c r="B130" s="1856" t="s">
        <v>1279</v>
      </c>
      <c r="C130" s="1857">
        <v>0.125</v>
      </c>
      <c r="D130" s="1857">
        <v>0.125</v>
      </c>
      <c r="E130" s="1857">
        <v>0.122</v>
      </c>
      <c r="F130" s="1865"/>
    </row>
    <row r="131" spans="1:6" ht="15" thickBot="1">
      <c r="A131" s="1852" t="s">
        <v>1409</v>
      </c>
      <c r="B131" s="1856" t="s">
        <v>1287</v>
      </c>
      <c r="C131" s="1857">
        <v>0.127</v>
      </c>
      <c r="D131" s="1857">
        <v>0.126</v>
      </c>
      <c r="E131" s="1857">
        <v>0.123</v>
      </c>
      <c r="F131" s="1865"/>
    </row>
    <row r="132" spans="1:6" ht="15" thickBot="1">
      <c r="A132" s="1852" t="s">
        <v>1409</v>
      </c>
      <c r="B132" s="1856" t="s">
        <v>1294</v>
      </c>
      <c r="C132" s="1857">
        <v>9.0999999999999998E-2</v>
      </c>
      <c r="D132" s="1857">
        <v>0.121</v>
      </c>
      <c r="E132" s="1857">
        <v>9.9000000000000005E-2</v>
      </c>
      <c r="F132" s="1865"/>
    </row>
    <row r="133" spans="1:6" ht="15" thickBot="1">
      <c r="A133" s="1852" t="s">
        <v>1409</v>
      </c>
      <c r="B133" s="1856" t="s">
        <v>1301</v>
      </c>
      <c r="C133" s="1857">
        <v>0.13</v>
      </c>
      <c r="D133" s="1857">
        <v>0.13</v>
      </c>
      <c r="E133" s="1857">
        <v>0.129</v>
      </c>
      <c r="F133" s="1865"/>
    </row>
    <row r="134" spans="1:6" ht="15" thickBot="1">
      <c r="A134" s="1852" t="s">
        <v>1409</v>
      </c>
      <c r="B134" s="1856" t="s">
        <v>2108</v>
      </c>
      <c r="C134" s="1857">
        <v>6.8000000000000005E-2</v>
      </c>
      <c r="D134" s="1857">
        <v>6.5000000000000002E-2</v>
      </c>
      <c r="E134" s="1857">
        <v>6.5000000000000002E-2</v>
      </c>
      <c r="F134" s="1858">
        <v>0.13</v>
      </c>
    </row>
    <row r="135" spans="1:6" ht="15" thickBot="1">
      <c r="A135" s="1852" t="s">
        <v>1409</v>
      </c>
      <c r="B135" s="1856" t="s">
        <v>1315</v>
      </c>
      <c r="C135" s="1857">
        <v>0.123</v>
      </c>
      <c r="D135" s="1857">
        <v>0.123</v>
      </c>
      <c r="E135" s="1857">
        <v>0.11</v>
      </c>
      <c r="F135" s="1865"/>
    </row>
    <row r="136" spans="1:6" ht="15" thickBot="1">
      <c r="A136" s="1852" t="s">
        <v>1409</v>
      </c>
      <c r="B136" s="1856" t="s">
        <v>1322</v>
      </c>
      <c r="C136" s="1857">
        <v>0.13</v>
      </c>
      <c r="D136" s="1857">
        <v>0.13</v>
      </c>
      <c r="E136" s="1857">
        <v>0.125</v>
      </c>
      <c r="F136" s="1865"/>
    </row>
    <row r="137" spans="1:6" ht="15" thickBot="1">
      <c r="A137" s="1852" t="s">
        <v>1409</v>
      </c>
      <c r="B137" s="1856" t="s">
        <v>1329</v>
      </c>
      <c r="C137" s="1857">
        <v>0.121</v>
      </c>
      <c r="D137" s="1857">
        <v>0.122</v>
      </c>
      <c r="E137" s="1857">
        <v>0.115</v>
      </c>
      <c r="F137" s="1865"/>
    </row>
    <row r="138" spans="1:6" ht="15" thickBot="1">
      <c r="A138" s="1852" t="s">
        <v>1409</v>
      </c>
      <c r="B138" s="1856" t="s">
        <v>2109</v>
      </c>
      <c r="C138" s="1857">
        <v>0.105</v>
      </c>
      <c r="D138" s="1857">
        <v>0.125</v>
      </c>
      <c r="E138" s="1857">
        <v>0.112</v>
      </c>
      <c r="F138" s="1865"/>
    </row>
    <row r="139" spans="1:6" ht="15" thickBot="1">
      <c r="A139" s="1852" t="s">
        <v>1409</v>
      </c>
      <c r="B139" s="1856" t="s">
        <v>2110</v>
      </c>
      <c r="C139" s="1857">
        <v>0.127</v>
      </c>
      <c r="D139" s="1857">
        <v>0.127</v>
      </c>
      <c r="E139" s="1857">
        <v>0.122</v>
      </c>
      <c r="F139" s="1858">
        <v>0.13</v>
      </c>
    </row>
    <row r="140" spans="1:6" ht="15" thickBot="1">
      <c r="A140" s="1852" t="s">
        <v>1409</v>
      </c>
      <c r="B140" s="1856" t="s">
        <v>2111</v>
      </c>
      <c r="C140" s="1857">
        <v>0.125</v>
      </c>
      <c r="D140" s="1857">
        <v>0.125</v>
      </c>
      <c r="E140" s="1857">
        <v>0.11899999999999999</v>
      </c>
      <c r="F140" s="1858">
        <v>0.13</v>
      </c>
    </row>
    <row r="141" spans="1:6" ht="15" thickBot="1">
      <c r="A141" s="1852" t="s">
        <v>1409</v>
      </c>
      <c r="B141" s="1856" t="s">
        <v>1348</v>
      </c>
      <c r="C141" s="1857">
        <v>0.125</v>
      </c>
      <c r="D141" s="1857">
        <v>0.125</v>
      </c>
      <c r="E141" s="1857">
        <v>0.11700000000000001</v>
      </c>
      <c r="F141" s="1865"/>
    </row>
    <row r="142" spans="1:6" ht="15" thickBot="1">
      <c r="A142" s="1852" t="s">
        <v>1409</v>
      </c>
      <c r="B142" s="1856" t="s">
        <v>1353</v>
      </c>
      <c r="C142" s="1857">
        <v>0.125</v>
      </c>
      <c r="D142" s="1857">
        <v>0.125</v>
      </c>
      <c r="E142" s="1857">
        <v>0.115</v>
      </c>
      <c r="F142" s="1865"/>
    </row>
    <row r="143" spans="1:6" ht="15" thickBot="1">
      <c r="A143" s="1852" t="s">
        <v>1409</v>
      </c>
      <c r="B143" s="1856" t="s">
        <v>1358</v>
      </c>
      <c r="C143" s="1857">
        <v>0.121</v>
      </c>
      <c r="D143" s="1857">
        <v>0.121</v>
      </c>
      <c r="E143" s="1857">
        <v>0.108</v>
      </c>
      <c r="F143" s="1865"/>
    </row>
    <row r="144" spans="1:6" ht="15" thickBot="1">
      <c r="A144" s="1852" t="s">
        <v>1409</v>
      </c>
      <c r="B144" s="1869" t="s">
        <v>2112</v>
      </c>
      <c r="C144" s="1870">
        <v>0.126</v>
      </c>
      <c r="D144" s="1870">
        <v>0.126</v>
      </c>
      <c r="E144" s="1870">
        <v>0.121</v>
      </c>
      <c r="F144" s="1865"/>
    </row>
    <row r="145" spans="1:6" ht="15" thickBot="1">
      <c r="A145" s="1860" t="s">
        <v>1409</v>
      </c>
      <c r="B145" s="1871" t="s">
        <v>2113</v>
      </c>
      <c r="C145" s="1872"/>
      <c r="D145" s="1872"/>
      <c r="E145" s="1872"/>
      <c r="F145" s="1873">
        <v>0.05</v>
      </c>
    </row>
    <row r="146" spans="1:6" ht="24.6" thickBot="1">
      <c r="A146" s="1874" t="s">
        <v>1409</v>
      </c>
      <c r="B146" s="1859" t="s">
        <v>2114</v>
      </c>
      <c r="C146" s="1866"/>
      <c r="D146" s="1866"/>
      <c r="E146" s="1866"/>
      <c r="F146" s="1875">
        <v>0.05</v>
      </c>
    </row>
    <row r="147" spans="1:6" ht="24.6" thickBot="1">
      <c r="A147" s="1852" t="s">
        <v>1409</v>
      </c>
      <c r="B147" s="1856" t="s">
        <v>2115</v>
      </c>
      <c r="C147" s="1866"/>
      <c r="D147" s="1866"/>
      <c r="E147" s="1866"/>
      <c r="F147" s="1858">
        <v>0.05</v>
      </c>
    </row>
    <row r="148" spans="1:6" ht="24.6" thickBot="1">
      <c r="A148" s="1852" t="s">
        <v>1409</v>
      </c>
      <c r="B148" s="1856" t="s">
        <v>2116</v>
      </c>
      <c r="C148" s="1866"/>
      <c r="D148" s="1866"/>
      <c r="E148" s="1866"/>
      <c r="F148" s="1858">
        <v>0.05</v>
      </c>
    </row>
    <row r="149" spans="1:6" ht="24.6" thickBot="1">
      <c r="A149" s="1852" t="s">
        <v>1409</v>
      </c>
      <c r="B149" s="1856" t="s">
        <v>2117</v>
      </c>
      <c r="C149" s="1866"/>
      <c r="D149" s="1866"/>
      <c r="E149" s="1866"/>
      <c r="F149" s="1858">
        <v>0.05</v>
      </c>
    </row>
    <row r="150" spans="1:6" ht="24.6" thickBot="1">
      <c r="A150" s="1852" t="s">
        <v>1409</v>
      </c>
      <c r="B150" s="1856" t="s">
        <v>2118</v>
      </c>
      <c r="C150" s="1866"/>
      <c r="D150" s="1866"/>
      <c r="E150" s="1866"/>
      <c r="F150" s="1858">
        <v>0.05</v>
      </c>
    </row>
    <row r="151" spans="1:6" ht="24.6" thickBot="1">
      <c r="A151" s="1852" t="s">
        <v>1409</v>
      </c>
      <c r="B151" s="1856" t="s">
        <v>2119</v>
      </c>
      <c r="C151" s="1866"/>
      <c r="D151" s="1866"/>
      <c r="E151" s="1866"/>
      <c r="F151" s="1858">
        <v>0.05</v>
      </c>
    </row>
    <row r="152" spans="1:6" ht="24.6" thickBot="1">
      <c r="A152" s="1852" t="s">
        <v>1409</v>
      </c>
      <c r="B152" s="1856" t="s">
        <v>1391</v>
      </c>
      <c r="C152" s="1866"/>
      <c r="D152" s="1866"/>
      <c r="E152" s="1866"/>
      <c r="F152" s="1858">
        <v>0.05</v>
      </c>
    </row>
    <row r="153" spans="1:6" ht="15" thickBot="1">
      <c r="A153" s="1852" t="s">
        <v>1409</v>
      </c>
      <c r="B153" s="1856" t="s">
        <v>2120</v>
      </c>
      <c r="C153" s="1866"/>
      <c r="D153" s="1866"/>
      <c r="E153" s="1866"/>
      <c r="F153" s="1858">
        <v>0.05</v>
      </c>
    </row>
    <row r="154" spans="1:6" ht="15" thickBot="1">
      <c r="A154" s="1852" t="s">
        <v>1409</v>
      </c>
      <c r="B154" s="1856" t="s">
        <v>2121</v>
      </c>
      <c r="C154" s="1866"/>
      <c r="D154" s="1866"/>
      <c r="E154" s="1866"/>
      <c r="F154" s="1858">
        <v>0.05</v>
      </c>
    </row>
    <row r="155" spans="1:6" ht="24.6" thickBot="1">
      <c r="A155" s="1852" t="s">
        <v>1409</v>
      </c>
      <c r="B155" s="1856" t="s">
        <v>2122</v>
      </c>
      <c r="C155" s="1866"/>
      <c r="D155" s="1866"/>
      <c r="E155" s="1866"/>
      <c r="F155" s="1858">
        <v>0.05</v>
      </c>
    </row>
    <row r="156" spans="1:6" ht="24.6" thickBot="1">
      <c r="A156" s="1852" t="s">
        <v>1409</v>
      </c>
      <c r="B156" s="1856" t="s">
        <v>2123</v>
      </c>
      <c r="C156" s="1866"/>
      <c r="D156" s="1866"/>
      <c r="E156" s="1866"/>
      <c r="F156" s="1858">
        <v>0.05</v>
      </c>
    </row>
    <row r="157" spans="1:6" ht="24.6" thickBot="1">
      <c r="A157" s="1860" t="s">
        <v>1409</v>
      </c>
      <c r="B157" s="1867" t="s">
        <v>2124</v>
      </c>
      <c r="C157" s="1863"/>
      <c r="D157" s="1863"/>
      <c r="E157" s="1863"/>
      <c r="F157" s="1868">
        <v>0.05</v>
      </c>
    </row>
    <row r="158" spans="1:6" ht="15" thickBot="1">
      <c r="A158" s="1852" t="s">
        <v>1411</v>
      </c>
      <c r="B158" s="1853" t="s">
        <v>2125</v>
      </c>
      <c r="C158" s="1854">
        <v>0.13</v>
      </c>
      <c r="D158" s="1854">
        <v>0.13</v>
      </c>
      <c r="E158" s="1854">
        <v>0.13</v>
      </c>
      <c r="F158" s="1855">
        <v>0.13</v>
      </c>
    </row>
    <row r="159" spans="1:6" ht="15" thickBot="1">
      <c r="A159" s="1852" t="s">
        <v>1411</v>
      </c>
      <c r="B159" s="1856" t="s">
        <v>1076</v>
      </c>
      <c r="C159" s="1857">
        <v>0.13</v>
      </c>
      <c r="D159" s="1857">
        <v>0.13</v>
      </c>
      <c r="E159" s="1857">
        <v>0.13</v>
      </c>
      <c r="F159" s="1858">
        <v>0.13</v>
      </c>
    </row>
    <row r="160" spans="1:6" ht="15" thickBot="1">
      <c r="A160" s="1852" t="s">
        <v>1411</v>
      </c>
      <c r="B160" s="1856" t="s">
        <v>1090</v>
      </c>
      <c r="C160" s="1857">
        <v>0.13</v>
      </c>
      <c r="D160" s="1857">
        <v>0.13</v>
      </c>
      <c r="E160" s="1857">
        <v>0.129</v>
      </c>
      <c r="F160" s="1858">
        <v>0.13</v>
      </c>
    </row>
    <row r="161" spans="1:6" ht="15" thickBot="1">
      <c r="A161" s="1852" t="s">
        <v>1411</v>
      </c>
      <c r="B161" s="1856" t="s">
        <v>1103</v>
      </c>
      <c r="C161" s="1857">
        <v>0.128</v>
      </c>
      <c r="D161" s="1857">
        <v>0.128</v>
      </c>
      <c r="E161" s="1857">
        <v>0.125</v>
      </c>
      <c r="F161" s="1858">
        <v>0.13</v>
      </c>
    </row>
    <row r="162" spans="1:6" ht="15" thickBot="1">
      <c r="A162" s="1852" t="s">
        <v>1411</v>
      </c>
      <c r="B162" s="1856" t="s">
        <v>1117</v>
      </c>
      <c r="C162" s="1857">
        <v>0.122</v>
      </c>
      <c r="D162" s="1857">
        <v>0.122</v>
      </c>
      <c r="E162" s="1857">
        <v>0.126</v>
      </c>
      <c r="F162" s="1858">
        <v>0.122</v>
      </c>
    </row>
    <row r="163" spans="1:6" ht="15" thickBot="1">
      <c r="A163" s="1852" t="s">
        <v>1411</v>
      </c>
      <c r="B163" s="1856" t="s">
        <v>1128</v>
      </c>
      <c r="C163" s="1857">
        <v>0.13</v>
      </c>
      <c r="D163" s="1857">
        <v>0.13</v>
      </c>
      <c r="E163" s="1857">
        <v>0.125</v>
      </c>
      <c r="F163" s="1858">
        <v>0.13</v>
      </c>
    </row>
    <row r="164" spans="1:6" ht="15" thickBot="1">
      <c r="A164" s="1852" t="s">
        <v>1411</v>
      </c>
      <c r="B164" s="1856" t="s">
        <v>1139</v>
      </c>
      <c r="C164" s="1857">
        <v>0.13</v>
      </c>
      <c r="D164" s="1857">
        <v>0.13</v>
      </c>
      <c r="E164" s="1857">
        <v>0.13</v>
      </c>
      <c r="F164" s="1858">
        <v>0.13</v>
      </c>
    </row>
    <row r="165" spans="1:6" ht="15" thickBot="1">
      <c r="A165" s="1852" t="s">
        <v>1411</v>
      </c>
      <c r="B165" s="1856" t="s">
        <v>1150</v>
      </c>
      <c r="C165" s="1857">
        <v>0.13</v>
      </c>
      <c r="D165" s="1857">
        <v>0.13</v>
      </c>
      <c r="E165" s="1857">
        <v>0.124</v>
      </c>
      <c r="F165" s="1858">
        <v>0.13</v>
      </c>
    </row>
    <row r="166" spans="1:6" ht="15" thickBot="1">
      <c r="A166" s="1852" t="s">
        <v>1411</v>
      </c>
      <c r="B166" s="1856" t="s">
        <v>1162</v>
      </c>
      <c r="C166" s="1857">
        <v>0.13</v>
      </c>
      <c r="D166" s="1857">
        <v>0.13</v>
      </c>
      <c r="E166" s="1857">
        <v>0.13</v>
      </c>
      <c r="F166" s="1858">
        <v>0.13</v>
      </c>
    </row>
    <row r="167" spans="1:6" ht="15" thickBot="1">
      <c r="A167" s="1852" t="s">
        <v>1411</v>
      </c>
      <c r="B167" s="1856" t="s">
        <v>1172</v>
      </c>
      <c r="C167" s="1857">
        <v>0.125</v>
      </c>
      <c r="D167" s="1857">
        <v>0.125</v>
      </c>
      <c r="E167" s="1857">
        <v>0.121</v>
      </c>
      <c r="F167" s="1865"/>
    </row>
    <row r="168" spans="1:6" ht="15" thickBot="1">
      <c r="A168" s="1852" t="s">
        <v>1411</v>
      </c>
      <c r="B168" s="1856" t="s">
        <v>1182</v>
      </c>
      <c r="C168" s="1857">
        <v>0.13</v>
      </c>
      <c r="D168" s="1857">
        <v>0.13</v>
      </c>
      <c r="E168" s="1857">
        <v>0.126</v>
      </c>
      <c r="F168" s="1865"/>
    </row>
    <row r="169" spans="1:6" ht="15" thickBot="1">
      <c r="A169" s="1852" t="s">
        <v>1411</v>
      </c>
      <c r="B169" s="1856" t="s">
        <v>1192</v>
      </c>
      <c r="C169" s="1857">
        <v>0.128</v>
      </c>
      <c r="D169" s="1857">
        <v>0.129</v>
      </c>
      <c r="E169" s="1857">
        <v>0.13</v>
      </c>
      <c r="F169" s="1865"/>
    </row>
    <row r="170" spans="1:6" ht="15" thickBot="1">
      <c r="A170" s="1852" t="s">
        <v>1411</v>
      </c>
      <c r="B170" s="1856" t="s">
        <v>1202</v>
      </c>
      <c r="C170" s="1857">
        <v>0.14099999999999999</v>
      </c>
      <c r="D170" s="1857">
        <v>0.13</v>
      </c>
      <c r="E170" s="1857">
        <v>0.125</v>
      </c>
      <c r="F170" s="1865"/>
    </row>
    <row r="171" spans="1:6" ht="15" thickBot="1">
      <c r="A171" s="1852" t="s">
        <v>1411</v>
      </c>
      <c r="B171" s="1856" t="s">
        <v>2126</v>
      </c>
      <c r="C171" s="1857">
        <v>0.127</v>
      </c>
      <c r="D171" s="1857">
        <v>0.126</v>
      </c>
      <c r="E171" s="1857">
        <v>0.126</v>
      </c>
      <c r="F171" s="1858">
        <v>0.11799999999999999</v>
      </c>
    </row>
    <row r="172" spans="1:6" ht="15" thickBot="1">
      <c r="A172" s="1852" t="s">
        <v>1411</v>
      </c>
      <c r="B172" s="1856" t="s">
        <v>2127</v>
      </c>
      <c r="C172" s="1857">
        <v>0.13</v>
      </c>
      <c r="D172" s="1857">
        <v>0.13</v>
      </c>
      <c r="E172" s="1857">
        <v>0.13</v>
      </c>
      <c r="F172" s="1865"/>
    </row>
    <row r="173" spans="1:6" ht="15" thickBot="1">
      <c r="A173" s="1852" t="s">
        <v>1411</v>
      </c>
      <c r="B173" s="1856" t="s">
        <v>1232</v>
      </c>
      <c r="C173" s="1857">
        <v>0.13</v>
      </c>
      <c r="D173" s="1857">
        <v>0.13</v>
      </c>
      <c r="E173" s="1857">
        <v>0.13</v>
      </c>
      <c r="F173" s="1865"/>
    </row>
    <row r="174" spans="1:6" ht="15" thickBot="1">
      <c r="A174" s="1852" t="s">
        <v>1411</v>
      </c>
      <c r="B174" s="1856" t="s">
        <v>2128</v>
      </c>
      <c r="C174" s="1857">
        <v>0.13</v>
      </c>
      <c r="D174" s="1857">
        <v>0.13</v>
      </c>
      <c r="E174" s="1857">
        <v>0.13</v>
      </c>
      <c r="F174" s="1858">
        <v>0.13</v>
      </c>
    </row>
    <row r="175" spans="1:6" ht="15" thickBot="1">
      <c r="A175" s="1852" t="s">
        <v>1411</v>
      </c>
      <c r="B175" s="1856" t="s">
        <v>2129</v>
      </c>
      <c r="C175" s="1857">
        <v>0.13</v>
      </c>
      <c r="D175" s="1857">
        <v>0.13</v>
      </c>
      <c r="E175" s="1857">
        <v>0.13</v>
      </c>
      <c r="F175" s="1858">
        <v>0.13</v>
      </c>
    </row>
    <row r="176" spans="1:6" ht="15" thickBot="1">
      <c r="A176" s="1852" t="s">
        <v>1411</v>
      </c>
      <c r="B176" s="1856" t="s">
        <v>1262</v>
      </c>
      <c r="C176" s="1857">
        <v>0.13</v>
      </c>
      <c r="D176" s="1857">
        <v>0.13</v>
      </c>
      <c r="E176" s="1857">
        <v>0.13</v>
      </c>
      <c r="F176" s="1858">
        <v>0.13</v>
      </c>
    </row>
    <row r="177" spans="1:6" ht="15" thickBot="1">
      <c r="A177" s="1852" t="s">
        <v>1411</v>
      </c>
      <c r="B177" s="1856" t="s">
        <v>2130</v>
      </c>
      <c r="C177" s="1857">
        <v>0.13</v>
      </c>
      <c r="D177" s="1857">
        <v>0.13</v>
      </c>
      <c r="E177" s="1857">
        <v>0.13</v>
      </c>
      <c r="F177" s="1858">
        <v>0.13</v>
      </c>
    </row>
    <row r="178" spans="1:6" ht="15" thickBot="1">
      <c r="A178" s="1852" t="s">
        <v>1411</v>
      </c>
      <c r="B178" s="1856" t="s">
        <v>1280</v>
      </c>
      <c r="C178" s="1857">
        <v>0.13</v>
      </c>
      <c r="D178" s="1857">
        <v>0.13</v>
      </c>
      <c r="E178" s="1857">
        <v>0.13</v>
      </c>
      <c r="F178" s="1858">
        <v>0.127</v>
      </c>
    </row>
    <row r="179" spans="1:6" ht="15" thickBot="1">
      <c r="A179" s="1852" t="s">
        <v>1411</v>
      </c>
      <c r="B179" s="1856" t="s">
        <v>1288</v>
      </c>
      <c r="C179" s="1857">
        <v>0.13</v>
      </c>
      <c r="D179" s="1857">
        <v>0.13</v>
      </c>
      <c r="E179" s="1857">
        <v>0.13</v>
      </c>
      <c r="F179" s="1865"/>
    </row>
    <row r="180" spans="1:6" ht="15" thickBot="1">
      <c r="A180" s="1852" t="s">
        <v>1411</v>
      </c>
      <c r="B180" s="1856" t="s">
        <v>2131</v>
      </c>
      <c r="C180" s="1857">
        <v>0.13</v>
      </c>
      <c r="D180" s="1857">
        <v>0.13</v>
      </c>
      <c r="E180" s="1857">
        <v>0.125</v>
      </c>
      <c r="F180" s="1858">
        <v>0.13</v>
      </c>
    </row>
    <row r="181" spans="1:6" ht="15" thickBot="1">
      <c r="A181" s="1852" t="s">
        <v>1411</v>
      </c>
      <c r="B181" s="1856" t="s">
        <v>1302</v>
      </c>
      <c r="C181" s="1857">
        <v>0.122</v>
      </c>
      <c r="D181" s="1857">
        <v>0.123</v>
      </c>
      <c r="E181" s="1857">
        <v>0.126</v>
      </c>
      <c r="F181" s="1858">
        <v>0.121</v>
      </c>
    </row>
    <row r="182" spans="1:6" ht="15" thickBot="1">
      <c r="A182" s="1852" t="s">
        <v>1411</v>
      </c>
      <c r="B182" s="1856" t="s">
        <v>1309</v>
      </c>
      <c r="C182" s="1857">
        <v>0.125</v>
      </c>
      <c r="D182" s="1857">
        <v>0.125</v>
      </c>
      <c r="E182" s="1857">
        <v>0.11700000000000001</v>
      </c>
      <c r="F182" s="1858">
        <v>0.13</v>
      </c>
    </row>
    <row r="183" spans="1:6" ht="15" thickBot="1">
      <c r="A183" s="1852" t="s">
        <v>1411</v>
      </c>
      <c r="B183" s="1856" t="s">
        <v>1316</v>
      </c>
      <c r="C183" s="1857">
        <v>0.127</v>
      </c>
      <c r="D183" s="1857">
        <v>0.127</v>
      </c>
      <c r="E183" s="1857">
        <v>0.128</v>
      </c>
      <c r="F183" s="1865"/>
    </row>
    <row r="184" spans="1:6" ht="15" thickBot="1">
      <c r="A184" s="1852" t="s">
        <v>1411</v>
      </c>
      <c r="B184" s="1856" t="s">
        <v>1323</v>
      </c>
      <c r="C184" s="1857">
        <v>0.125</v>
      </c>
      <c r="D184" s="1857">
        <v>0.125</v>
      </c>
      <c r="E184" s="1857">
        <v>0.127</v>
      </c>
      <c r="F184" s="1865"/>
    </row>
    <row r="185" spans="1:6" ht="15" thickBot="1">
      <c r="A185" s="1852" t="s">
        <v>1411</v>
      </c>
      <c r="B185" s="1856" t="s">
        <v>2132</v>
      </c>
      <c r="C185" s="1857">
        <v>0.127</v>
      </c>
      <c r="D185" s="1857">
        <v>0.127</v>
      </c>
      <c r="E185" s="1857">
        <v>0.128</v>
      </c>
      <c r="F185" s="1858">
        <v>0.13</v>
      </c>
    </row>
    <row r="186" spans="1:6" ht="24.6" thickBot="1">
      <c r="A186" s="1852" t="s">
        <v>1411</v>
      </c>
      <c r="B186" s="1856" t="s">
        <v>2133</v>
      </c>
      <c r="C186" s="1866"/>
      <c r="D186" s="1866"/>
      <c r="E186" s="1866"/>
      <c r="F186" s="1858">
        <v>0.05</v>
      </c>
    </row>
    <row r="187" spans="1:6" ht="15" thickBot="1">
      <c r="A187" s="1852" t="s">
        <v>1411</v>
      </c>
      <c r="B187" s="1856" t="s">
        <v>2134</v>
      </c>
      <c r="C187" s="1866"/>
      <c r="D187" s="1866"/>
      <c r="E187" s="1866"/>
      <c r="F187" s="1858">
        <v>0.05</v>
      </c>
    </row>
    <row r="188" spans="1:6" ht="24.6" thickBot="1">
      <c r="A188" s="1852" t="s">
        <v>1411</v>
      </c>
      <c r="B188" s="1856" t="s">
        <v>2135</v>
      </c>
      <c r="C188" s="1866"/>
      <c r="D188" s="1866"/>
      <c r="E188" s="1866"/>
      <c r="F188" s="1858">
        <v>0.05</v>
      </c>
    </row>
    <row r="189" spans="1:6" ht="24.6" thickBot="1">
      <c r="A189" s="1852" t="s">
        <v>1411</v>
      </c>
      <c r="B189" s="1856" t="s">
        <v>2136</v>
      </c>
      <c r="C189" s="1866"/>
      <c r="D189" s="1866"/>
      <c r="E189" s="1866"/>
      <c r="F189" s="1858">
        <v>0.05</v>
      </c>
    </row>
    <row r="190" spans="1:6" ht="24.6" thickBot="1">
      <c r="A190" s="1852" t="s">
        <v>1411</v>
      </c>
      <c r="B190" s="1856" t="s">
        <v>2137</v>
      </c>
      <c r="C190" s="1866"/>
      <c r="D190" s="1866"/>
      <c r="E190" s="1866"/>
      <c r="F190" s="1858">
        <v>0.05</v>
      </c>
    </row>
    <row r="191" spans="1:6" ht="24.6" thickBot="1">
      <c r="A191" s="1852" t="s">
        <v>1411</v>
      </c>
      <c r="B191" s="1856" t="s">
        <v>2138</v>
      </c>
      <c r="C191" s="1866"/>
      <c r="D191" s="1866"/>
      <c r="E191" s="1866"/>
      <c r="F191" s="1858">
        <v>0.05</v>
      </c>
    </row>
    <row r="192" spans="1:6" ht="24.6" thickBot="1">
      <c r="A192" s="1852" t="s">
        <v>1411</v>
      </c>
      <c r="B192" s="1856" t="s">
        <v>2139</v>
      </c>
      <c r="C192" s="1866"/>
      <c r="D192" s="1866"/>
      <c r="E192" s="1866"/>
      <c r="F192" s="1858">
        <v>0.05</v>
      </c>
    </row>
    <row r="193" spans="1:6" ht="24.6" thickBot="1">
      <c r="A193" s="1852" t="s">
        <v>1411</v>
      </c>
      <c r="B193" s="1856" t="s">
        <v>2140</v>
      </c>
      <c r="C193" s="1866"/>
      <c r="D193" s="1866"/>
      <c r="E193" s="1866"/>
      <c r="F193" s="1858">
        <v>0.05</v>
      </c>
    </row>
    <row r="194" spans="1:6" ht="24.6" thickBot="1">
      <c r="A194" s="1852" t="s">
        <v>1411</v>
      </c>
      <c r="B194" s="1856" t="s">
        <v>2141</v>
      </c>
      <c r="C194" s="1866"/>
      <c r="D194" s="1866"/>
      <c r="E194" s="1866"/>
      <c r="F194" s="1858">
        <v>0.05</v>
      </c>
    </row>
    <row r="195" spans="1:6" ht="15" thickBot="1">
      <c r="A195" s="1852" t="s">
        <v>1411</v>
      </c>
      <c r="B195" s="1856" t="s">
        <v>2142</v>
      </c>
      <c r="C195" s="1866"/>
      <c r="D195" s="1866"/>
      <c r="E195" s="1866"/>
      <c r="F195" s="1858">
        <v>0.05</v>
      </c>
    </row>
    <row r="196" spans="1:6" ht="24.6" thickBot="1">
      <c r="A196" s="1852" t="s">
        <v>1411</v>
      </c>
      <c r="B196" s="1856" t="s">
        <v>2143</v>
      </c>
      <c r="C196" s="1866"/>
      <c r="D196" s="1866"/>
      <c r="E196" s="1866"/>
      <c r="F196" s="1858">
        <v>0.05</v>
      </c>
    </row>
    <row r="197" spans="1:6" ht="24.6" thickBot="1">
      <c r="A197" s="1852" t="s">
        <v>1411</v>
      </c>
      <c r="B197" s="1856" t="s">
        <v>2144</v>
      </c>
      <c r="C197" s="1866"/>
      <c r="D197" s="1866"/>
      <c r="E197" s="1866"/>
      <c r="F197" s="1858">
        <v>0.05</v>
      </c>
    </row>
    <row r="198" spans="1:6" ht="24.6" thickBot="1">
      <c r="A198" s="1852" t="s">
        <v>1411</v>
      </c>
      <c r="B198" s="1856" t="s">
        <v>2145</v>
      </c>
      <c r="C198" s="1866"/>
      <c r="D198" s="1866"/>
      <c r="E198" s="1866"/>
      <c r="F198" s="1858">
        <v>0.05</v>
      </c>
    </row>
    <row r="199" spans="1:6" ht="24.6" thickBot="1">
      <c r="A199" s="1852" t="s">
        <v>1411</v>
      </c>
      <c r="B199" s="1856" t="s">
        <v>2146</v>
      </c>
      <c r="C199" s="1866"/>
      <c r="D199" s="1866"/>
      <c r="E199" s="1866"/>
      <c r="F199" s="1858">
        <v>0.05</v>
      </c>
    </row>
    <row r="200" spans="1:6" ht="24.6" thickBot="1">
      <c r="A200" s="1852" t="s">
        <v>1411</v>
      </c>
      <c r="B200" s="1856" t="s">
        <v>2147</v>
      </c>
      <c r="C200" s="1866"/>
      <c r="D200" s="1866"/>
      <c r="E200" s="1866"/>
      <c r="F200" s="1858">
        <v>0.05</v>
      </c>
    </row>
    <row r="201" spans="1:6" ht="24.6" thickBot="1">
      <c r="A201" s="1852" t="s">
        <v>1411</v>
      </c>
      <c r="B201" s="1856" t="s">
        <v>2148</v>
      </c>
      <c r="C201" s="1866"/>
      <c r="D201" s="1866"/>
      <c r="E201" s="1866"/>
      <c r="F201" s="1858">
        <v>0.05</v>
      </c>
    </row>
    <row r="202" spans="1:6" ht="24.6" thickBot="1">
      <c r="A202" s="1852" t="s">
        <v>1411</v>
      </c>
      <c r="B202" s="1856" t="s">
        <v>2149</v>
      </c>
      <c r="C202" s="1866"/>
      <c r="D202" s="1866"/>
      <c r="E202" s="1866"/>
      <c r="F202" s="1858">
        <v>0.05</v>
      </c>
    </row>
    <row r="203" spans="1:6" ht="24.6" thickBot="1">
      <c r="A203" s="1852" t="s">
        <v>1411</v>
      </c>
      <c r="B203" s="1856" t="s">
        <v>2150</v>
      </c>
      <c r="C203" s="1866"/>
      <c r="D203" s="1866"/>
      <c r="E203" s="1866"/>
      <c r="F203" s="1858">
        <v>0.05</v>
      </c>
    </row>
    <row r="204" spans="1:6" ht="15" thickBot="1">
      <c r="A204" s="1852" t="s">
        <v>1411</v>
      </c>
      <c r="B204" s="1856" t="s">
        <v>2151</v>
      </c>
      <c r="C204" s="1866"/>
      <c r="D204" s="1866"/>
      <c r="E204" s="1866"/>
      <c r="F204" s="1858">
        <v>0.05</v>
      </c>
    </row>
    <row r="205" spans="1:6" ht="15" thickBot="1">
      <c r="A205" s="1860" t="s">
        <v>1411</v>
      </c>
      <c r="B205" s="1867" t="s">
        <v>2152</v>
      </c>
      <c r="C205" s="1863"/>
      <c r="D205" s="1863"/>
      <c r="E205" s="1863"/>
      <c r="F205" s="1868">
        <v>0.05</v>
      </c>
    </row>
    <row r="206" spans="1:6" ht="15" thickBot="1">
      <c r="A206" s="1852" t="s">
        <v>1413</v>
      </c>
      <c r="B206" s="1853" t="s">
        <v>2153</v>
      </c>
      <c r="C206" s="1854">
        <v>0.15</v>
      </c>
      <c r="D206" s="1854">
        <v>0.15</v>
      </c>
      <c r="E206" s="1854">
        <v>0.15</v>
      </c>
      <c r="F206" s="1855">
        <v>0.15</v>
      </c>
    </row>
    <row r="207" spans="1:6" ht="15" thickBot="1">
      <c r="A207" s="1852" t="s">
        <v>1413</v>
      </c>
      <c r="B207" s="1856" t="s">
        <v>1077</v>
      </c>
      <c r="C207" s="1857">
        <v>0.15</v>
      </c>
      <c r="D207" s="1857">
        <v>0.15</v>
      </c>
      <c r="E207" s="1857">
        <v>0.15</v>
      </c>
      <c r="F207" s="1858">
        <v>0.14399999999999999</v>
      </c>
    </row>
    <row r="208" spans="1:6" ht="15" thickBot="1">
      <c r="A208" s="1852" t="s">
        <v>1413</v>
      </c>
      <c r="B208" s="1856" t="s">
        <v>1091</v>
      </c>
      <c r="C208" s="1857">
        <v>0.15</v>
      </c>
      <c r="D208" s="1857">
        <v>0.15</v>
      </c>
      <c r="E208" s="1857">
        <v>0.15</v>
      </c>
      <c r="F208" s="1858">
        <v>0.15</v>
      </c>
    </row>
    <row r="209" spans="1:6" ht="15" thickBot="1">
      <c r="A209" s="1852" t="s">
        <v>1413</v>
      </c>
      <c r="B209" s="1856" t="s">
        <v>1104</v>
      </c>
      <c r="C209" s="1857">
        <v>0.13700000000000001</v>
      </c>
      <c r="D209" s="1857">
        <v>0.13700000000000001</v>
      </c>
      <c r="E209" s="1857">
        <v>0.14000000000000001</v>
      </c>
      <c r="F209" s="1858">
        <v>0.11700000000000001</v>
      </c>
    </row>
    <row r="210" spans="1:6" ht="15" thickBot="1">
      <c r="A210" s="1852" t="s">
        <v>1413</v>
      </c>
      <c r="B210" s="1856" t="s">
        <v>2154</v>
      </c>
      <c r="C210" s="1857">
        <v>0.15</v>
      </c>
      <c r="D210" s="1857">
        <v>0.15</v>
      </c>
      <c r="E210" s="1857">
        <v>0.15</v>
      </c>
      <c r="F210" s="1858">
        <v>0.13800000000000001</v>
      </c>
    </row>
    <row r="211" spans="1:6" ht="15" thickBot="1">
      <c r="A211" s="1852" t="s">
        <v>1413</v>
      </c>
      <c r="B211" s="1856" t="s">
        <v>2155</v>
      </c>
      <c r="C211" s="1857">
        <v>0.13700000000000001</v>
      </c>
      <c r="D211" s="1857">
        <v>0.13500000000000001</v>
      </c>
      <c r="E211" s="1857">
        <v>0.13600000000000001</v>
      </c>
      <c r="F211" s="1858">
        <v>0.1</v>
      </c>
    </row>
    <row r="212" spans="1:6" ht="15" thickBot="1">
      <c r="A212" s="1852" t="s">
        <v>1413</v>
      </c>
      <c r="B212" s="1856" t="s">
        <v>2156</v>
      </c>
      <c r="C212" s="1857">
        <v>0.15</v>
      </c>
      <c r="D212" s="1857">
        <v>0.15</v>
      </c>
      <c r="E212" s="1857">
        <v>0.14799999999999999</v>
      </c>
      <c r="F212" s="1858">
        <v>0.13600000000000001</v>
      </c>
    </row>
    <row r="213" spans="1:6" ht="15" thickBot="1">
      <c r="A213" s="1852" t="s">
        <v>1413</v>
      </c>
      <c r="B213" s="1856" t="s">
        <v>1151</v>
      </c>
      <c r="C213" s="1857">
        <v>0.15</v>
      </c>
      <c r="D213" s="1857">
        <v>0.15</v>
      </c>
      <c r="E213" s="1857">
        <v>0.15</v>
      </c>
      <c r="F213" s="1858">
        <v>0.13800000000000001</v>
      </c>
    </row>
    <row r="214" spans="1:6" ht="15" thickBot="1">
      <c r="A214" s="1852" t="s">
        <v>1413</v>
      </c>
      <c r="B214" s="1856" t="s">
        <v>1163</v>
      </c>
      <c r="C214" s="1857">
        <v>9.0999999999999998E-2</v>
      </c>
      <c r="D214" s="1857">
        <v>0.09</v>
      </c>
      <c r="E214" s="1857">
        <v>9.1999999999999998E-2</v>
      </c>
      <c r="F214" s="1865"/>
    </row>
    <row r="215" spans="1:6" ht="15" thickBot="1">
      <c r="A215" s="1852" t="s">
        <v>1413</v>
      </c>
      <c r="B215" s="1856" t="s">
        <v>2157</v>
      </c>
      <c r="C215" s="1857">
        <v>0.15</v>
      </c>
      <c r="D215" s="1857">
        <v>0.15</v>
      </c>
      <c r="E215" s="1857">
        <v>0.15</v>
      </c>
      <c r="F215" s="1858">
        <v>0.15</v>
      </c>
    </row>
    <row r="216" spans="1:6" ht="15" thickBot="1">
      <c r="A216" s="1852" t="s">
        <v>1413</v>
      </c>
      <c r="B216" s="1856" t="s">
        <v>1183</v>
      </c>
      <c r="C216" s="1857">
        <v>0.14699999999999999</v>
      </c>
      <c r="D216" s="1857">
        <v>0.14699999999999999</v>
      </c>
      <c r="E216" s="1857">
        <v>0.15</v>
      </c>
      <c r="F216" s="1858">
        <v>0.14000000000000001</v>
      </c>
    </row>
    <row r="217" spans="1:6" ht="15" thickBot="1">
      <c r="A217" s="1852" t="s">
        <v>1413</v>
      </c>
      <c r="B217" s="1856" t="s">
        <v>1193</v>
      </c>
      <c r="C217" s="1857">
        <v>0.15</v>
      </c>
      <c r="D217" s="1857">
        <v>0.15</v>
      </c>
      <c r="E217" s="1857">
        <v>0.15</v>
      </c>
      <c r="F217" s="1858">
        <v>0.15</v>
      </c>
    </row>
    <row r="218" spans="1:6" ht="15" thickBot="1">
      <c r="A218" s="1852" t="s">
        <v>1413</v>
      </c>
      <c r="B218" s="1856" t="s">
        <v>2158</v>
      </c>
      <c r="C218" s="1857">
        <v>0.15</v>
      </c>
      <c r="D218" s="1857">
        <v>0.15</v>
      </c>
      <c r="E218" s="1857">
        <v>0.15</v>
      </c>
      <c r="F218" s="1858">
        <v>0.15</v>
      </c>
    </row>
    <row r="219" spans="1:6" ht="15" thickBot="1">
      <c r="A219" s="1852" t="s">
        <v>1413</v>
      </c>
      <c r="B219" s="1856" t="s">
        <v>1213</v>
      </c>
      <c r="C219" s="1857">
        <v>0.15</v>
      </c>
      <c r="D219" s="1857">
        <v>0.15</v>
      </c>
      <c r="E219" s="1857">
        <v>0.15</v>
      </c>
      <c r="F219" s="1858">
        <v>0.14799999999999999</v>
      </c>
    </row>
    <row r="220" spans="1:6" ht="15" thickBot="1">
      <c r="A220" s="1852" t="s">
        <v>1413</v>
      </c>
      <c r="B220" s="1856" t="s">
        <v>2159</v>
      </c>
      <c r="C220" s="1857">
        <v>0.15</v>
      </c>
      <c r="D220" s="1857">
        <v>0.15</v>
      </c>
      <c r="E220" s="1857">
        <v>0.15</v>
      </c>
      <c r="F220" s="1858">
        <v>0.15</v>
      </c>
    </row>
    <row r="221" spans="1:6" ht="15" thickBot="1">
      <c r="A221" s="1852" t="s">
        <v>1413</v>
      </c>
      <c r="B221" s="1856" t="s">
        <v>1233</v>
      </c>
      <c r="C221" s="1857"/>
      <c r="D221" s="1866"/>
      <c r="E221" s="1866"/>
      <c r="F221" s="1858">
        <v>0.14799999999999999</v>
      </c>
    </row>
    <row r="222" spans="1:6" ht="15" thickBot="1">
      <c r="A222" s="1852" t="s">
        <v>1413</v>
      </c>
      <c r="B222" s="1856" t="s">
        <v>1243</v>
      </c>
      <c r="C222" s="1857"/>
      <c r="D222" s="1866"/>
      <c r="E222" s="1866"/>
      <c r="F222" s="1858">
        <v>0.1</v>
      </c>
    </row>
    <row r="223" spans="1:6" ht="15" thickBot="1">
      <c r="A223" s="1852" t="s">
        <v>1413</v>
      </c>
      <c r="B223" s="1856" t="s">
        <v>1253</v>
      </c>
      <c r="C223" s="1857"/>
      <c r="D223" s="1866"/>
      <c r="E223" s="1866"/>
      <c r="F223" s="1858">
        <v>0.15</v>
      </c>
    </row>
    <row r="224" spans="1:6" ht="15" thickBot="1">
      <c r="A224" s="1852" t="s">
        <v>1413</v>
      </c>
      <c r="B224" s="1856" t="s">
        <v>1263</v>
      </c>
      <c r="C224" s="1857"/>
      <c r="D224" s="1866"/>
      <c r="E224" s="1866"/>
      <c r="F224" s="1858">
        <v>0.15</v>
      </c>
    </row>
    <row r="225" spans="1:6" ht="15" thickBot="1">
      <c r="A225" s="1852" t="s">
        <v>1413</v>
      </c>
      <c r="B225" s="1856" t="s">
        <v>2160</v>
      </c>
      <c r="C225" s="1857">
        <v>0.15</v>
      </c>
      <c r="D225" s="1857">
        <v>0.15</v>
      </c>
      <c r="E225" s="1857">
        <v>0.15</v>
      </c>
      <c r="F225" s="1858">
        <v>0.15</v>
      </c>
    </row>
    <row r="226" spans="1:6" ht="15" thickBot="1">
      <c r="A226" s="1852" t="s">
        <v>1413</v>
      </c>
      <c r="B226" s="1856" t="s">
        <v>1281</v>
      </c>
      <c r="C226" s="1857">
        <v>0.15</v>
      </c>
      <c r="D226" s="1857">
        <v>0.15</v>
      </c>
      <c r="E226" s="1857">
        <v>0.15</v>
      </c>
      <c r="F226" s="1858">
        <v>0.14799999999999999</v>
      </c>
    </row>
    <row r="227" spans="1:6" ht="15" thickBot="1">
      <c r="A227" s="1852" t="s">
        <v>1413</v>
      </c>
      <c r="B227" s="1856" t="s">
        <v>2161</v>
      </c>
      <c r="C227" s="1857">
        <v>0.15</v>
      </c>
      <c r="D227" s="1857">
        <v>0.15</v>
      </c>
      <c r="E227" s="1857">
        <v>0.15</v>
      </c>
      <c r="F227" s="1858">
        <v>0.15</v>
      </c>
    </row>
    <row r="228" spans="1:6" ht="15" thickBot="1">
      <c r="A228" s="1852" t="s">
        <v>1413</v>
      </c>
      <c r="B228" s="1856" t="s">
        <v>1296</v>
      </c>
      <c r="C228" s="1857">
        <v>0.15</v>
      </c>
      <c r="D228" s="1857">
        <v>0.15</v>
      </c>
      <c r="E228" s="1857">
        <v>0.15</v>
      </c>
      <c r="F228" s="1858">
        <v>0.15</v>
      </c>
    </row>
    <row r="229" spans="1:6" ht="15" thickBot="1">
      <c r="A229" s="1852" t="s">
        <v>1413</v>
      </c>
      <c r="B229" s="1856" t="s">
        <v>1303</v>
      </c>
      <c r="C229" s="1857">
        <v>0.15</v>
      </c>
      <c r="D229" s="1857">
        <v>0.15</v>
      </c>
      <c r="E229" s="1857">
        <v>0.15</v>
      </c>
      <c r="F229" s="1865"/>
    </row>
    <row r="230" spans="1:6" ht="15" thickBot="1">
      <c r="A230" s="1852" t="s">
        <v>1413</v>
      </c>
      <c r="B230" s="1856" t="s">
        <v>1310</v>
      </c>
      <c r="C230" s="1857">
        <v>0.14499999999999999</v>
      </c>
      <c r="D230" s="1857">
        <v>0.14499999999999999</v>
      </c>
      <c r="E230" s="1857">
        <v>0.14399999999999999</v>
      </c>
      <c r="F230" s="1865"/>
    </row>
    <row r="231" spans="1:6" ht="15" thickBot="1">
      <c r="A231" s="1852" t="s">
        <v>1413</v>
      </c>
      <c r="B231" s="1856" t="s">
        <v>2162</v>
      </c>
      <c r="C231" s="1857">
        <v>0.128</v>
      </c>
      <c r="D231" s="1857">
        <v>0.125</v>
      </c>
      <c r="E231" s="1857">
        <v>0.13200000000000001</v>
      </c>
      <c r="F231" s="1865"/>
    </row>
    <row r="232" spans="1:6" ht="15" thickBot="1">
      <c r="A232" s="1852" t="s">
        <v>1413</v>
      </c>
      <c r="B232" s="1856" t="s">
        <v>2163</v>
      </c>
      <c r="C232" s="1857">
        <v>0.14499999999999999</v>
      </c>
      <c r="D232" s="1857">
        <v>0.14399999999999999</v>
      </c>
      <c r="E232" s="1857">
        <v>0.14599999999999999</v>
      </c>
      <c r="F232" s="1858">
        <v>0.13800000000000001</v>
      </c>
    </row>
    <row r="233" spans="1:6" ht="15" thickBot="1">
      <c r="A233" s="1852" t="s">
        <v>1413</v>
      </c>
      <c r="B233" s="1856" t="s">
        <v>2164</v>
      </c>
      <c r="C233" s="1857">
        <v>0.14499999999999999</v>
      </c>
      <c r="D233" s="1857">
        <v>0.14299999999999999</v>
      </c>
      <c r="E233" s="1857">
        <v>0.14199999999999999</v>
      </c>
      <c r="F233" s="1865"/>
    </row>
    <row r="234" spans="1:6" ht="15" thickBot="1">
      <c r="A234" s="1852" t="s">
        <v>1413</v>
      </c>
      <c r="B234" s="1856" t="s">
        <v>2165</v>
      </c>
      <c r="C234" s="1857">
        <v>0.14000000000000001</v>
      </c>
      <c r="D234" s="1857">
        <v>0.14000000000000001</v>
      </c>
      <c r="E234" s="1857">
        <v>0.14399999999999999</v>
      </c>
      <c r="F234" s="1865"/>
    </row>
    <row r="235" spans="1:6" ht="15" thickBot="1">
      <c r="A235" s="1852" t="s">
        <v>1413</v>
      </c>
      <c r="B235" s="1856" t="s">
        <v>2166</v>
      </c>
      <c r="C235" s="1857">
        <v>0.14099999999999999</v>
      </c>
      <c r="D235" s="1857">
        <v>0.14199999999999999</v>
      </c>
      <c r="E235" s="1857">
        <v>0.14499999999999999</v>
      </c>
      <c r="F235" s="1858">
        <v>0.15</v>
      </c>
    </row>
    <row r="236" spans="1:6" ht="15" thickBot="1">
      <c r="A236" s="1852" t="s">
        <v>1413</v>
      </c>
      <c r="B236" s="1856" t="s">
        <v>1345</v>
      </c>
      <c r="C236" s="1866"/>
      <c r="D236" s="1866"/>
      <c r="E236" s="1866"/>
      <c r="F236" s="1858">
        <v>0.14299999999999999</v>
      </c>
    </row>
    <row r="237" spans="1:6" ht="24.6" thickBot="1">
      <c r="A237" s="1852" t="s">
        <v>1413</v>
      </c>
      <c r="B237" s="1856" t="s">
        <v>2167</v>
      </c>
      <c r="C237" s="1866"/>
      <c r="D237" s="1866"/>
      <c r="E237" s="1866"/>
      <c r="F237" s="1858">
        <v>0.05</v>
      </c>
    </row>
    <row r="238" spans="1:6" ht="24.6" thickBot="1">
      <c r="A238" s="1852" t="s">
        <v>1413</v>
      </c>
      <c r="B238" s="1856" t="s">
        <v>2168</v>
      </c>
      <c r="C238" s="1866"/>
      <c r="D238" s="1866"/>
      <c r="E238" s="1866"/>
      <c r="F238" s="1858">
        <v>0.05</v>
      </c>
    </row>
    <row r="239" spans="1:6" ht="24.6" thickBot="1">
      <c r="A239" s="1852" t="s">
        <v>1413</v>
      </c>
      <c r="B239" s="1856" t="s">
        <v>2169</v>
      </c>
      <c r="C239" s="1866"/>
      <c r="D239" s="1866"/>
      <c r="E239" s="1866"/>
      <c r="F239" s="1858">
        <v>0.05</v>
      </c>
    </row>
    <row r="240" spans="1:6" ht="24.6" thickBot="1">
      <c r="A240" s="1852" t="s">
        <v>1413</v>
      </c>
      <c r="B240" s="1856" t="s">
        <v>2170</v>
      </c>
      <c r="C240" s="1866"/>
      <c r="D240" s="1866"/>
      <c r="E240" s="1866"/>
      <c r="F240" s="1858">
        <v>0.05</v>
      </c>
    </row>
    <row r="241" spans="1:6" ht="24.6" thickBot="1">
      <c r="A241" s="1852" t="s">
        <v>1413</v>
      </c>
      <c r="B241" s="1856" t="s">
        <v>2171</v>
      </c>
      <c r="C241" s="1866"/>
      <c r="D241" s="1866"/>
      <c r="E241" s="1866"/>
      <c r="F241" s="1858">
        <v>0.05</v>
      </c>
    </row>
    <row r="242" spans="1:6" ht="24.6" thickBot="1">
      <c r="A242" s="1852" t="s">
        <v>1413</v>
      </c>
      <c r="B242" s="1856" t="s">
        <v>2172</v>
      </c>
      <c r="C242" s="1866"/>
      <c r="D242" s="1866"/>
      <c r="E242" s="1866"/>
      <c r="F242" s="1858">
        <v>0.05</v>
      </c>
    </row>
    <row r="243" spans="1:6" ht="24.6" thickBot="1">
      <c r="A243" s="1852" t="s">
        <v>1413</v>
      </c>
      <c r="B243" s="1856" t="s">
        <v>2173</v>
      </c>
      <c r="C243" s="1866"/>
      <c r="D243" s="1866"/>
      <c r="E243" s="1866"/>
      <c r="F243" s="1858">
        <v>0.05</v>
      </c>
    </row>
    <row r="244" spans="1:6" ht="24.6" thickBot="1">
      <c r="A244" s="1860" t="s">
        <v>1413</v>
      </c>
      <c r="B244" s="1867" t="s">
        <v>2174</v>
      </c>
      <c r="C244" s="1863"/>
      <c r="D244" s="1863"/>
      <c r="E244" s="1863"/>
      <c r="F244" s="1868">
        <v>0.05</v>
      </c>
    </row>
    <row r="245" spans="1:6" ht="15" thickBot="1">
      <c r="A245" s="1852" t="s">
        <v>1415</v>
      </c>
      <c r="B245" s="1853" t="s">
        <v>2175</v>
      </c>
      <c r="C245" s="1854">
        <v>0.15</v>
      </c>
      <c r="D245" s="1854">
        <v>0.15</v>
      </c>
      <c r="E245" s="1854">
        <v>0.15</v>
      </c>
      <c r="F245" s="1855">
        <v>0.14299999999999999</v>
      </c>
    </row>
    <row r="246" spans="1:6" ht="15" thickBot="1">
      <c r="A246" s="1852" t="s">
        <v>1415</v>
      </c>
      <c r="B246" s="1856" t="s">
        <v>1078</v>
      </c>
      <c r="C246" s="1857">
        <v>0.15</v>
      </c>
      <c r="D246" s="1857">
        <v>0.15</v>
      </c>
      <c r="E246" s="1857">
        <v>0.15</v>
      </c>
      <c r="F246" s="1858">
        <v>0.114</v>
      </c>
    </row>
    <row r="247" spans="1:6" ht="15" thickBot="1">
      <c r="A247" s="1852" t="s">
        <v>1415</v>
      </c>
      <c r="B247" s="1856" t="s">
        <v>2176</v>
      </c>
      <c r="C247" s="1857">
        <v>0.15</v>
      </c>
      <c r="D247" s="1857">
        <v>0.15</v>
      </c>
      <c r="E247" s="1857">
        <v>0.15</v>
      </c>
      <c r="F247" s="1858">
        <v>0.15</v>
      </c>
    </row>
    <row r="248" spans="1:6" ht="15" thickBot="1">
      <c r="A248" s="1852" t="s">
        <v>1415</v>
      </c>
      <c r="B248" s="1856" t="s">
        <v>2177</v>
      </c>
      <c r="C248" s="1857">
        <v>0.15</v>
      </c>
      <c r="D248" s="1857">
        <v>0.15</v>
      </c>
      <c r="E248" s="1857">
        <v>0.15</v>
      </c>
      <c r="F248" s="1858">
        <v>0.14000000000000001</v>
      </c>
    </row>
    <row r="249" spans="1:6" ht="15" thickBot="1">
      <c r="A249" s="1852" t="s">
        <v>1415</v>
      </c>
      <c r="B249" s="1856" t="s">
        <v>2178</v>
      </c>
      <c r="C249" s="1857">
        <v>0.15</v>
      </c>
      <c r="D249" s="1857">
        <v>0.14899999999999999</v>
      </c>
      <c r="E249" s="1857">
        <v>0.15</v>
      </c>
      <c r="F249" s="1858">
        <v>0.1</v>
      </c>
    </row>
    <row r="250" spans="1:6" ht="15" thickBot="1">
      <c r="A250" s="1852" t="s">
        <v>1415</v>
      </c>
      <c r="B250" s="1856" t="s">
        <v>2179</v>
      </c>
      <c r="C250" s="1857">
        <v>0.15</v>
      </c>
      <c r="D250" s="1857">
        <v>0.15</v>
      </c>
      <c r="E250" s="1857">
        <v>0.15</v>
      </c>
      <c r="F250" s="1858">
        <v>0.14399999999999999</v>
      </c>
    </row>
    <row r="251" spans="1:6" ht="15" thickBot="1">
      <c r="A251" s="1852" t="s">
        <v>1415</v>
      </c>
      <c r="B251" s="1856" t="s">
        <v>1141</v>
      </c>
      <c r="C251" s="1857">
        <v>0.15</v>
      </c>
      <c r="D251" s="1857">
        <v>0.15</v>
      </c>
      <c r="E251" s="1857">
        <v>0.15</v>
      </c>
      <c r="F251" s="1858">
        <v>0.14299999999999999</v>
      </c>
    </row>
    <row r="252" spans="1:6" ht="15" thickBot="1">
      <c r="A252" s="1852" t="s">
        <v>1415</v>
      </c>
      <c r="B252" s="1856" t="s">
        <v>1152</v>
      </c>
      <c r="C252" s="1857">
        <v>0.15</v>
      </c>
      <c r="D252" s="1857">
        <v>0.15</v>
      </c>
      <c r="E252" s="1857">
        <v>0.15</v>
      </c>
      <c r="F252" s="1858">
        <v>0.1</v>
      </c>
    </row>
    <row r="253" spans="1:6" ht="15" thickBot="1">
      <c r="A253" s="1852" t="s">
        <v>1415</v>
      </c>
      <c r="B253" s="1856" t="s">
        <v>1164</v>
      </c>
      <c r="C253" s="1857">
        <v>0.15</v>
      </c>
      <c r="D253" s="1857">
        <v>0.15</v>
      </c>
      <c r="E253" s="1857">
        <v>0.15</v>
      </c>
      <c r="F253" s="1858">
        <v>0.1</v>
      </c>
    </row>
    <row r="254" spans="1:6" ht="15" thickBot="1">
      <c r="A254" s="1852" t="s">
        <v>1415</v>
      </c>
      <c r="B254" s="1856" t="s">
        <v>1174</v>
      </c>
      <c r="C254" s="1866"/>
      <c r="D254" s="1866"/>
      <c r="E254" s="1866"/>
      <c r="F254" s="1858">
        <v>0.15</v>
      </c>
    </row>
    <row r="255" spans="1:6" ht="15" thickBot="1">
      <c r="A255" s="1852" t="s">
        <v>1415</v>
      </c>
      <c r="B255" s="1856" t="s">
        <v>1184</v>
      </c>
      <c r="C255" s="1866"/>
      <c r="D255" s="1866"/>
      <c r="E255" s="1866"/>
      <c r="F255" s="1858">
        <v>0.14299999999999999</v>
      </c>
    </row>
    <row r="256" spans="1:6" ht="15" thickBot="1">
      <c r="A256" s="1852" t="s">
        <v>1415</v>
      </c>
      <c r="B256" s="1856" t="s">
        <v>2180</v>
      </c>
      <c r="C256" s="1857">
        <v>0.14599999999999999</v>
      </c>
      <c r="D256" s="1857">
        <v>0.14699999999999999</v>
      </c>
      <c r="E256" s="1857">
        <v>0.15</v>
      </c>
      <c r="F256" s="1858">
        <v>0.13200000000000001</v>
      </c>
    </row>
    <row r="257" spans="1:6" ht="15" thickBot="1">
      <c r="A257" s="1852" t="s">
        <v>1415</v>
      </c>
      <c r="B257" s="1856" t="s">
        <v>1204</v>
      </c>
      <c r="C257" s="1857">
        <v>0.15</v>
      </c>
      <c r="D257" s="1857">
        <v>0.15</v>
      </c>
      <c r="E257" s="1857">
        <v>0.15</v>
      </c>
      <c r="F257" s="1858">
        <v>0.13900000000000001</v>
      </c>
    </row>
    <row r="258" spans="1:6" ht="15" thickBot="1">
      <c r="A258" s="1852" t="s">
        <v>1415</v>
      </c>
      <c r="B258" s="1856" t="s">
        <v>1214</v>
      </c>
      <c r="C258" s="1857">
        <v>0.15</v>
      </c>
      <c r="D258" s="1857">
        <v>0.15</v>
      </c>
      <c r="E258" s="1857">
        <v>0.15</v>
      </c>
      <c r="F258" s="1858">
        <v>0.13</v>
      </c>
    </row>
    <row r="259" spans="1:6" ht="15" thickBot="1">
      <c r="A259" s="1852" t="s">
        <v>1415</v>
      </c>
      <c r="B259" s="1856" t="s">
        <v>2181</v>
      </c>
      <c r="C259" s="1857">
        <v>0.14799999999999999</v>
      </c>
      <c r="D259" s="1857">
        <v>0.14899999999999999</v>
      </c>
      <c r="E259" s="1857">
        <v>0.15</v>
      </c>
      <c r="F259" s="1858">
        <v>0.13700000000000001</v>
      </c>
    </row>
    <row r="260" spans="1:6" ht="15" thickBot="1">
      <c r="A260" s="1852" t="s">
        <v>1415</v>
      </c>
      <c r="B260" s="1856" t="s">
        <v>1234</v>
      </c>
      <c r="C260" s="1857">
        <v>0.15</v>
      </c>
      <c r="D260" s="1857">
        <v>0.15</v>
      </c>
      <c r="E260" s="1857">
        <v>0.15</v>
      </c>
      <c r="F260" s="1858">
        <v>0.14199999999999999</v>
      </c>
    </row>
    <row r="261" spans="1:6" ht="15" thickBot="1">
      <c r="A261" s="1852" t="s">
        <v>1415</v>
      </c>
      <c r="B261" s="1856" t="s">
        <v>1244</v>
      </c>
      <c r="C261" s="1857">
        <v>0.15</v>
      </c>
      <c r="D261" s="1857">
        <v>0.15</v>
      </c>
      <c r="E261" s="1857">
        <v>0.14899999999999999</v>
      </c>
      <c r="F261" s="1858">
        <v>0.14799999999999999</v>
      </c>
    </row>
    <row r="262" spans="1:6" ht="15" thickBot="1">
      <c r="A262" s="1852" t="s">
        <v>1415</v>
      </c>
      <c r="B262" s="1856" t="s">
        <v>1254</v>
      </c>
      <c r="C262" s="1857">
        <v>0.15</v>
      </c>
      <c r="D262" s="1857">
        <v>0.15</v>
      </c>
      <c r="E262" s="1857">
        <v>0.15</v>
      </c>
      <c r="F262" s="1865"/>
    </row>
    <row r="263" spans="1:6" ht="15" thickBot="1">
      <c r="A263" s="1852" t="s">
        <v>1415</v>
      </c>
      <c r="B263" s="1856" t="s">
        <v>2182</v>
      </c>
      <c r="C263" s="1857">
        <v>0.14899999999999999</v>
      </c>
      <c r="D263" s="1857">
        <v>0.14899999999999999</v>
      </c>
      <c r="E263" s="1857">
        <v>0.15</v>
      </c>
      <c r="F263" s="1858">
        <v>0.13</v>
      </c>
    </row>
    <row r="264" spans="1:6" ht="15" thickBot="1">
      <c r="A264" s="1852" t="s">
        <v>1415</v>
      </c>
      <c r="B264" s="1856" t="s">
        <v>1273</v>
      </c>
      <c r="C264" s="1857">
        <v>0.14799999999999999</v>
      </c>
      <c r="D264" s="1857">
        <v>0.14699999999999999</v>
      </c>
      <c r="E264" s="1857">
        <v>0.15</v>
      </c>
      <c r="F264" s="1858">
        <v>7.8E-2</v>
      </c>
    </row>
    <row r="265" spans="1:6" ht="15" thickBot="1">
      <c r="A265" s="1852" t="s">
        <v>1415</v>
      </c>
      <c r="B265" s="1856" t="s">
        <v>1282</v>
      </c>
      <c r="C265" s="1857">
        <v>0.15</v>
      </c>
      <c r="D265" s="1857">
        <v>0.15</v>
      </c>
      <c r="E265" s="1857">
        <v>0.15</v>
      </c>
      <c r="F265" s="1858">
        <v>7.3999999999999996E-2</v>
      </c>
    </row>
    <row r="266" spans="1:6" ht="15" thickBot="1">
      <c r="A266" s="1852" t="s">
        <v>1415</v>
      </c>
      <c r="B266" s="1856" t="s">
        <v>1290</v>
      </c>
      <c r="C266" s="1857">
        <v>0.14699999999999999</v>
      </c>
      <c r="D266" s="1857">
        <v>0.14699999999999999</v>
      </c>
      <c r="E266" s="1857">
        <v>0.15</v>
      </c>
      <c r="F266" s="1858">
        <v>0.14299999999999999</v>
      </c>
    </row>
    <row r="267" spans="1:6" ht="15" thickBot="1">
      <c r="A267" s="1852" t="s">
        <v>1415</v>
      </c>
      <c r="B267" s="1856" t="s">
        <v>1297</v>
      </c>
      <c r="C267" s="1857">
        <v>0.14199999999999999</v>
      </c>
      <c r="D267" s="1857">
        <v>0.14299999999999999</v>
      </c>
      <c r="E267" s="1857">
        <v>0.15</v>
      </c>
      <c r="F267" s="1865"/>
    </row>
    <row r="268" spans="1:6" ht="15" thickBot="1">
      <c r="A268" s="1852" t="s">
        <v>1415</v>
      </c>
      <c r="B268" s="1856" t="s">
        <v>2183</v>
      </c>
      <c r="C268" s="1857">
        <v>0.15</v>
      </c>
      <c r="D268" s="1857">
        <v>0.15</v>
      </c>
      <c r="E268" s="1857">
        <v>0.15</v>
      </c>
      <c r="F268" s="1858">
        <v>0.13</v>
      </c>
    </row>
    <row r="269" spans="1:6" ht="15" thickBot="1">
      <c r="A269" s="1852" t="s">
        <v>1415</v>
      </c>
      <c r="B269" s="1856" t="s">
        <v>1311</v>
      </c>
      <c r="C269" s="1857">
        <v>0.15</v>
      </c>
      <c r="D269" s="1857">
        <v>0.15</v>
      </c>
      <c r="E269" s="1857">
        <v>0.15</v>
      </c>
      <c r="F269" s="1858">
        <v>0.14299999999999999</v>
      </c>
    </row>
    <row r="270" spans="1:6" ht="15" thickBot="1">
      <c r="A270" s="1852" t="s">
        <v>1415</v>
      </c>
      <c r="B270" s="1856" t="s">
        <v>1318</v>
      </c>
      <c r="C270" s="1857">
        <v>0.14499999999999999</v>
      </c>
      <c r="D270" s="1857">
        <v>0.14499999999999999</v>
      </c>
      <c r="E270" s="1857">
        <v>0.15</v>
      </c>
      <c r="F270" s="1858">
        <v>0.14699999999999999</v>
      </c>
    </row>
    <row r="271" spans="1:6" ht="15" thickBot="1">
      <c r="A271" s="1852" t="s">
        <v>1415</v>
      </c>
      <c r="B271" s="1856" t="s">
        <v>1325</v>
      </c>
      <c r="C271" s="1857">
        <v>0.15</v>
      </c>
      <c r="D271" s="1857">
        <v>0.15</v>
      </c>
      <c r="E271" s="1857">
        <v>0.15</v>
      </c>
      <c r="F271" s="1858">
        <v>0.13800000000000001</v>
      </c>
    </row>
    <row r="272" spans="1:6" ht="15" thickBot="1">
      <c r="A272" s="1852" t="s">
        <v>1415</v>
      </c>
      <c r="B272" s="1856" t="s">
        <v>1332</v>
      </c>
      <c r="C272" s="1866"/>
      <c r="D272" s="1866"/>
      <c r="E272" s="1866"/>
      <c r="F272" s="1858">
        <v>0.14000000000000001</v>
      </c>
    </row>
    <row r="273" spans="1:6" ht="15" thickBot="1">
      <c r="A273" s="1852" t="s">
        <v>1415</v>
      </c>
      <c r="B273" s="1856" t="s">
        <v>2184</v>
      </c>
      <c r="C273" s="1857">
        <v>0.14199999999999999</v>
      </c>
      <c r="D273" s="1857">
        <v>0.14299999999999999</v>
      </c>
      <c r="E273" s="1857">
        <v>0.15</v>
      </c>
      <c r="F273" s="1858">
        <v>0.1</v>
      </c>
    </row>
    <row r="274" spans="1:6" ht="15" thickBot="1">
      <c r="A274" s="1852" t="s">
        <v>1415</v>
      </c>
      <c r="B274" s="1856" t="s">
        <v>2185</v>
      </c>
      <c r="C274" s="1857">
        <v>0.14799999999999999</v>
      </c>
      <c r="D274" s="1857">
        <v>0.14799999999999999</v>
      </c>
      <c r="E274" s="1857">
        <v>0.15</v>
      </c>
      <c r="F274" s="1858">
        <v>6.7000000000000004E-2</v>
      </c>
    </row>
    <row r="275" spans="1:6" ht="15" thickBot="1">
      <c r="A275" s="1852" t="s">
        <v>1415</v>
      </c>
      <c r="B275" s="1856" t="s">
        <v>2186</v>
      </c>
      <c r="C275" s="1857">
        <v>0.15</v>
      </c>
      <c r="D275" s="1857">
        <v>0.15</v>
      </c>
      <c r="E275" s="1857">
        <v>0.15</v>
      </c>
      <c r="F275" s="1858">
        <v>0.15</v>
      </c>
    </row>
    <row r="276" spans="1:6" ht="15" thickBot="1">
      <c r="A276" s="1852" t="s">
        <v>1415</v>
      </c>
      <c r="B276" s="1856" t="s">
        <v>2187</v>
      </c>
      <c r="C276" s="1857">
        <v>0.14499999999999999</v>
      </c>
      <c r="D276" s="1857">
        <v>0.14299999999999999</v>
      </c>
      <c r="E276" s="1857">
        <v>0.15</v>
      </c>
      <c r="F276" s="1858">
        <v>5.8999999999999997E-2</v>
      </c>
    </row>
    <row r="277" spans="1:6" ht="15" thickBot="1">
      <c r="A277" s="1852" t="s">
        <v>1415</v>
      </c>
      <c r="B277" s="1856" t="s">
        <v>2188</v>
      </c>
      <c r="C277" s="1857">
        <v>0.15</v>
      </c>
      <c r="D277" s="1857">
        <v>0.15</v>
      </c>
      <c r="E277" s="1857">
        <v>0.15</v>
      </c>
      <c r="F277" s="1858">
        <v>0.121</v>
      </c>
    </row>
    <row r="278" spans="1:6" ht="15" thickBot="1">
      <c r="A278" s="1852" t="s">
        <v>1415</v>
      </c>
      <c r="B278" s="1856" t="s">
        <v>2189</v>
      </c>
      <c r="C278" s="1857">
        <v>0.15</v>
      </c>
      <c r="D278" s="1857">
        <v>0.15</v>
      </c>
      <c r="E278" s="1857">
        <v>0.15</v>
      </c>
      <c r="F278" s="1858">
        <v>0.13800000000000001</v>
      </c>
    </row>
    <row r="279" spans="1:6" ht="24.6" thickBot="1">
      <c r="A279" s="1852" t="s">
        <v>1415</v>
      </c>
      <c r="B279" s="1856" t="s">
        <v>2190</v>
      </c>
      <c r="C279" s="1866"/>
      <c r="D279" s="1866"/>
      <c r="E279" s="1866"/>
      <c r="F279" s="1858">
        <v>0.05</v>
      </c>
    </row>
    <row r="280" spans="1:6" ht="24.6" thickBot="1">
      <c r="A280" s="1852" t="s">
        <v>1415</v>
      </c>
      <c r="B280" s="1856" t="s">
        <v>2191</v>
      </c>
      <c r="C280" s="1866"/>
      <c r="D280" s="1866"/>
      <c r="E280" s="1866"/>
      <c r="F280" s="1858">
        <v>0.05</v>
      </c>
    </row>
    <row r="281" spans="1:6" ht="24.6" thickBot="1">
      <c r="A281" s="1852" t="s">
        <v>1415</v>
      </c>
      <c r="B281" s="1856" t="s">
        <v>2192</v>
      </c>
      <c r="C281" s="1866"/>
      <c r="D281" s="1866"/>
      <c r="E281" s="1866"/>
      <c r="F281" s="1858">
        <v>0.05</v>
      </c>
    </row>
    <row r="282" spans="1:6" ht="24.6" thickBot="1">
      <c r="A282" s="1852" t="s">
        <v>1415</v>
      </c>
      <c r="B282" s="1856" t="s">
        <v>2193</v>
      </c>
      <c r="C282" s="1866"/>
      <c r="D282" s="1866"/>
      <c r="E282" s="1866"/>
      <c r="F282" s="1858">
        <v>0.05</v>
      </c>
    </row>
    <row r="283" spans="1:6" ht="24.6" thickBot="1">
      <c r="A283" s="1852" t="s">
        <v>1415</v>
      </c>
      <c r="B283" s="1856" t="s">
        <v>2194</v>
      </c>
      <c r="C283" s="1866"/>
      <c r="D283" s="1866"/>
      <c r="E283" s="1866"/>
      <c r="F283" s="1858">
        <v>0.05</v>
      </c>
    </row>
    <row r="284" spans="1:6" ht="24.6" thickBot="1">
      <c r="A284" s="1852" t="s">
        <v>1415</v>
      </c>
      <c r="B284" s="1856" t="s">
        <v>2195</v>
      </c>
      <c r="C284" s="1866"/>
      <c r="D284" s="1866"/>
      <c r="E284" s="1866"/>
      <c r="F284" s="1858">
        <v>0.05</v>
      </c>
    </row>
    <row r="285" spans="1:6" ht="24.6" thickBot="1">
      <c r="A285" s="1852" t="s">
        <v>1415</v>
      </c>
      <c r="B285" s="1856" t="s">
        <v>2196</v>
      </c>
      <c r="C285" s="1866"/>
      <c r="D285" s="1866"/>
      <c r="E285" s="1866"/>
      <c r="F285" s="1858">
        <v>0.05</v>
      </c>
    </row>
    <row r="286" spans="1:6" ht="24.6" thickBot="1">
      <c r="A286" s="1852" t="s">
        <v>1415</v>
      </c>
      <c r="B286" s="1856" t="s">
        <v>2197</v>
      </c>
      <c r="C286" s="1866"/>
      <c r="D286" s="1866"/>
      <c r="E286" s="1866"/>
      <c r="F286" s="1858">
        <v>0.05</v>
      </c>
    </row>
    <row r="287" spans="1:6" ht="24.6" thickBot="1">
      <c r="A287" s="1852" t="s">
        <v>1415</v>
      </c>
      <c r="B287" s="1856" t="s">
        <v>2198</v>
      </c>
      <c r="C287" s="1866"/>
      <c r="D287" s="1866"/>
      <c r="E287" s="1866"/>
      <c r="F287" s="1858">
        <v>0.05</v>
      </c>
    </row>
    <row r="288" spans="1:6" ht="24.6" thickBot="1">
      <c r="A288" s="1852" t="s">
        <v>1415</v>
      </c>
      <c r="B288" s="1856" t="s">
        <v>2199</v>
      </c>
      <c r="C288" s="1866"/>
      <c r="D288" s="1866"/>
      <c r="E288" s="1866"/>
      <c r="F288" s="1858">
        <v>0.05</v>
      </c>
    </row>
    <row r="289" spans="1:6" ht="24.6" thickBot="1">
      <c r="A289" s="1860" t="s">
        <v>1415</v>
      </c>
      <c r="B289" s="1867" t="s">
        <v>2200</v>
      </c>
      <c r="C289" s="1863"/>
      <c r="D289" s="1863"/>
      <c r="E289" s="1863"/>
      <c r="F289" s="1868">
        <v>0.05</v>
      </c>
    </row>
    <row r="290" spans="1:6" ht="15" thickBot="1">
      <c r="A290" s="1852" t="s">
        <v>1419</v>
      </c>
      <c r="B290" s="1853" t="s">
        <v>2201</v>
      </c>
      <c r="C290" s="1854">
        <v>0.15</v>
      </c>
      <c r="D290" s="1854">
        <v>0.15</v>
      </c>
      <c r="E290" s="1854">
        <v>0.15</v>
      </c>
      <c r="F290" s="1876"/>
    </row>
    <row r="291" spans="1:6" ht="15" thickBot="1">
      <c r="A291" s="1852" t="s">
        <v>1419</v>
      </c>
      <c r="B291" s="1856" t="s">
        <v>1079</v>
      </c>
      <c r="C291" s="1857">
        <v>0.15</v>
      </c>
      <c r="D291" s="1857">
        <v>0.15</v>
      </c>
      <c r="E291" s="1857">
        <v>0.15</v>
      </c>
      <c r="F291" s="1865"/>
    </row>
    <row r="292" spans="1:6" ht="15" thickBot="1">
      <c r="A292" s="1852" t="s">
        <v>1419</v>
      </c>
      <c r="B292" s="1856" t="s">
        <v>2202</v>
      </c>
      <c r="C292" s="1857">
        <v>0.15</v>
      </c>
      <c r="D292" s="1857">
        <v>0.15</v>
      </c>
      <c r="E292" s="1857">
        <v>0.15</v>
      </c>
      <c r="F292" s="1858">
        <v>0.14699999999999999</v>
      </c>
    </row>
    <row r="293" spans="1:6" ht="15" thickBot="1">
      <c r="A293" s="1852" t="s">
        <v>1419</v>
      </c>
      <c r="B293" s="1856" t="s">
        <v>2203</v>
      </c>
      <c r="C293" s="1866"/>
      <c r="D293" s="1866"/>
      <c r="E293" s="1866"/>
      <c r="F293" s="1858">
        <v>0.1</v>
      </c>
    </row>
    <row r="294" spans="1:6" ht="15" thickBot="1">
      <c r="A294" s="1852" t="s">
        <v>1419</v>
      </c>
      <c r="B294" s="1856" t="s">
        <v>2204</v>
      </c>
      <c r="C294" s="1857">
        <v>0.15</v>
      </c>
      <c r="D294" s="1857">
        <v>0.15</v>
      </c>
      <c r="E294" s="1857">
        <v>0.15</v>
      </c>
      <c r="F294" s="1858">
        <v>0.15</v>
      </c>
    </row>
    <row r="295" spans="1:6" ht="15" thickBot="1">
      <c r="A295" s="1852" t="s">
        <v>1419</v>
      </c>
      <c r="B295" s="1856" t="s">
        <v>1120</v>
      </c>
      <c r="C295" s="1857">
        <v>0.15</v>
      </c>
      <c r="D295" s="1857">
        <v>0.15</v>
      </c>
      <c r="E295" s="1857">
        <v>0.15</v>
      </c>
      <c r="F295" s="1858">
        <v>0.15</v>
      </c>
    </row>
    <row r="296" spans="1:6" ht="15" thickBot="1">
      <c r="A296" s="1852" t="s">
        <v>1419</v>
      </c>
      <c r="B296" s="1856" t="s">
        <v>2205</v>
      </c>
      <c r="C296" s="1857">
        <v>0.15</v>
      </c>
      <c r="D296" s="1857">
        <v>0.15</v>
      </c>
      <c r="E296" s="1857">
        <v>0.15</v>
      </c>
      <c r="F296" s="1858">
        <v>0.15</v>
      </c>
    </row>
    <row r="297" spans="1:6" ht="15" thickBot="1">
      <c r="A297" s="1852" t="s">
        <v>1419</v>
      </c>
      <c r="B297" s="1856" t="s">
        <v>2206</v>
      </c>
      <c r="C297" s="1857">
        <v>0.14799999999999999</v>
      </c>
      <c r="D297" s="1857">
        <v>0.14899999999999999</v>
      </c>
      <c r="E297" s="1857">
        <v>0.15</v>
      </c>
      <c r="F297" s="1858">
        <v>0.13700000000000001</v>
      </c>
    </row>
    <row r="298" spans="1:6" ht="15" thickBot="1">
      <c r="A298" s="1852" t="s">
        <v>1419</v>
      </c>
      <c r="B298" s="1856" t="s">
        <v>1153</v>
      </c>
      <c r="C298" s="1857">
        <v>0.13400000000000001</v>
      </c>
      <c r="D298" s="1857">
        <v>0.13400000000000001</v>
      </c>
      <c r="E298" s="1857">
        <v>0.14499999999999999</v>
      </c>
      <c r="F298" s="1858">
        <v>0.14799999999999999</v>
      </c>
    </row>
    <row r="299" spans="1:6" ht="15" thickBot="1">
      <c r="A299" s="1852" t="s">
        <v>1419</v>
      </c>
      <c r="B299" s="1856" t="s">
        <v>1165</v>
      </c>
      <c r="C299" s="1857">
        <v>0.15</v>
      </c>
      <c r="D299" s="1857">
        <v>0.15</v>
      </c>
      <c r="E299" s="1857">
        <v>0.15</v>
      </c>
      <c r="F299" s="1865"/>
    </row>
    <row r="300" spans="1:6" ht="15" thickBot="1">
      <c r="A300" s="1852" t="s">
        <v>1419</v>
      </c>
      <c r="B300" s="1856" t="s">
        <v>2207</v>
      </c>
      <c r="C300" s="1857">
        <v>0.15</v>
      </c>
      <c r="D300" s="1857">
        <v>0.15</v>
      </c>
      <c r="E300" s="1857">
        <v>0.15</v>
      </c>
      <c r="F300" s="1858">
        <v>0.15</v>
      </c>
    </row>
    <row r="301" spans="1:6" ht="15" thickBot="1">
      <c r="A301" s="1852" t="s">
        <v>1419</v>
      </c>
      <c r="B301" s="1856" t="s">
        <v>1185</v>
      </c>
      <c r="C301" s="1857">
        <v>0.15</v>
      </c>
      <c r="D301" s="1857">
        <v>0.15</v>
      </c>
      <c r="E301" s="1857">
        <v>0.15</v>
      </c>
      <c r="F301" s="1865"/>
    </row>
    <row r="302" spans="1:6" ht="15" thickBot="1">
      <c r="A302" s="1852" t="s">
        <v>1419</v>
      </c>
      <c r="B302" s="1856" t="s">
        <v>2208</v>
      </c>
      <c r="C302" s="1857">
        <v>0.15</v>
      </c>
      <c r="D302" s="1857">
        <v>0.15</v>
      </c>
      <c r="E302" s="1857">
        <v>0.15</v>
      </c>
      <c r="F302" s="1858">
        <v>0.15</v>
      </c>
    </row>
    <row r="303" spans="1:6" ht="15" thickBot="1">
      <c r="A303" s="1852" t="s">
        <v>1419</v>
      </c>
      <c r="B303" s="1856" t="s">
        <v>1205</v>
      </c>
      <c r="C303" s="1857">
        <v>0.15</v>
      </c>
      <c r="D303" s="1857">
        <v>0.15</v>
      </c>
      <c r="E303" s="1857">
        <v>0.15</v>
      </c>
      <c r="F303" s="1858">
        <v>0.15</v>
      </c>
    </row>
    <row r="304" spans="1:6" ht="15" thickBot="1">
      <c r="A304" s="1852" t="s">
        <v>1419</v>
      </c>
      <c r="B304" s="1856" t="s">
        <v>1215</v>
      </c>
      <c r="C304" s="1857">
        <v>0.15</v>
      </c>
      <c r="D304" s="1857">
        <v>0.15</v>
      </c>
      <c r="E304" s="1857">
        <v>0.15</v>
      </c>
      <c r="F304" s="1865"/>
    </row>
    <row r="305" spans="1:6" ht="15" thickBot="1">
      <c r="A305" s="1852" t="s">
        <v>1419</v>
      </c>
      <c r="B305" s="1856" t="s">
        <v>2209</v>
      </c>
      <c r="C305" s="1857">
        <v>0.15</v>
      </c>
      <c r="D305" s="1857">
        <v>0.15</v>
      </c>
      <c r="E305" s="1857">
        <v>0.15</v>
      </c>
      <c r="F305" s="1858">
        <v>0.14000000000000001</v>
      </c>
    </row>
    <row r="306" spans="1:6" ht="15" thickBot="1">
      <c r="A306" s="1852" t="s">
        <v>1419</v>
      </c>
      <c r="B306" s="1856" t="s">
        <v>1235</v>
      </c>
      <c r="C306" s="1857">
        <v>0.15</v>
      </c>
      <c r="D306" s="1857">
        <v>0.15</v>
      </c>
      <c r="E306" s="1857">
        <v>0.15</v>
      </c>
      <c r="F306" s="1865"/>
    </row>
    <row r="307" spans="1:6" ht="15" thickBot="1">
      <c r="A307" s="1852" t="s">
        <v>1419</v>
      </c>
      <c r="B307" s="1856" t="s">
        <v>2210</v>
      </c>
      <c r="C307" s="1857">
        <v>0.15</v>
      </c>
      <c r="D307" s="1857">
        <v>0.15</v>
      </c>
      <c r="E307" s="1857">
        <v>0.15</v>
      </c>
      <c r="F307" s="1858">
        <v>0.14299999999999999</v>
      </c>
    </row>
    <row r="308" spans="1:6" ht="15" thickBot="1">
      <c r="A308" s="1852" t="s">
        <v>1419</v>
      </c>
      <c r="B308" s="1856" t="s">
        <v>1255</v>
      </c>
      <c r="C308" s="1857">
        <v>0.15</v>
      </c>
      <c r="D308" s="1857">
        <v>0.15</v>
      </c>
      <c r="E308" s="1857">
        <v>0.15</v>
      </c>
      <c r="F308" s="1858">
        <v>0.15</v>
      </c>
    </row>
    <row r="309" spans="1:6" ht="15" thickBot="1">
      <c r="A309" s="1852" t="s">
        <v>1419</v>
      </c>
      <c r="B309" s="1856" t="s">
        <v>1265</v>
      </c>
      <c r="C309" s="1857">
        <v>0.15</v>
      </c>
      <c r="D309" s="1857">
        <v>0.15</v>
      </c>
      <c r="E309" s="1857">
        <v>0.15</v>
      </c>
      <c r="F309" s="1865"/>
    </row>
    <row r="310" spans="1:6" ht="15" thickBot="1">
      <c r="A310" s="1852" t="s">
        <v>1419</v>
      </c>
      <c r="B310" s="1856" t="s">
        <v>2211</v>
      </c>
      <c r="C310" s="1857">
        <v>0.15</v>
      </c>
      <c r="D310" s="1857">
        <v>0.15</v>
      </c>
      <c r="E310" s="1857">
        <v>0.15</v>
      </c>
      <c r="F310" s="1858">
        <v>0.13700000000000001</v>
      </c>
    </row>
    <row r="311" spans="1:6" ht="15" thickBot="1">
      <c r="A311" s="1852" t="s">
        <v>1419</v>
      </c>
      <c r="B311" s="1856" t="s">
        <v>2212</v>
      </c>
      <c r="C311" s="1857">
        <v>0.15</v>
      </c>
      <c r="D311" s="1857">
        <v>0.15</v>
      </c>
      <c r="E311" s="1857">
        <v>0.15</v>
      </c>
      <c r="F311" s="1858">
        <v>0.15</v>
      </c>
    </row>
    <row r="312" spans="1:6" ht="15" thickBot="1">
      <c r="A312" s="1852" t="s">
        <v>1419</v>
      </c>
      <c r="B312" s="1856" t="s">
        <v>1291</v>
      </c>
      <c r="C312" s="1857">
        <v>0.15</v>
      </c>
      <c r="D312" s="1857">
        <v>0.15</v>
      </c>
      <c r="E312" s="1857">
        <v>0.15</v>
      </c>
      <c r="F312" s="1858">
        <v>0.1</v>
      </c>
    </row>
    <row r="313" spans="1:6" ht="15" thickBot="1">
      <c r="A313" s="1852" t="s">
        <v>1419</v>
      </c>
      <c r="B313" s="1856" t="s">
        <v>2213</v>
      </c>
      <c r="C313" s="1857">
        <v>0.15</v>
      </c>
      <c r="D313" s="1857">
        <v>0.15</v>
      </c>
      <c r="E313" s="1857">
        <v>0.15</v>
      </c>
      <c r="F313" s="1858">
        <v>0.15</v>
      </c>
    </row>
    <row r="314" spans="1:6" ht="24.6" thickBot="1">
      <c r="A314" s="1852" t="s">
        <v>1419</v>
      </c>
      <c r="B314" s="1856" t="s">
        <v>2214</v>
      </c>
      <c r="C314" s="1866"/>
      <c r="D314" s="1866"/>
      <c r="E314" s="1866"/>
      <c r="F314" s="1858">
        <v>0.05</v>
      </c>
    </row>
    <row r="315" spans="1:6" ht="24.6" thickBot="1">
      <c r="A315" s="1852" t="s">
        <v>1419</v>
      </c>
      <c r="B315" s="1856" t="s">
        <v>2215</v>
      </c>
      <c r="C315" s="1866"/>
      <c r="D315" s="1866"/>
      <c r="E315" s="1866"/>
      <c r="F315" s="1858">
        <v>0.05</v>
      </c>
    </row>
    <row r="316" spans="1:6" ht="24.6" thickBot="1">
      <c r="A316" s="1860" t="s">
        <v>1419</v>
      </c>
      <c r="B316" s="1867" t="s">
        <v>2216</v>
      </c>
      <c r="C316" s="1863"/>
      <c r="D316" s="1863"/>
      <c r="E316" s="1863"/>
      <c r="F316" s="1868">
        <v>0.05</v>
      </c>
    </row>
    <row r="317" spans="1:6" ht="15" thickBot="1">
      <c r="A317" s="1852" t="s">
        <v>2217</v>
      </c>
      <c r="B317" s="1853" t="s">
        <v>2218</v>
      </c>
      <c r="C317" s="1854">
        <v>0.15</v>
      </c>
      <c r="D317" s="1854">
        <v>0.15</v>
      </c>
      <c r="E317" s="1854">
        <v>0.15</v>
      </c>
      <c r="F317" s="1855">
        <v>0.15</v>
      </c>
    </row>
    <row r="318" spans="1:6" ht="15" thickBot="1">
      <c r="A318" s="1852" t="s">
        <v>2217</v>
      </c>
      <c r="B318" s="1856" t="s">
        <v>2219</v>
      </c>
      <c r="C318" s="1857">
        <v>0.107</v>
      </c>
      <c r="D318" s="1857">
        <v>0.11</v>
      </c>
      <c r="E318" s="1857">
        <v>0.112</v>
      </c>
      <c r="F318" s="1865"/>
    </row>
    <row r="319" spans="1:6" ht="15" thickBot="1">
      <c r="A319" s="1852" t="s">
        <v>2217</v>
      </c>
      <c r="B319" s="1856" t="s">
        <v>2220</v>
      </c>
      <c r="C319" s="1857">
        <v>0.15</v>
      </c>
      <c r="D319" s="1857">
        <v>0.15</v>
      </c>
      <c r="E319" s="1857">
        <v>0.15</v>
      </c>
      <c r="F319" s="1858">
        <v>0.15</v>
      </c>
    </row>
    <row r="320" spans="1:6" ht="15" thickBot="1">
      <c r="A320" s="1852" t="s">
        <v>2217</v>
      </c>
      <c r="B320" s="1856" t="s">
        <v>1107</v>
      </c>
      <c r="C320" s="1857">
        <v>0.15</v>
      </c>
      <c r="D320" s="1857">
        <v>0.15</v>
      </c>
      <c r="E320" s="1857">
        <v>0.15</v>
      </c>
      <c r="F320" s="1865"/>
    </row>
    <row r="321" spans="1:6" ht="15" thickBot="1">
      <c r="A321" s="1852" t="s">
        <v>2217</v>
      </c>
      <c r="B321" s="1856" t="s">
        <v>2221</v>
      </c>
      <c r="C321" s="1857">
        <v>0.15</v>
      </c>
      <c r="D321" s="1857">
        <v>0.15</v>
      </c>
      <c r="E321" s="1857">
        <v>0.15</v>
      </c>
      <c r="F321" s="1865"/>
    </row>
    <row r="322" spans="1:6" ht="15" thickBot="1">
      <c r="A322" s="1852" t="s">
        <v>2217</v>
      </c>
      <c r="B322" s="1856" t="s">
        <v>2222</v>
      </c>
      <c r="C322" s="1857">
        <v>0.15</v>
      </c>
      <c r="D322" s="1857">
        <v>0.15</v>
      </c>
      <c r="E322" s="1857">
        <v>0.15</v>
      </c>
      <c r="F322" s="1858">
        <v>0.15</v>
      </c>
    </row>
    <row r="323" spans="1:6" ht="15" thickBot="1">
      <c r="A323" s="1852" t="s">
        <v>2217</v>
      </c>
      <c r="B323" s="1856" t="s">
        <v>2223</v>
      </c>
      <c r="C323" s="1857">
        <v>0.15</v>
      </c>
      <c r="D323" s="1857">
        <v>0.15</v>
      </c>
      <c r="E323" s="1857">
        <v>0.15</v>
      </c>
      <c r="F323" s="1865"/>
    </row>
    <row r="324" spans="1:6" ht="15" thickBot="1">
      <c r="A324" s="1852" t="s">
        <v>2217</v>
      </c>
      <c r="B324" s="1856" t="s">
        <v>2224</v>
      </c>
      <c r="C324" s="1857">
        <v>0.15</v>
      </c>
      <c r="D324" s="1857">
        <v>0.15</v>
      </c>
      <c r="E324" s="1857">
        <v>0.15</v>
      </c>
      <c r="F324" s="1865"/>
    </row>
    <row r="325" spans="1:6" ht="15" thickBot="1">
      <c r="A325" s="1852" t="s">
        <v>2217</v>
      </c>
      <c r="B325" s="1856" t="s">
        <v>2225</v>
      </c>
      <c r="C325" s="1857">
        <v>0.15</v>
      </c>
      <c r="D325" s="1857">
        <v>0.15</v>
      </c>
      <c r="E325" s="1857">
        <v>0.15</v>
      </c>
      <c r="F325" s="1858">
        <v>0.14699999999999999</v>
      </c>
    </row>
    <row r="326" spans="1:6" ht="15" thickBot="1">
      <c r="A326" s="1852" t="s">
        <v>2217</v>
      </c>
      <c r="B326" s="1856" t="s">
        <v>1176</v>
      </c>
      <c r="C326" s="1857">
        <v>0.15</v>
      </c>
      <c r="D326" s="1857">
        <v>0.15</v>
      </c>
      <c r="E326" s="1857">
        <v>0.15</v>
      </c>
      <c r="F326" s="1865"/>
    </row>
    <row r="327" spans="1:6" ht="15" thickBot="1">
      <c r="A327" s="1852" t="s">
        <v>2217</v>
      </c>
      <c r="B327" s="1856" t="s">
        <v>2226</v>
      </c>
      <c r="C327" s="1857">
        <v>0.15</v>
      </c>
      <c r="D327" s="1857">
        <v>0.15</v>
      </c>
      <c r="E327" s="1857">
        <v>0.15</v>
      </c>
      <c r="F327" s="1858">
        <v>0.15</v>
      </c>
    </row>
    <row r="328" spans="1:6" ht="15" thickBot="1">
      <c r="A328" s="1852" t="s">
        <v>2217</v>
      </c>
      <c r="B328" s="1856" t="s">
        <v>1196</v>
      </c>
      <c r="C328" s="1857">
        <v>0.15</v>
      </c>
      <c r="D328" s="1857">
        <v>0.15</v>
      </c>
      <c r="E328" s="1857">
        <v>0.15</v>
      </c>
      <c r="F328" s="1858">
        <v>0.14099999999999999</v>
      </c>
    </row>
    <row r="329" spans="1:6" ht="15" thickBot="1">
      <c r="A329" s="1852" t="s">
        <v>2217</v>
      </c>
      <c r="B329" s="1856" t="s">
        <v>1206</v>
      </c>
      <c r="C329" s="1857">
        <v>0.15</v>
      </c>
      <c r="D329" s="1857">
        <v>0.15</v>
      </c>
      <c r="E329" s="1857">
        <v>0.15</v>
      </c>
      <c r="F329" s="1858">
        <v>0.15</v>
      </c>
    </row>
    <row r="330" spans="1:6" ht="15" thickBot="1">
      <c r="A330" s="1852" t="s">
        <v>2217</v>
      </c>
      <c r="B330" s="1856" t="s">
        <v>1216</v>
      </c>
      <c r="C330" s="1857">
        <v>0.15</v>
      </c>
      <c r="D330" s="1857">
        <v>0.15</v>
      </c>
      <c r="E330" s="1857">
        <v>0.15</v>
      </c>
      <c r="F330" s="1865"/>
    </row>
    <row r="331" spans="1:6" ht="15" thickBot="1">
      <c r="A331" s="1852" t="s">
        <v>2217</v>
      </c>
      <c r="B331" s="1856" t="s">
        <v>2227</v>
      </c>
      <c r="C331" s="1857">
        <v>0.15</v>
      </c>
      <c r="D331" s="1857">
        <v>0.15</v>
      </c>
      <c r="E331" s="1857">
        <v>0.15</v>
      </c>
      <c r="F331" s="1858">
        <v>0.15</v>
      </c>
    </row>
    <row r="332" spans="1:6" ht="15" thickBot="1">
      <c r="A332" s="1852" t="s">
        <v>2217</v>
      </c>
      <c r="B332" s="1856" t="s">
        <v>1236</v>
      </c>
      <c r="C332" s="1857">
        <v>0.15</v>
      </c>
      <c r="D332" s="1857">
        <v>0.15</v>
      </c>
      <c r="E332" s="1857">
        <v>0.15</v>
      </c>
      <c r="F332" s="1858">
        <v>0.15</v>
      </c>
    </row>
    <row r="333" spans="1:6" ht="15" thickBot="1">
      <c r="A333" s="1852" t="s">
        <v>2217</v>
      </c>
      <c r="B333" s="1856" t="s">
        <v>2228</v>
      </c>
      <c r="C333" s="1857">
        <v>0.15</v>
      </c>
      <c r="D333" s="1857">
        <v>0.15</v>
      </c>
      <c r="E333" s="1857">
        <v>0.15</v>
      </c>
      <c r="F333" s="1858">
        <v>0.14099999999999999</v>
      </c>
    </row>
    <row r="334" spans="1:6" ht="15" thickBot="1">
      <c r="A334" s="1852" t="s">
        <v>2217</v>
      </c>
      <c r="B334" s="1856" t="s">
        <v>1256</v>
      </c>
      <c r="C334" s="1857">
        <v>0.15</v>
      </c>
      <c r="D334" s="1857">
        <v>0.15</v>
      </c>
      <c r="E334" s="1857">
        <v>0.15</v>
      </c>
      <c r="F334" s="1858">
        <v>0.15</v>
      </c>
    </row>
    <row r="335" spans="1:6" ht="15" thickBot="1">
      <c r="A335" s="1852" t="s">
        <v>2217</v>
      </c>
      <c r="B335" s="1856" t="s">
        <v>1266</v>
      </c>
      <c r="C335" s="1857">
        <v>0.15</v>
      </c>
      <c r="D335" s="1857">
        <v>0.15</v>
      </c>
      <c r="E335" s="1857">
        <v>0.15</v>
      </c>
      <c r="F335" s="1865"/>
    </row>
    <row r="336" spans="1:6" ht="15" thickBot="1">
      <c r="A336" s="1852" t="s">
        <v>2217</v>
      </c>
      <c r="B336" s="1856" t="s">
        <v>2229</v>
      </c>
      <c r="C336" s="1857">
        <v>0.15</v>
      </c>
      <c r="D336" s="1857">
        <v>0.15</v>
      </c>
      <c r="E336" s="1857">
        <v>0.15</v>
      </c>
      <c r="F336" s="1858">
        <v>0.11799999999999999</v>
      </c>
    </row>
    <row r="337" spans="1:6" ht="15" thickBot="1">
      <c r="A337" s="1860" t="s">
        <v>2217</v>
      </c>
      <c r="B337" s="1867" t="s">
        <v>1284</v>
      </c>
      <c r="C337" s="1863"/>
      <c r="D337" s="1863"/>
      <c r="E337" s="1863"/>
      <c r="F337" s="1868">
        <v>0.14299999999999999</v>
      </c>
    </row>
    <row r="338" spans="1:6" ht="15" thickBot="1">
      <c r="A338" s="1852" t="s">
        <v>2230</v>
      </c>
      <c r="B338" s="1853" t="s">
        <v>2231</v>
      </c>
      <c r="C338" s="1854">
        <v>0.15</v>
      </c>
      <c r="D338" s="1854">
        <v>0.15</v>
      </c>
      <c r="E338" s="1854">
        <v>0.15</v>
      </c>
      <c r="F338" s="1876"/>
    </row>
    <row r="339" spans="1:6" ht="15" thickBot="1">
      <c r="A339" s="1852" t="s">
        <v>2230</v>
      </c>
      <c r="B339" s="1856" t="s">
        <v>2232</v>
      </c>
      <c r="C339" s="1857">
        <v>0.15</v>
      </c>
      <c r="D339" s="1857">
        <v>0.15</v>
      </c>
      <c r="E339" s="1857">
        <v>0.15</v>
      </c>
      <c r="F339" s="1865"/>
    </row>
    <row r="340" spans="1:6" ht="15" thickBot="1">
      <c r="A340" s="1852" t="s">
        <v>2230</v>
      </c>
      <c r="B340" s="1856" t="s">
        <v>2233</v>
      </c>
      <c r="C340" s="1857">
        <v>0.15</v>
      </c>
      <c r="D340" s="1857">
        <v>0.15</v>
      </c>
      <c r="E340" s="1857">
        <v>0.15</v>
      </c>
      <c r="F340" s="1865"/>
    </row>
    <row r="341" spans="1:6" ht="15" thickBot="1">
      <c r="A341" s="1852" t="s">
        <v>2234</v>
      </c>
      <c r="B341" s="1856" t="s">
        <v>2235</v>
      </c>
      <c r="C341" s="1857">
        <v>0.15</v>
      </c>
      <c r="D341" s="1857">
        <v>0.15</v>
      </c>
      <c r="E341" s="1857">
        <v>0.15</v>
      </c>
      <c r="F341" s="1858">
        <v>0.15</v>
      </c>
    </row>
    <row r="342" spans="1:6" ht="15" thickBot="1">
      <c r="A342" s="1852" t="s">
        <v>2230</v>
      </c>
      <c r="B342" s="1856" t="s">
        <v>2236</v>
      </c>
      <c r="C342" s="1857">
        <v>0.15</v>
      </c>
      <c r="D342" s="1857">
        <v>0.15</v>
      </c>
      <c r="E342" s="1857">
        <v>0.15</v>
      </c>
      <c r="F342" s="1858">
        <v>0.15</v>
      </c>
    </row>
    <row r="343" spans="1:6" ht="15" thickBot="1">
      <c r="A343" s="1852" t="s">
        <v>2230</v>
      </c>
      <c r="B343" s="1856" t="s">
        <v>2237</v>
      </c>
      <c r="C343" s="1857">
        <v>0.15</v>
      </c>
      <c r="D343" s="1857">
        <v>0.15</v>
      </c>
      <c r="E343" s="1857">
        <v>0.15</v>
      </c>
      <c r="F343" s="1858">
        <v>0.15</v>
      </c>
    </row>
    <row r="344" spans="1:6" ht="15" thickBot="1">
      <c r="A344" s="1860" t="s">
        <v>2230</v>
      </c>
      <c r="B344" s="1867" t="s">
        <v>2238</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28" t="s">
        <v>2948</v>
      </c>
      <c r="B1" s="3130"/>
      <c r="C1" s="3130"/>
      <c r="D1" s="3130"/>
      <c r="E1" s="3130"/>
      <c r="F1" s="3130"/>
    </row>
    <row r="2" spans="1:6" ht="15.6">
      <c r="A2" s="3131" t="s">
        <v>2942</v>
      </c>
      <c r="B2" s="3132" t="e">
        <f ca="1">SUMIF(B7:B14,"&lt;&gt;#ref!",B7:B14)</f>
        <v>#DIV/0!</v>
      </c>
      <c r="C2" s="3131" t="s">
        <v>2943</v>
      </c>
      <c r="D2" s="3130"/>
      <c r="E2" s="3130"/>
      <c r="F2" s="3130"/>
    </row>
    <row r="3" spans="1:6" ht="15.6">
      <c r="A3" s="3131" t="s">
        <v>2945</v>
      </c>
      <c r="B3" s="3132" t="e">
        <f ca="1">ROUND(B2*10000/E3,0)</f>
        <v>#DIV/0!</v>
      </c>
      <c r="C3" s="3131" t="s">
        <v>2079</v>
      </c>
      <c r="D3" s="3131" t="s">
        <v>2944</v>
      </c>
      <c r="E3" s="3132" t="e">
        <f ca="1">SUM(E7:E14)</f>
        <v>#REF!</v>
      </c>
      <c r="F3" s="3130"/>
    </row>
    <row r="4" spans="1:6" ht="15.6">
      <c r="A4" s="3131" t="s">
        <v>2952</v>
      </c>
      <c r="B4" s="3132" t="e">
        <f ca="1">ROUND(B2*10000/E4,0)</f>
        <v>#DIV/0!</v>
      </c>
      <c r="C4" s="3131" t="s">
        <v>2079</v>
      </c>
      <c r="D4" s="3131" t="s">
        <v>2953</v>
      </c>
      <c r="E4" s="3132" t="e">
        <f ca="1">SUM(F7:F14)</f>
        <v>#REF!</v>
      </c>
      <c r="F4" s="3130"/>
    </row>
    <row r="5" spans="1:6" ht="15.6">
      <c r="A5" s="3133"/>
      <c r="B5" s="1878"/>
      <c r="C5" s="1878"/>
      <c r="D5" s="1878"/>
      <c r="E5" s="1878"/>
      <c r="F5" s="3130"/>
    </row>
    <row r="6" spans="1:6" ht="31.2">
      <c r="A6" s="3134" t="s">
        <v>2949</v>
      </c>
      <c r="B6" s="3131" t="s">
        <v>2946</v>
      </c>
      <c r="C6" s="3132"/>
      <c r="D6" s="1878"/>
      <c r="E6" s="3131" t="s">
        <v>2947</v>
      </c>
      <c r="F6" s="3131" t="s">
        <v>2951</v>
      </c>
    </row>
    <row r="7" spans="1:6" ht="15.6">
      <c r="A7" s="260" t="s">
        <v>2950</v>
      </c>
      <c r="B7" s="3135" t="e">
        <f ca="1">SUMIF(INDIRECT("'"&amp;A7&amp;"'"&amp;"!A:A"),"总价",INDIRECT("'"&amp;A7&amp;"'"&amp;"!B:B"))</f>
        <v>#DIV/0!</v>
      </c>
      <c r="C7" s="3131" t="s">
        <v>2943</v>
      </c>
      <c r="D7" s="1878"/>
      <c r="E7" s="3136">
        <f ca="1">SUMIF(INDIRECT("'"&amp;A7&amp;"'"&amp;"!C:C"),"建筑面积",INDIRECT("'"&amp;A7&amp;"'"&amp;"!D:D"))</f>
        <v>0</v>
      </c>
      <c r="F7" s="3136">
        <f ca="1">SUMIF(INDIRECT("'"&amp;A7&amp;"'"&amp;"!E:E"),"土地面积",INDIRECT("'"&amp;A7&amp;"'"&amp;"!F:F"))</f>
        <v>0</v>
      </c>
    </row>
    <row r="8" spans="1:6" ht="15.6">
      <c r="A8" s="260"/>
      <c r="B8" s="3135" t="e">
        <f t="shared" ref="B8:B14" ca="1" si="0">SUMIF(INDIRECT("'"&amp;A8&amp;"'"&amp;"!A:A"),"总价",INDIRECT("'"&amp;A8&amp;"'"&amp;"!B:B"))</f>
        <v>#REF!</v>
      </c>
      <c r="C8" s="3131" t="s">
        <v>2943</v>
      </c>
      <c r="D8" s="1878"/>
      <c r="E8" s="3136" t="e">
        <f t="shared" ref="E8:E14" ca="1" si="1">SUMIF(INDIRECT("'"&amp;A8&amp;"'"&amp;"!C:C"),"建筑面积",INDIRECT("'"&amp;A8&amp;"'"&amp;"!D:D"))</f>
        <v>#REF!</v>
      </c>
      <c r="F8" s="3136" t="e">
        <f t="shared" ref="F8:F14" ca="1" si="2">SUMIF(INDIRECT("'"&amp;A8&amp;"'"&amp;"!E:E"),"土地面积",INDIRECT("'"&amp;A8&amp;"'"&amp;"!F:F"))</f>
        <v>#REF!</v>
      </c>
    </row>
    <row r="9" spans="1:6" ht="15.6">
      <c r="A9" s="260"/>
      <c r="B9" s="3135" t="e">
        <f t="shared" ca="1" si="0"/>
        <v>#REF!</v>
      </c>
      <c r="C9" s="3131" t="s">
        <v>2943</v>
      </c>
      <c r="D9" s="1878"/>
      <c r="E9" s="3136" t="e">
        <f t="shared" ca="1" si="1"/>
        <v>#REF!</v>
      </c>
      <c r="F9" s="3136" t="e">
        <f t="shared" ca="1" si="2"/>
        <v>#REF!</v>
      </c>
    </row>
    <row r="10" spans="1:6" ht="15.6">
      <c r="A10" s="260"/>
      <c r="B10" s="3135" t="e">
        <f t="shared" ca="1" si="0"/>
        <v>#REF!</v>
      </c>
      <c r="C10" s="3131" t="s">
        <v>2943</v>
      </c>
      <c r="D10" s="1878"/>
      <c r="E10" s="3136" t="e">
        <f t="shared" ca="1" si="1"/>
        <v>#REF!</v>
      </c>
      <c r="F10" s="3136" t="e">
        <f t="shared" ca="1" si="2"/>
        <v>#REF!</v>
      </c>
    </row>
    <row r="11" spans="1:6" ht="15.6">
      <c r="A11" s="260"/>
      <c r="B11" s="3135" t="e">
        <f t="shared" ca="1" si="0"/>
        <v>#REF!</v>
      </c>
      <c r="C11" s="3131" t="s">
        <v>2943</v>
      </c>
      <c r="D11" s="1878"/>
      <c r="E11" s="3136" t="e">
        <f t="shared" ca="1" si="1"/>
        <v>#REF!</v>
      </c>
      <c r="F11" s="3136" t="e">
        <f t="shared" ca="1" si="2"/>
        <v>#REF!</v>
      </c>
    </row>
    <row r="12" spans="1:6" ht="15.6">
      <c r="A12" s="260"/>
      <c r="B12" s="3135" t="e">
        <f t="shared" ca="1" si="0"/>
        <v>#REF!</v>
      </c>
      <c r="C12" s="3131" t="s">
        <v>2943</v>
      </c>
      <c r="D12" s="1878"/>
      <c r="E12" s="3136" t="e">
        <f t="shared" ca="1" si="1"/>
        <v>#REF!</v>
      </c>
      <c r="F12" s="3136" t="e">
        <f t="shared" ca="1" si="2"/>
        <v>#REF!</v>
      </c>
    </row>
    <row r="13" spans="1:6" ht="15.6">
      <c r="A13" s="260"/>
      <c r="B13" s="3135" t="e">
        <f t="shared" ca="1" si="0"/>
        <v>#REF!</v>
      </c>
      <c r="C13" s="3131" t="s">
        <v>2943</v>
      </c>
      <c r="D13" s="1878"/>
      <c r="E13" s="3136" t="e">
        <f t="shared" ca="1" si="1"/>
        <v>#REF!</v>
      </c>
      <c r="F13" s="3136" t="e">
        <f t="shared" ca="1" si="2"/>
        <v>#REF!</v>
      </c>
    </row>
    <row r="14" spans="1:6" ht="15.6">
      <c r="A14" s="3129"/>
      <c r="B14" s="3135" t="e">
        <f t="shared" ca="1" si="0"/>
        <v>#REF!</v>
      </c>
      <c r="C14" s="3131" t="s">
        <v>2943</v>
      </c>
      <c r="D14" s="1878"/>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5"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8.33203125" style="2056" customWidth="1"/>
    <col min="16" max="16" width="30.21875" style="2056" customWidth="1"/>
    <col min="17" max="17" width="13.77734375" style="2056" customWidth="1"/>
    <col min="18" max="18" width="22.21875" style="2056" customWidth="1"/>
    <col min="19" max="19" width="1.44140625" style="2056" customWidth="1"/>
    <col min="20" max="25" width="9" style="2056"/>
    <col min="26" max="16384" width="9" style="2057"/>
  </cols>
  <sheetData>
    <row r="1" spans="1:25" s="2051" customFormat="1" ht="21.6">
      <c r="A1" s="771" t="s">
        <v>627</v>
      </c>
      <c r="B1" s="737"/>
      <c r="C1" s="772"/>
      <c r="D1" s="2047"/>
      <c r="E1" s="2408" t="s">
        <v>2374</v>
      </c>
      <c r="F1" s="2409">
        <f ca="1">J54</f>
        <v>0</v>
      </c>
      <c r="G1" s="773">
        <f>MATCH(C1,'数据-取费表'!A6:A16,0)+5</f>
        <v>10</v>
      </c>
      <c r="H1" s="1349"/>
      <c r="I1" s="2048"/>
      <c r="J1" s="2048"/>
      <c r="K1" s="2049"/>
      <c r="L1" s="2048"/>
      <c r="M1" s="2048"/>
      <c r="N1" s="2050"/>
      <c r="O1" s="2050"/>
      <c r="P1" s="2050"/>
      <c r="Q1" s="2050"/>
      <c r="R1" s="2050"/>
      <c r="S1" s="2050"/>
      <c r="T1" s="2050"/>
      <c r="U1" s="2050"/>
      <c r="V1" s="2050"/>
      <c r="W1" s="2050"/>
      <c r="X1" s="2050"/>
      <c r="Y1" s="2050"/>
    </row>
    <row r="2" spans="1:25" ht="18" customHeight="1">
      <c r="A2" s="1641" t="s">
        <v>628</v>
      </c>
      <c r="B2" s="774">
        <f ca="1">IF(ISERROR(C45+J31),0,C45+J31)</f>
        <v>0</v>
      </c>
      <c r="C2" s="1350"/>
      <c r="D2" s="2052"/>
      <c r="E2" s="2053"/>
      <c r="F2" s="2053"/>
      <c r="G2" s="1587"/>
      <c r="H2" s="1362"/>
      <c r="I2" s="2054"/>
      <c r="J2" s="2054"/>
      <c r="K2" s="2055"/>
      <c r="L2" s="2054"/>
      <c r="M2" s="2054"/>
    </row>
    <row r="3" spans="1:25" ht="18" customHeight="1">
      <c r="A3" s="1642" t="s">
        <v>1686</v>
      </c>
      <c r="B3" s="1388">
        <f ca="1">ROUND(B2*10000/'数据-汇总表'!E3,0)</f>
        <v>0</v>
      </c>
      <c r="C3" s="1350"/>
      <c r="D3" s="2052"/>
      <c r="E3" s="2053"/>
      <c r="F3" s="2053"/>
      <c r="G3" s="1587"/>
      <c r="H3" s="775" t="s">
        <v>694</v>
      </c>
      <c r="I3" s="2054"/>
      <c r="J3" s="2054"/>
      <c r="K3" s="2055"/>
      <c r="L3" s="2054"/>
      <c r="M3" s="2054"/>
    </row>
    <row r="4" spans="1:25" ht="18" customHeight="1">
      <c r="A4" s="1643" t="s">
        <v>695</v>
      </c>
      <c r="B4" s="1351">
        <f ca="1">ROUND(B2*10000/'数据-汇总表'!D3,0)</f>
        <v>0</v>
      </c>
      <c r="C4" s="428"/>
      <c r="D4" s="2052"/>
      <c r="E4" s="2053"/>
      <c r="F4" s="2053"/>
      <c r="G4" s="1587"/>
      <c r="H4" s="775"/>
      <c r="I4" s="2054"/>
      <c r="J4" s="2054"/>
      <c r="K4" s="2055"/>
      <c r="L4" s="2054"/>
      <c r="M4" s="2054"/>
    </row>
    <row r="5" spans="1:25" ht="18" customHeight="1" thickBot="1">
      <c r="A5" s="1644"/>
      <c r="B5" s="430">
        <f ca="1">ROUND(B2/('数据-汇总表'!D3/666.67),0)</f>
        <v>0</v>
      </c>
      <c r="C5" s="431" t="s">
        <v>696</v>
      </c>
      <c r="D5" s="2052"/>
      <c r="E5" s="2053"/>
      <c r="F5" s="2053"/>
      <c r="G5" s="1587"/>
      <c r="H5" s="775"/>
      <c r="I5" s="2054"/>
      <c r="J5" s="2054"/>
      <c r="K5" s="2055"/>
      <c r="L5" s="2054"/>
      <c r="M5" s="2054"/>
    </row>
    <row r="6" spans="1:25" ht="18" customHeight="1">
      <c r="A6" s="1825" t="s">
        <v>697</v>
      </c>
      <c r="B6" s="1817" t="s">
        <v>698</v>
      </c>
      <c r="C6" s="1817" t="s">
        <v>631</v>
      </c>
      <c r="D6" s="1817" t="s">
        <v>632</v>
      </c>
      <c r="E6" s="778" t="s">
        <v>633</v>
      </c>
      <c r="F6" s="779"/>
      <c r="G6" s="1589"/>
      <c r="H6" s="1825" t="s">
        <v>629</v>
      </c>
      <c r="I6" s="1817" t="s">
        <v>630</v>
      </c>
      <c r="J6" s="1817" t="s">
        <v>631</v>
      </c>
      <c r="K6" s="1817" t="s">
        <v>632</v>
      </c>
      <c r="L6" s="778" t="s">
        <v>633</v>
      </c>
      <c r="M6" s="779"/>
    </row>
    <row r="7" spans="1:25" ht="18" customHeight="1">
      <c r="A7" s="780">
        <v>1</v>
      </c>
      <c r="B7" s="781" t="s">
        <v>2457</v>
      </c>
      <c r="C7" s="53">
        <f ca="1">C8+C12+C14</f>
        <v>0</v>
      </c>
      <c r="D7" s="2517" t="s">
        <v>2460</v>
      </c>
      <c r="E7" s="2511"/>
      <c r="F7" s="2512"/>
      <c r="G7" s="1589"/>
      <c r="H7" s="780">
        <v>1</v>
      </c>
      <c r="I7" s="781" t="s">
        <v>2457</v>
      </c>
      <c r="J7" s="53">
        <f ca="1">J8+J12+J14</f>
        <v>0</v>
      </c>
      <c r="K7" s="2517" t="s">
        <v>2460</v>
      </c>
      <c r="L7" s="2511"/>
      <c r="M7" s="2512"/>
    </row>
    <row r="8" spans="1:25" ht="18" customHeight="1">
      <c r="A8" s="1827" t="s">
        <v>1824</v>
      </c>
      <c r="B8" s="3467" t="s">
        <v>2462</v>
      </c>
      <c r="C8" s="1822">
        <f ca="1">ROUND(F8*F10*F9*(1-F11)/10000,0)</f>
        <v>0</v>
      </c>
      <c r="D8" s="1819" t="s">
        <v>2533</v>
      </c>
      <c r="E8" s="61" t="s">
        <v>636</v>
      </c>
      <c r="F8" s="784">
        <f ca="1">INDIRECT("'数据-取费表'!u"&amp;$G$1)</f>
        <v>0</v>
      </c>
      <c r="G8" s="1589"/>
      <c r="H8" s="2525" t="s">
        <v>1824</v>
      </c>
      <c r="I8" s="3467" t="s">
        <v>2462</v>
      </c>
      <c r="J8" s="782">
        <f ca="1">ROUND(M8*M10*M9*(1-M11)/10000,0)</f>
        <v>0</v>
      </c>
      <c r="K8" s="341" t="s">
        <v>2533</v>
      </c>
      <c r="L8" s="783" t="s">
        <v>1738</v>
      </c>
      <c r="M8" s="784">
        <f ca="1">INDIRECT("'数据-取费表'!z"&amp;$G$1)</f>
        <v>0</v>
      </c>
    </row>
    <row r="9" spans="1:25" ht="18" customHeight="1">
      <c r="A9" s="2521"/>
      <c r="B9" s="3468"/>
      <c r="C9" s="1823"/>
      <c r="D9" s="1820"/>
      <c r="E9" s="61" t="s">
        <v>637</v>
      </c>
      <c r="F9" s="784">
        <f ca="1">IF(INDIRECT("'数据-取费表'!ah"&amp;$G$1)="",INDIRECT("'数据-取费表'!k"&amp;$G$1),INDIRECT("'数据-取费表'!ah"&amp;$G$1))</f>
        <v>0</v>
      </c>
      <c r="G9" s="1589"/>
      <c r="H9" s="2510"/>
      <c r="I9" s="3468"/>
      <c r="J9" s="787"/>
      <c r="K9" s="788"/>
      <c r="L9" s="783" t="s">
        <v>1739</v>
      </c>
      <c r="M9" s="784">
        <f ca="1">F9</f>
        <v>0</v>
      </c>
    </row>
    <row r="10" spans="1:25" ht="18" customHeight="1">
      <c r="A10" s="2514"/>
      <c r="B10" s="3469"/>
      <c r="C10" s="1823"/>
      <c r="D10" s="1820"/>
      <c r="E10" s="61" t="s">
        <v>638</v>
      </c>
      <c r="F10" s="784">
        <f ca="1">INDIRECT("'数据-取费表'!ai"&amp;$G$1)</f>
        <v>0</v>
      </c>
      <c r="G10" s="1589"/>
      <c r="H10" s="2510"/>
      <c r="I10" s="3469"/>
      <c r="J10" s="787"/>
      <c r="K10" s="788"/>
      <c r="L10" s="783" t="s">
        <v>1740</v>
      </c>
      <c r="M10" s="784">
        <f ca="1">INDIRECT("'数据-取费表'!ai"&amp;$G$1)</f>
        <v>0</v>
      </c>
    </row>
    <row r="11" spans="1:25" ht="18" customHeight="1">
      <c r="A11" s="785"/>
      <c r="B11" s="3470"/>
      <c r="C11" s="1823"/>
      <c r="D11" s="1820"/>
      <c r="E11" s="61" t="s">
        <v>639</v>
      </c>
      <c r="F11" s="793">
        <f ca="1">INDIRECT("'数据-取费表'!w"&amp;$G$1)</f>
        <v>0</v>
      </c>
      <c r="G11" s="1589"/>
      <c r="H11" s="2526"/>
      <c r="I11" s="3469"/>
      <c r="J11" s="787"/>
      <c r="K11" s="788"/>
      <c r="L11" s="794" t="s">
        <v>1741</v>
      </c>
      <c r="M11" s="795">
        <f ca="1">INDIRECT("'数据-取费表'!ab"&amp;$G$1)</f>
        <v>0</v>
      </c>
    </row>
    <row r="12" spans="1:25" ht="18" customHeight="1">
      <c r="A12" s="1827" t="s">
        <v>1825</v>
      </c>
      <c r="B12" s="2515" t="s">
        <v>2458</v>
      </c>
      <c r="C12" s="798">
        <f ca="1">ROUND(IF(F12="押一",C8/12*F13,IF(F12="押二",C8/12*2*F13,IF(F12="押三",C8/12*3*F13,C13*F13))),0)</f>
        <v>0</v>
      </c>
      <c r="D12" s="2522" t="s">
        <v>2973</v>
      </c>
      <c r="E12" s="2519" t="s">
        <v>2463</v>
      </c>
      <c r="F12" s="2642"/>
      <c r="G12" s="1589"/>
      <c r="H12" s="2582" t="s">
        <v>1825</v>
      </c>
      <c r="I12" s="2587" t="s">
        <v>2458</v>
      </c>
      <c r="J12" s="782">
        <f ca="1">ROUND(IF(M12="押一",J8/12*M13,IF(M12="押二",J8/12*2*M13,IF(M12="押三",J8/12*3*M13,J13*M13))),0)</f>
        <v>0</v>
      </c>
      <c r="K12" s="2522" t="s">
        <v>2973</v>
      </c>
      <c r="L12" s="2519" t="s">
        <v>2463</v>
      </c>
      <c r="M12" s="2642"/>
    </row>
    <row r="13" spans="1:25" ht="18" customHeight="1">
      <c r="A13" s="789"/>
      <c r="B13" s="2516" t="s">
        <v>2572</v>
      </c>
      <c r="C13" s="2520"/>
      <c r="D13" s="788"/>
      <c r="E13" s="2519" t="s">
        <v>2455</v>
      </c>
      <c r="F13" s="795">
        <f ca="1">'数据-取费表'!B39</f>
        <v>1.4999999999999999E-2</v>
      </c>
      <c r="G13" s="1589"/>
      <c r="H13" s="2583"/>
      <c r="I13" s="2516" t="s">
        <v>2572</v>
      </c>
      <c r="J13" s="2520"/>
      <c r="K13" s="2584"/>
      <c r="L13" s="2519" t="s">
        <v>2455</v>
      </c>
      <c r="M13" s="2513">
        <f ca="1">'数据-取费表'!B39</f>
        <v>1.4999999999999999E-2</v>
      </c>
    </row>
    <row r="14" spans="1:25" ht="18" customHeight="1" thickBot="1">
      <c r="A14" s="2558" t="s">
        <v>2466</v>
      </c>
      <c r="B14" s="2559" t="s">
        <v>2459</v>
      </c>
      <c r="C14" s="2560"/>
      <c r="D14" s="2561"/>
      <c r="E14" s="2562"/>
      <c r="F14" s="2563"/>
      <c r="G14" s="1589"/>
      <c r="H14" s="2572" t="s">
        <v>2466</v>
      </c>
      <c r="I14" s="2585" t="s">
        <v>2459</v>
      </c>
      <c r="J14" s="2586"/>
      <c r="K14" s="2561"/>
      <c r="L14" s="2562"/>
      <c r="M14" s="2575"/>
    </row>
    <row r="15" spans="1:25" ht="18" customHeight="1" thickTop="1">
      <c r="A15" s="1826" t="s">
        <v>1874</v>
      </c>
      <c r="B15" s="1824" t="s">
        <v>640</v>
      </c>
      <c r="C15" s="791">
        <f ca="1">ROUND(C31*F15,0)</f>
        <v>0</v>
      </c>
      <c r="D15" s="1831" t="s">
        <v>641</v>
      </c>
      <c r="E15" s="794" t="s">
        <v>642</v>
      </c>
      <c r="F15" s="799">
        <f ca="1">INDIRECT("'数据-取费表'!y"&amp;$G$1)</f>
        <v>0</v>
      </c>
      <c r="G15" s="1589"/>
      <c r="H15" s="1826" t="s">
        <v>1826</v>
      </c>
      <c r="I15" s="1824" t="s">
        <v>643</v>
      </c>
      <c r="J15" s="1816">
        <f ca="1">ROUND(J16*J17,0)</f>
        <v>0</v>
      </c>
      <c r="K15" s="1818" t="s">
        <v>641</v>
      </c>
      <c r="L15" s="800"/>
      <c r="M15" s="801"/>
    </row>
    <row r="16" spans="1:25" ht="18" customHeight="1">
      <c r="A16" s="802" t="s">
        <v>1875</v>
      </c>
      <c r="B16" s="783" t="s">
        <v>644</v>
      </c>
      <c r="C16" s="803">
        <f ca="1">INDIRECT("'数据-取费表'!m"&amp;$G$1)+INDIRECT("'数据-取费表'!t"&amp;$G$1)</f>
        <v>0</v>
      </c>
      <c r="D16" s="1976" t="s">
        <v>645</v>
      </c>
      <c r="E16" s="1977"/>
      <c r="F16" s="804"/>
      <c r="G16" s="1589"/>
      <c r="H16" s="802" t="s">
        <v>2070</v>
      </c>
      <c r="I16" s="2228" t="s">
        <v>2823</v>
      </c>
      <c r="J16" s="53">
        <f ca="1">C31</f>
        <v>0</v>
      </c>
      <c r="K16" s="26"/>
      <c r="L16" s="800"/>
      <c r="M16" s="801"/>
    </row>
    <row r="17" spans="1:25" s="2061" customFormat="1" ht="18" customHeight="1">
      <c r="A17" s="802" t="s">
        <v>1849</v>
      </c>
      <c r="B17" s="783" t="s">
        <v>646</v>
      </c>
      <c r="C17" s="53">
        <f ca="1">ROUND(C16*F17,0)</f>
        <v>0</v>
      </c>
      <c r="D17" s="805" t="s">
        <v>647</v>
      </c>
      <c r="E17" s="805" t="s">
        <v>648</v>
      </c>
      <c r="F17" s="806">
        <f>'数据-取费表'!B33</f>
        <v>0.03</v>
      </c>
      <c r="G17" s="1590"/>
      <c r="H17" s="802" t="s">
        <v>2071</v>
      </c>
      <c r="I17" s="783" t="s">
        <v>642</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89"/>
      <c r="H18" s="796" t="s">
        <v>1827</v>
      </c>
      <c r="I18" s="797" t="s">
        <v>650</v>
      </c>
      <c r="J18" s="798">
        <f ca="1">ROUND(J19+J24+J25+J26,0)</f>
        <v>0</v>
      </c>
      <c r="K18" s="26" t="s">
        <v>651</v>
      </c>
      <c r="L18" s="1979"/>
      <c r="M18" s="56"/>
    </row>
    <row r="19" spans="1:25" s="2061" customFormat="1" ht="18" customHeight="1">
      <c r="A19" s="802" t="s">
        <v>1851</v>
      </c>
      <c r="B19" s="783" t="s">
        <v>652</v>
      </c>
      <c r="C19" s="53">
        <f ca="1">ROUND(F19*(INDIRECT("'数据-取费表'!k"&amp;$G$1)+INDIRECT("'数据-取费表'!S"&amp;$G$1))/10000,0)</f>
        <v>0</v>
      </c>
      <c r="D19" s="783" t="s">
        <v>653</v>
      </c>
      <c r="E19" s="783" t="s">
        <v>654</v>
      </c>
      <c r="F19" s="56">
        <f>'数据-取费表'!B35</f>
        <v>200</v>
      </c>
      <c r="G19" s="1590"/>
      <c r="H19" s="802" t="s">
        <v>2070</v>
      </c>
      <c r="I19" s="783" t="s">
        <v>655</v>
      </c>
      <c r="J19" s="53">
        <f ca="1">ROUND(IF(项目基本情况!B11="自然人",J7*M19,J20+J21+J22),0)</f>
        <v>0</v>
      </c>
      <c r="K19" s="1976" t="s">
        <v>656</v>
      </c>
      <c r="L19" s="1974" t="s">
        <v>657</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1852</v>
      </c>
      <c r="B20" s="783" t="s">
        <v>658</v>
      </c>
      <c r="C20" s="53">
        <f ca="1">ROUND(C16*F20,0)</f>
        <v>0</v>
      </c>
      <c r="D20" s="783" t="s">
        <v>647</v>
      </c>
      <c r="E20" s="783" t="s">
        <v>648</v>
      </c>
      <c r="F20" s="808">
        <f>'数据-取费表'!B36</f>
        <v>1.4999999999999999E-2</v>
      </c>
      <c r="G20" s="1590"/>
      <c r="H20" s="802" t="s">
        <v>1831</v>
      </c>
      <c r="I20" s="783" t="s">
        <v>659</v>
      </c>
      <c r="J20" s="53">
        <f ca="1">ROUND(J7*M20/1.05,1)</f>
        <v>0</v>
      </c>
      <c r="K20" s="1974" t="s">
        <v>660</v>
      </c>
      <c r="L20" s="783" t="s">
        <v>648</v>
      </c>
      <c r="M20" s="808">
        <f>'数据-取费表'!B41</f>
        <v>5.6000000000000001E-2</v>
      </c>
      <c r="N20" s="2060"/>
      <c r="O20" s="2060"/>
      <c r="P20" s="2060"/>
      <c r="Q20" s="2060"/>
      <c r="R20" s="2060"/>
      <c r="S20" s="2060"/>
      <c r="T20" s="2060"/>
      <c r="U20" s="2060"/>
      <c r="V20" s="2060"/>
      <c r="W20" s="2060"/>
      <c r="X20" s="2060"/>
      <c r="Y20" s="2060"/>
    </row>
    <row r="21" spans="1:25" ht="18" customHeight="1">
      <c r="A21" s="802" t="s">
        <v>1876</v>
      </c>
      <c r="B21" s="783" t="s">
        <v>661</v>
      </c>
      <c r="C21" s="53">
        <f ca="1">SUM(C16:C20)</f>
        <v>0</v>
      </c>
      <c r="D21" s="261" t="s">
        <v>662</v>
      </c>
      <c r="E21" s="1979"/>
      <c r="F21" s="56"/>
      <c r="G21" s="1589"/>
      <c r="H21" s="1827" t="s">
        <v>1849</v>
      </c>
      <c r="I21" s="783" t="s">
        <v>663</v>
      </c>
      <c r="J21" s="53">
        <f ca="1">IF(K21="按租金收入计税",ROUND(J7*M21,1),ROUND(C31*F35*0.7,1))</f>
        <v>0</v>
      </c>
      <c r="K21" s="810" t="s">
        <v>664</v>
      </c>
      <c r="L21" s="783" t="s">
        <v>648</v>
      </c>
      <c r="M21" s="808">
        <f>IF(K21="按租金收入计税",'数据-取费表'!B51,'数据-取费表'!B50)</f>
        <v>1.2E-2</v>
      </c>
    </row>
    <row r="22" spans="1:25" s="2061" customFormat="1" ht="18" customHeight="1">
      <c r="A22" s="802" t="s">
        <v>1877</v>
      </c>
      <c r="B22" s="783" t="s">
        <v>665</v>
      </c>
      <c r="C22" s="53">
        <f ca="1">ROUND(C21*F22,0)</f>
        <v>0</v>
      </c>
      <c r="D22" s="811" t="s">
        <v>666</v>
      </c>
      <c r="E22" s="783" t="s">
        <v>648</v>
      </c>
      <c r="F22" s="808">
        <f>'数据-取费表'!B37</f>
        <v>1.4999999999999999E-2</v>
      </c>
      <c r="G22" s="1590"/>
      <c r="H22" s="1829" t="s">
        <v>1850</v>
      </c>
      <c r="I22" s="1819" t="s">
        <v>667</v>
      </c>
      <c r="J22" s="54">
        <f ca="1">ROUND(M22*M23/10000,0)</f>
        <v>0</v>
      </c>
      <c r="K22" s="813" t="s">
        <v>668</v>
      </c>
      <c r="L22" s="783" t="s">
        <v>669</v>
      </c>
      <c r="M22" s="639">
        <f>'数据-取费表'!B52</f>
        <v>10</v>
      </c>
      <c r="N22" s="2060"/>
      <c r="O22" s="2060"/>
      <c r="P22" s="2060"/>
      <c r="Q22" s="2060"/>
      <c r="R22" s="2060"/>
      <c r="S22" s="2060"/>
      <c r="T22" s="2060"/>
      <c r="U22" s="2060"/>
      <c r="V22" s="2060"/>
      <c r="W22" s="2060"/>
      <c r="X22" s="2060"/>
      <c r="Y22" s="2060"/>
    </row>
    <row r="23" spans="1:25" s="2061" customFormat="1" ht="18" customHeight="1">
      <c r="A23" s="802" t="s">
        <v>1878</v>
      </c>
      <c r="B23" s="783" t="s">
        <v>670</v>
      </c>
      <c r="C23" s="53" t="s">
        <v>1</v>
      </c>
      <c r="D23" s="811" t="s">
        <v>671</v>
      </c>
      <c r="E23" s="783" t="s">
        <v>672</v>
      </c>
      <c r="F23" s="808">
        <f>'数据-取费表'!B38</f>
        <v>1.4999999999999999E-2</v>
      </c>
      <c r="G23" s="1590"/>
      <c r="H23" s="1830"/>
      <c r="I23" s="1821"/>
      <c r="J23" s="69"/>
      <c r="K23" s="815"/>
      <c r="L23" s="783" t="s">
        <v>673</v>
      </c>
      <c r="M23" s="784">
        <f ca="1">INDIRECT("'数据-取费表'!r"&amp;$G$1)</f>
        <v>0</v>
      </c>
      <c r="N23" s="2060"/>
      <c r="O23" s="2060"/>
      <c r="P23" s="2060"/>
      <c r="Q23" s="2060"/>
      <c r="R23" s="2060"/>
      <c r="S23" s="2060"/>
      <c r="T23" s="2060"/>
      <c r="U23" s="2060"/>
      <c r="V23" s="2060"/>
      <c r="W23" s="2060"/>
      <c r="X23" s="2060"/>
      <c r="Y23" s="2060"/>
    </row>
    <row r="24" spans="1:25" ht="18" customHeight="1">
      <c r="A24" s="802" t="s">
        <v>1879</v>
      </c>
      <c r="B24" s="783" t="s">
        <v>674</v>
      </c>
      <c r="C24" s="53"/>
      <c r="D24" s="2593" t="str">
        <f>IF(F25&lt;=1,"单利计息。","复利计息。")&amp;"建造成本、管理费用、销售费用产生的利息。"</f>
        <v>复利计息。建造成本、管理费用、销售费用产生的利息。</v>
      </c>
      <c r="E24" s="1979"/>
      <c r="F24" s="56"/>
      <c r="G24" s="1589"/>
      <c r="H24" s="1828" t="s">
        <v>2071</v>
      </c>
      <c r="I24" s="783" t="s">
        <v>675</v>
      </c>
      <c r="J24" s="53">
        <f ca="1">ROUND(J16*M24,0)</f>
        <v>0</v>
      </c>
      <c r="K24" s="1974" t="s">
        <v>676</v>
      </c>
      <c r="L24" s="783" t="s">
        <v>648</v>
      </c>
      <c r="M24" s="816">
        <f ca="1">INDIRECT("'数据-取费表'!Ak"&amp;$G$1)</f>
        <v>0</v>
      </c>
    </row>
    <row r="25" spans="1:25" s="2061" customFormat="1" ht="18" customHeight="1">
      <c r="A25" s="802" t="s">
        <v>1875</v>
      </c>
      <c r="B25" s="783" t="s">
        <v>2437</v>
      </c>
      <c r="C25" s="53">
        <f ca="1">ROUND(IF('数据-取费表'!B22&lt;=1,(C21+C22)*F26*F25/2,(C21+C22)*(POWER((1+F26),F25/2)-1)),0)</f>
        <v>0</v>
      </c>
      <c r="D25" s="2592" t="str">
        <f>IF(F25&lt;=1,"(建造成本+管理费用)×利率×(建设周期÷2)","(建造成本+管理费用)×((1+利率)^(建设周期÷2)-1)")</f>
        <v>(建造成本+管理费用)×((1+利率)^(建设周期÷2)-1)</v>
      </c>
      <c r="E25" s="783" t="s">
        <v>677</v>
      </c>
      <c r="F25" s="639">
        <f>'数据-取费表'!B20</f>
        <v>3</v>
      </c>
      <c r="G25" s="1590"/>
      <c r="H25" s="802" t="s">
        <v>1878</v>
      </c>
      <c r="I25" s="783" t="s">
        <v>678</v>
      </c>
      <c r="J25" s="53">
        <f ca="1">ROUND(J15*M25,0)</f>
        <v>0</v>
      </c>
      <c r="K25" s="1974" t="s">
        <v>679</v>
      </c>
      <c r="L25" s="783" t="s">
        <v>648</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1849</v>
      </c>
      <c r="B26" s="783" t="s">
        <v>680</v>
      </c>
      <c r="C26" s="53">
        <f ca="1">ROUND(IF('数据-取费表'!B22&lt;=1,F23*F26*F25/2,F23*(POWER((1+F26),F25/2)-1)),4)</f>
        <v>1.1000000000000001E-3</v>
      </c>
      <c r="D26" s="2592" t="str">
        <f>IF(F25&lt;=1,"销售费用×利率×(建设周期÷2)","销售费用×((1+利率)^(建设周期÷2)-1)")</f>
        <v>销售费用×((1+利率)^(建设周期÷2)-1)</v>
      </c>
      <c r="E26" s="783" t="s">
        <v>681</v>
      </c>
      <c r="F26" s="818">
        <f ca="1">'数据-取费表'!B40</f>
        <v>4.7500000000000001E-2</v>
      </c>
      <c r="G26" s="1590"/>
      <c r="H26" s="802" t="s">
        <v>1879</v>
      </c>
      <c r="I26" s="783" t="s">
        <v>665</v>
      </c>
      <c r="J26" s="53">
        <f ca="1">ROUND(J7*M26,0)</f>
        <v>0</v>
      </c>
      <c r="K26" s="1974" t="s">
        <v>682</v>
      </c>
      <c r="L26" s="783" t="s">
        <v>648</v>
      </c>
      <c r="M26" s="793">
        <f ca="1">INDIRECT("'数据-取费表'!Am"&amp;$G$1)</f>
        <v>0</v>
      </c>
      <c r="N26" s="2060"/>
      <c r="O26" s="2060"/>
      <c r="P26" s="2060"/>
      <c r="Q26" s="2060"/>
      <c r="R26" s="2060"/>
      <c r="S26" s="2060"/>
      <c r="T26" s="2060"/>
      <c r="U26" s="2060"/>
      <c r="V26" s="2060"/>
      <c r="W26" s="2060"/>
      <c r="X26" s="2060"/>
      <c r="Y26" s="2060"/>
    </row>
    <row r="27" spans="1:25" ht="18" customHeight="1">
      <c r="A27" s="802" t="s">
        <v>1881</v>
      </c>
      <c r="B27" s="783" t="s">
        <v>683</v>
      </c>
      <c r="C27" s="53"/>
      <c r="D27" s="261" t="s">
        <v>684</v>
      </c>
      <c r="E27" s="1979"/>
      <c r="F27" s="56"/>
      <c r="G27" s="1589"/>
      <c r="H27" s="796" t="s">
        <v>1828</v>
      </c>
      <c r="I27" s="3032" t="s">
        <v>2820</v>
      </c>
      <c r="J27" s="798">
        <f ca="1">J7-J18</f>
        <v>0</v>
      </c>
      <c r="K27" s="1976" t="s">
        <v>699</v>
      </c>
      <c r="L27" s="1978"/>
      <c r="M27" s="819"/>
    </row>
    <row r="28" spans="1:25" ht="18" customHeight="1">
      <c r="A28" s="802" t="s">
        <v>1875</v>
      </c>
      <c r="B28" s="783" t="s">
        <v>2438</v>
      </c>
      <c r="C28" s="53">
        <f ca="1">ROUND((C21+C22)*F28,0)</f>
        <v>0</v>
      </c>
      <c r="D28" s="811" t="s">
        <v>700</v>
      </c>
      <c r="E28" s="794" t="s">
        <v>701</v>
      </c>
      <c r="F28" s="793">
        <f ca="1">INDIRECT("'数据-取费表'!q"&amp;$G$1)</f>
        <v>0</v>
      </c>
      <c r="G28" s="1589"/>
      <c r="H28" s="780" t="s">
        <v>1837</v>
      </c>
      <c r="I28" s="781" t="s">
        <v>702</v>
      </c>
      <c r="J28" s="782">
        <f ca="1">IF(J7&lt;&gt;0,ROUND(J27*(1-((1+M30)/(1+M28))^M29)/(M28-M30),0),0)</f>
        <v>0</v>
      </c>
      <c r="K28" s="813" t="s">
        <v>703</v>
      </c>
      <c r="L28" s="783" t="s">
        <v>704</v>
      </c>
      <c r="M28" s="793">
        <f ca="1">INDIRECT("'数据-取费表'!I"&amp;$G$1)</f>
        <v>0</v>
      </c>
    </row>
    <row r="29" spans="1:25" ht="18" customHeight="1">
      <c r="A29" s="802" t="s">
        <v>1849</v>
      </c>
      <c r="B29" s="783" t="s">
        <v>685</v>
      </c>
      <c r="C29" s="53">
        <f ca="1">ROUND(F23*F28,4)</f>
        <v>0</v>
      </c>
      <c r="D29" s="811" t="s">
        <v>705</v>
      </c>
      <c r="E29" s="805"/>
      <c r="F29" s="806"/>
      <c r="G29" s="1589"/>
      <c r="H29" s="785"/>
      <c r="I29" s="786"/>
      <c r="J29" s="787"/>
      <c r="K29" s="820" t="s">
        <v>706</v>
      </c>
      <c r="L29" s="783" t="s">
        <v>707</v>
      </c>
      <c r="M29" s="821">
        <f ca="1">INDIRECT("'数据-取费表'!ag"&amp;$G$1)</f>
        <v>0</v>
      </c>
    </row>
    <row r="30" spans="1:25" s="2061" customFormat="1" ht="18" customHeight="1">
      <c r="A30" s="802" t="s">
        <v>1882</v>
      </c>
      <c r="B30" s="783" t="s">
        <v>686</v>
      </c>
      <c r="C30" s="53">
        <f>ROUND(F30/(1+'数据-取费表'!C42),4)</f>
        <v>5.33E-2</v>
      </c>
      <c r="D30" s="811" t="s">
        <v>708</v>
      </c>
      <c r="E30" s="783" t="s">
        <v>648</v>
      </c>
      <c r="F30" s="808">
        <f>'数据-取费表'!B41</f>
        <v>5.6000000000000001E-2</v>
      </c>
      <c r="G30" s="1590"/>
      <c r="H30" s="789"/>
      <c r="I30" s="790"/>
      <c r="J30" s="791"/>
      <c r="K30" s="815"/>
      <c r="L30" s="783" t="s">
        <v>709</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1883</v>
      </c>
      <c r="B31" s="2562" t="s">
        <v>2821</v>
      </c>
      <c r="C31" s="2565">
        <f ca="1">ROUND((C21+C22+C25+C28)/(1-F23-C26-C29-C30),0)</f>
        <v>0</v>
      </c>
      <c r="D31" s="2566"/>
      <c r="E31" s="2567"/>
      <c r="F31" s="2568"/>
      <c r="G31" s="1590"/>
      <c r="H31" s="822" t="s">
        <v>1872</v>
      </c>
      <c r="I31" s="3033" t="s">
        <v>2822</v>
      </c>
      <c r="J31" s="824">
        <f ca="1">ROUND(J28/(1+F45)^F46,0)</f>
        <v>0</v>
      </c>
      <c r="K31" s="825" t="s">
        <v>687</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688</v>
      </c>
      <c r="C32" s="791">
        <f ca="1">ROUND(C33+C38+C39+C40,0)</f>
        <v>0</v>
      </c>
      <c r="D32" s="1818" t="s">
        <v>651</v>
      </c>
      <c r="E32" s="2508"/>
      <c r="F32" s="2512"/>
      <c r="G32" s="2059"/>
      <c r="H32" s="2062"/>
      <c r="I32" s="2063"/>
      <c r="J32" s="2064"/>
      <c r="K32" s="2065"/>
      <c r="L32" s="2066"/>
      <c r="M32" s="2067"/>
    </row>
    <row r="33" spans="1:18" ht="18" customHeight="1">
      <c r="A33" s="802" t="s">
        <v>1876</v>
      </c>
      <c r="B33" s="783" t="s">
        <v>655</v>
      </c>
      <c r="C33" s="53">
        <f ca="1">ROUND(IF(项目基本情况!B11="自然人",C7*F33,C34+C35+C36),1)</f>
        <v>0</v>
      </c>
      <c r="D33" s="1976" t="s">
        <v>656</v>
      </c>
      <c r="E33" s="1974" t="s">
        <v>689</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1875</v>
      </c>
      <c r="B34" s="783" t="s">
        <v>659</v>
      </c>
      <c r="C34" s="53">
        <f ca="1">ROUND(C7*F34/1.05,1)</f>
        <v>0</v>
      </c>
      <c r="D34" s="1974" t="s">
        <v>660</v>
      </c>
      <c r="E34" s="783" t="s">
        <v>648</v>
      </c>
      <c r="F34" s="808">
        <f>'数据-取费表'!B41</f>
        <v>5.6000000000000001E-2</v>
      </c>
      <c r="G34" s="2059"/>
      <c r="H34" s="2068"/>
      <c r="I34" s="2069"/>
      <c r="J34" s="2070"/>
      <c r="K34" s="2071"/>
      <c r="L34" s="2072"/>
      <c r="M34" s="2073"/>
    </row>
    <row r="35" spans="1:18" ht="18" customHeight="1">
      <c r="A35" s="802" t="s">
        <v>1849</v>
      </c>
      <c r="B35" s="783" t="s">
        <v>663</v>
      </c>
      <c r="C35" s="53">
        <f ca="1">IF(D35="按租金收入计税",ROUND(C7*F35,1),IF(D35="按房产原值计税",ROUND(C31*F35*0.7,1),INDIRECT("'数据-取费表'!Aj"&amp;$G$1)))</f>
        <v>0</v>
      </c>
      <c r="D35" s="810" t="s">
        <v>1680</v>
      </c>
      <c r="E35" s="783" t="s">
        <v>648</v>
      </c>
      <c r="F35" s="808">
        <f>IF(D35="按租金收入计税",'数据-取费表'!B51,'数据-取费表'!B50)</f>
        <v>1.2E-2</v>
      </c>
      <c r="G35" s="2059"/>
      <c r="H35" s="2074"/>
      <c r="I35" s="2074"/>
      <c r="J35" s="2074"/>
      <c r="K35" s="2075"/>
      <c r="L35" s="2074"/>
      <c r="M35" s="2074"/>
    </row>
    <row r="36" spans="1:18" ht="18" customHeight="1">
      <c r="A36" s="812" t="s">
        <v>1880</v>
      </c>
      <c r="B36" s="341" t="s">
        <v>667</v>
      </c>
      <c r="C36" s="54">
        <f ca="1">ROUND(F36*F37/10000,1)</f>
        <v>0</v>
      </c>
      <c r="D36" s="813" t="s">
        <v>668</v>
      </c>
      <c r="E36" s="783" t="s">
        <v>669</v>
      </c>
      <c r="F36" s="639">
        <f>'数据-取费表'!B52</f>
        <v>10</v>
      </c>
      <c r="G36" s="2059"/>
      <c r="H36" s="2062"/>
      <c r="I36" s="3466"/>
      <c r="J36" s="2076"/>
      <c r="K36" s="2077"/>
      <c r="L36" s="2076"/>
      <c r="M36" s="2076"/>
    </row>
    <row r="37" spans="1:18" ht="18" customHeight="1">
      <c r="A37" s="814"/>
      <c r="B37" s="792"/>
      <c r="C37" s="69"/>
      <c r="D37" s="815"/>
      <c r="E37" s="783" t="s">
        <v>673</v>
      </c>
      <c r="F37" s="784">
        <f ca="1">INDIRECT("'数据-取费表'!r"&amp;$G$1)</f>
        <v>0</v>
      </c>
      <c r="G37" s="2059"/>
      <c r="H37" s="2062"/>
      <c r="I37" s="3466"/>
      <c r="J37" s="2074"/>
      <c r="K37" s="2075"/>
      <c r="L37" s="2074"/>
      <c r="M37" s="2074"/>
    </row>
    <row r="38" spans="1:18" ht="18" customHeight="1">
      <c r="A38" s="802" t="s">
        <v>1877</v>
      </c>
      <c r="B38" s="783" t="s">
        <v>675</v>
      </c>
      <c r="C38" s="53">
        <f ca="1">ROUND(C31*F38,1)</f>
        <v>0</v>
      </c>
      <c r="D38" s="1974" t="s">
        <v>690</v>
      </c>
      <c r="E38" s="783" t="s">
        <v>648</v>
      </c>
      <c r="F38" s="816">
        <f ca="1">INDIRECT("'数据-取费表'!Ak"&amp;$G$1)</f>
        <v>0</v>
      </c>
      <c r="G38" s="2059"/>
      <c r="H38" s="2074"/>
      <c r="I38" s="2078"/>
      <c r="J38" s="1985"/>
      <c r="K38" s="2079"/>
      <c r="L38" s="2074"/>
      <c r="M38" s="2074"/>
    </row>
    <row r="39" spans="1:18" ht="18" customHeight="1">
      <c r="A39" s="802" t="s">
        <v>1878</v>
      </c>
      <c r="B39" s="783" t="s">
        <v>678</v>
      </c>
      <c r="C39" s="53">
        <f ca="1">ROUND(C15*F39,1)</f>
        <v>0</v>
      </c>
      <c r="D39" s="1974" t="s">
        <v>679</v>
      </c>
      <c r="E39" s="783" t="s">
        <v>648</v>
      </c>
      <c r="F39" s="817">
        <f ca="1">INDIRECT("'数据-取费表'!Al"&amp;$G$1)</f>
        <v>0</v>
      </c>
      <c r="G39" s="2059"/>
      <c r="H39" s="2074"/>
      <c r="I39" s="2078"/>
      <c r="J39" s="1985"/>
      <c r="K39" s="2079"/>
      <c r="L39" s="2074"/>
      <c r="M39" s="2074"/>
    </row>
    <row r="40" spans="1:18" ht="18" customHeight="1" thickBot="1">
      <c r="A40" s="2581" t="s">
        <v>1879</v>
      </c>
      <c r="B40" s="2567" t="s">
        <v>665</v>
      </c>
      <c r="C40" s="2565">
        <f ca="1">ROUND(C7*F40,1)</f>
        <v>0</v>
      </c>
      <c r="D40" s="2566" t="s">
        <v>682</v>
      </c>
      <c r="E40" s="2567" t="s">
        <v>648</v>
      </c>
      <c r="F40" s="2563">
        <f ca="1">INDIRECT("'数据-取费表'!Am"&amp;$G$1)</f>
        <v>0</v>
      </c>
      <c r="G40" s="2059"/>
      <c r="H40" s="2074"/>
      <c r="I40" s="2078"/>
      <c r="J40" s="1985"/>
      <c r="K40" s="2080"/>
      <c r="L40" s="2074"/>
      <c r="M40" s="2074"/>
    </row>
    <row r="41" spans="1:18" ht="18" customHeight="1" thickTop="1">
      <c r="A41" s="1826">
        <v>4</v>
      </c>
      <c r="B41" s="1824" t="s">
        <v>691</v>
      </c>
      <c r="C41" s="1352"/>
      <c r="D41" s="1353"/>
      <c r="E41" s="1353"/>
      <c r="F41" s="1354"/>
      <c r="G41" s="2059"/>
      <c r="H41" s="2059"/>
      <c r="I41" s="2059"/>
      <c r="J41" s="2059"/>
      <c r="K41" s="2080"/>
      <c r="L41" s="2059"/>
      <c r="M41" s="2059"/>
    </row>
    <row r="42" spans="1:18" ht="18" customHeight="1">
      <c r="A42" s="802" t="s">
        <v>1876</v>
      </c>
      <c r="B42" s="834" t="s">
        <v>692</v>
      </c>
      <c r="C42" s="828">
        <f ca="1">C7-C32</f>
        <v>0</v>
      </c>
      <c r="D42" s="1976" t="s">
        <v>693</v>
      </c>
      <c r="E42" s="1978"/>
      <c r="F42" s="819"/>
      <c r="G42" s="2059"/>
      <c r="H42" s="2059"/>
      <c r="I42" s="2059"/>
      <c r="J42" s="2059"/>
      <c r="K42" s="2080"/>
      <c r="L42" s="2059"/>
      <c r="M42" s="2059"/>
    </row>
    <row r="43" spans="1:18" ht="18" customHeight="1">
      <c r="A43" s="802" t="s">
        <v>1877</v>
      </c>
      <c r="B43" s="834" t="s">
        <v>710</v>
      </c>
      <c r="C43" s="835">
        <f ca="1">ROUND(C15*F43,0)</f>
        <v>0</v>
      </c>
      <c r="D43" s="1355" t="s">
        <v>711</v>
      </c>
      <c r="E43" s="3149" t="s">
        <v>2961</v>
      </c>
      <c r="F43" s="3150">
        <f ca="1">INDIRECT("'数据-取费表'!j"&amp;$G$1)</f>
        <v>0</v>
      </c>
      <c r="G43" s="2059"/>
      <c r="H43" s="2059"/>
      <c r="I43" s="2059"/>
      <c r="J43" s="2059"/>
      <c r="K43" s="2080"/>
      <c r="L43" s="2059"/>
      <c r="M43" s="2059"/>
    </row>
    <row r="44" spans="1:18" ht="18" customHeight="1">
      <c r="A44" s="802" t="s">
        <v>1878</v>
      </c>
      <c r="B44" s="834" t="s">
        <v>712</v>
      </c>
      <c r="C44" s="1356">
        <f ca="1">C42-C43</f>
        <v>0</v>
      </c>
      <c r="D44" s="463" t="s">
        <v>713</v>
      </c>
      <c r="E44" s="464"/>
      <c r="F44" s="465"/>
      <c r="G44" s="2059"/>
      <c r="H44" s="2059"/>
      <c r="I44" s="2059"/>
      <c r="J44" s="2059"/>
      <c r="K44" s="2080"/>
      <c r="L44" s="2059"/>
      <c r="M44" s="2059"/>
    </row>
    <row r="45" spans="1:18" ht="18" customHeight="1">
      <c r="A45" s="802" t="s">
        <v>1879</v>
      </c>
      <c r="B45" s="1355" t="s">
        <v>714</v>
      </c>
      <c r="C45" s="3059">
        <f ca="1">ROUND(-PV(F45,F46,C44,0),0)</f>
        <v>0</v>
      </c>
      <c r="D45" s="1357" t="s">
        <v>715</v>
      </c>
      <c r="E45" s="805" t="s">
        <v>716</v>
      </c>
      <c r="F45" s="829">
        <f ca="1">INDIRECT("'数据-取费表'!h"&amp;$G$1)</f>
        <v>0</v>
      </c>
      <c r="G45" s="2059"/>
      <c r="H45" s="2059"/>
      <c r="I45" s="2059"/>
      <c r="J45" s="2059"/>
      <c r="K45" s="2080"/>
      <c r="L45" s="2059"/>
      <c r="M45" s="2059"/>
    </row>
    <row r="46" spans="1:18" ht="18" customHeight="1" thickBot="1">
      <c r="A46" s="830"/>
      <c r="B46" s="1358"/>
      <c r="C46" s="1359"/>
      <c r="D46" s="1360"/>
      <c r="E46" s="3151" t="s">
        <v>2964</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2342</v>
      </c>
      <c r="J47" s="2376"/>
      <c r="K47" s="2377"/>
      <c r="L47" s="2378" t="str">
        <f ca="1">IF(M48="住宅",0,IF(L49&gt;J52,L61,J61))</f>
        <v>0</v>
      </c>
      <c r="O47" s="2415" t="s">
        <v>2410</v>
      </c>
      <c r="P47" s="1589"/>
      <c r="Q47" s="1601"/>
      <c r="R47" s="1589"/>
    </row>
    <row r="48" spans="1:18" s="2056" customFormat="1" ht="18" customHeight="1" thickBot="1">
      <c r="A48" s="2081"/>
      <c r="C48" s="2084"/>
      <c r="D48" s="2085"/>
      <c r="E48" s="2085"/>
      <c r="F48" s="2086"/>
      <c r="G48" s="2087"/>
      <c r="I48" s="2379" t="s">
        <v>2343</v>
      </c>
      <c r="J48" s="2384"/>
      <c r="K48" s="2385" t="s">
        <v>2349</v>
      </c>
      <c r="L48" s="2386">
        <f ca="1">INDIRECT("'数据-取费表'!d"&amp;$G$1)</f>
        <v>0</v>
      </c>
      <c r="M48" s="3146" t="str">
        <f>IF(ISNUMBER(FIND("住宅",C1)),"住宅","非住宅")</f>
        <v>非住宅</v>
      </c>
      <c r="O48" s="2416" t="s">
        <v>2375</v>
      </c>
      <c r="P48" s="2417" t="s">
        <v>2376</v>
      </c>
      <c r="Q48" s="2418" t="s">
        <v>2377</v>
      </c>
      <c r="R48" s="2417" t="s">
        <v>2378</v>
      </c>
    </row>
    <row r="49" spans="1:18" s="2056" customFormat="1" ht="18" customHeight="1" thickBot="1">
      <c r="A49" s="2081"/>
      <c r="D49" s="2088"/>
      <c r="E49" s="2089"/>
      <c r="F49" s="2086"/>
      <c r="G49" s="2087"/>
      <c r="H49" s="2090"/>
      <c r="I49" s="2380" t="s">
        <v>2344</v>
      </c>
      <c r="J49" s="2387"/>
      <c r="K49" s="2388" t="s">
        <v>2351</v>
      </c>
      <c r="L49" s="2389">
        <f ca="1">INDIRECT("'数据-取费表'!f"&amp;$G$1)</f>
        <v>0</v>
      </c>
      <c r="O49" s="2419" t="s">
        <v>2379</v>
      </c>
      <c r="P49" s="2420" t="s">
        <v>2405</v>
      </c>
      <c r="Q49" s="2421">
        <f ca="1">C41+J31</f>
        <v>0</v>
      </c>
      <c r="R49" s="2420" t="s">
        <v>2380</v>
      </c>
    </row>
    <row r="50" spans="1:18" s="2056" customFormat="1" ht="18" customHeight="1" thickBot="1">
      <c r="A50" s="2081"/>
      <c r="D50" s="2091"/>
      <c r="E50" s="2091"/>
      <c r="F50" s="2085"/>
      <c r="G50" s="2092"/>
      <c r="H50" s="2090"/>
      <c r="I50" s="2380" t="s">
        <v>2345</v>
      </c>
      <c r="J50" s="2390"/>
      <c r="K50" s="2391" t="s">
        <v>2352</v>
      </c>
      <c r="L50" s="2392"/>
      <c r="O50" s="2419" t="s">
        <v>2381</v>
      </c>
      <c r="P50" s="2420" t="s">
        <v>2406</v>
      </c>
      <c r="Q50" s="2421" t="str">
        <f ca="1">J61</f>
        <v>0</v>
      </c>
      <c r="R50" s="2420" t="s">
        <v>2382</v>
      </c>
    </row>
    <row r="51" spans="1:18" s="2056" customFormat="1" ht="18" customHeight="1" thickBot="1">
      <c r="A51" s="2093"/>
      <c r="D51" s="2091"/>
      <c r="E51" s="2091"/>
      <c r="F51" s="2082"/>
      <c r="H51" s="2090"/>
      <c r="I51" s="2380" t="s">
        <v>2346</v>
      </c>
      <c r="J51" s="2393">
        <f>SUMPRODUCT((I64:I66=J48)*(J63:L63=J49)*(J64:L66))</f>
        <v>0</v>
      </c>
      <c r="K51" s="2391" t="s">
        <v>2353</v>
      </c>
      <c r="L51" s="2392"/>
      <c r="O51" s="2422" t="s">
        <v>2383</v>
      </c>
      <c r="P51" s="2420" t="s">
        <v>2407</v>
      </c>
      <c r="Q51" s="2421">
        <f ca="1">C31</f>
        <v>0</v>
      </c>
      <c r="R51" s="2420" t="s">
        <v>2380</v>
      </c>
    </row>
    <row r="52" spans="1:18" s="2056" customFormat="1" ht="18" customHeight="1" thickBot="1">
      <c r="A52" s="2093"/>
      <c r="F52" s="2082"/>
      <c r="I52" s="2381" t="s">
        <v>2347</v>
      </c>
      <c r="J52" s="2394">
        <f>IF(J50="",J51,J50+J51-YEAR('数据-取费表'!B3))</f>
        <v>0</v>
      </c>
      <c r="K52" s="2380" t="s">
        <v>2354</v>
      </c>
      <c r="L52" s="2395">
        <f ca="1">ROUND(-PV(INDIRECT("'数据-取费表'!h"&amp;$G$1),L49,(C40-C14*J36),0),0)</f>
        <v>0</v>
      </c>
      <c r="O52" s="2422" t="s">
        <v>2384</v>
      </c>
      <c r="P52" s="2420" t="s">
        <v>2385</v>
      </c>
      <c r="Q52" s="2423" t="e">
        <f ca="1">J59</f>
        <v>#VALUE!</v>
      </c>
      <c r="R52" s="2424"/>
    </row>
    <row r="53" spans="1:18" s="2056" customFormat="1" ht="18" customHeight="1" thickBot="1">
      <c r="A53" s="2093"/>
      <c r="F53" s="2082"/>
      <c r="I53" s="2382" t="s">
        <v>2421</v>
      </c>
      <c r="J53" s="2396"/>
      <c r="K53" s="2382" t="s">
        <v>2420</v>
      </c>
      <c r="L53" s="2396"/>
      <c r="O53" s="2422" t="s">
        <v>2386</v>
      </c>
      <c r="P53" s="2420" t="s">
        <v>2387</v>
      </c>
      <c r="Q53" s="2423">
        <f>J53</f>
        <v>0</v>
      </c>
      <c r="R53" s="2424"/>
    </row>
    <row r="54" spans="1:18" s="2056" customFormat="1" ht="47.4" thickBot="1">
      <c r="A54" s="2093"/>
      <c r="I54" s="2383" t="s">
        <v>2348</v>
      </c>
      <c r="J54" s="2397">
        <f ca="1">IF(M48="住宅",J52,IF(J52&gt;L49,L49-'数据-取费表'!B25,J52))</f>
        <v>0</v>
      </c>
      <c r="K54" s="3471"/>
      <c r="L54" s="3472"/>
      <c r="O54" s="2422" t="s">
        <v>2388</v>
      </c>
      <c r="P54" s="2420" t="s">
        <v>2389</v>
      </c>
      <c r="Q54" s="2421">
        <f ca="1">J54</f>
        <v>0</v>
      </c>
      <c r="R54" s="2420" t="s">
        <v>2390</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2391</v>
      </c>
      <c r="P55" s="2420" t="s">
        <v>2408</v>
      </c>
      <c r="Q55" s="2421">
        <f ca="1">Q49+Q50</f>
        <v>0</v>
      </c>
      <c r="R55" s="2424" t="s">
        <v>2392</v>
      </c>
    </row>
    <row r="56" spans="1:18" s="2056" customFormat="1" ht="16.2" thickBot="1">
      <c r="A56" s="2093"/>
      <c r="B56" s="2094"/>
      <c r="C56" s="2094"/>
      <c r="I56" s="3123" t="s">
        <v>2355</v>
      </c>
      <c r="J56" s="3147" t="e">
        <f ca="1">ROUND(IF(J48="钢混",J58/J51,1-(1-2%)*(J51-J58)/J51),3)</f>
        <v>#VALUE!</v>
      </c>
      <c r="K56" s="2398" t="s">
        <v>2356</v>
      </c>
      <c r="L56" s="2399"/>
      <c r="O56" s="2425" t="s">
        <v>2411</v>
      </c>
      <c r="P56" s="1589"/>
      <c r="Q56" s="1601"/>
      <c r="R56" s="1589"/>
    </row>
    <row r="57" spans="1:18" s="2056" customFormat="1" ht="47.4" thickBot="1">
      <c r="A57" s="2093"/>
      <c r="B57" s="2094"/>
      <c r="C57" s="2094"/>
      <c r="I57" s="2400" t="s">
        <v>2357</v>
      </c>
      <c r="J57" s="3146" t="s">
        <v>1678</v>
      </c>
      <c r="K57" s="2380" t="s">
        <v>2362</v>
      </c>
      <c r="L57" s="2389">
        <f ca="1">IF(L49&lt;J52,"——",L49-J52)</f>
        <v>0</v>
      </c>
      <c r="O57" s="2416" t="s">
        <v>2375</v>
      </c>
      <c r="P57" s="2417" t="s">
        <v>2376</v>
      </c>
      <c r="Q57" s="2418" t="s">
        <v>2377</v>
      </c>
      <c r="R57" s="2417" t="s">
        <v>2378</v>
      </c>
    </row>
    <row r="58" spans="1:18" s="2056" customFormat="1" ht="31.8" thickBot="1">
      <c r="A58" s="2093"/>
      <c r="B58" s="2094"/>
      <c r="C58" s="2094"/>
      <c r="I58" s="2401" t="s">
        <v>2358</v>
      </c>
      <c r="J58" s="2403" t="str">
        <f ca="1">IF(OR(M48="住宅",J52&lt;L49,J57="是"),"——",J52-L49)</f>
        <v>——</v>
      </c>
      <c r="K58" s="2380" t="s">
        <v>2363</v>
      </c>
      <c r="L58" s="2389">
        <f ca="1">IF(L49&lt;J52,"——",IF(L56="比较法",L50,IF(L56="基准地价",L51,L52)))</f>
        <v>0</v>
      </c>
      <c r="O58" s="2419" t="s">
        <v>2379</v>
      </c>
      <c r="P58" s="2420" t="s">
        <v>2405</v>
      </c>
      <c r="Q58" s="2421">
        <f ca="1">C41+J31</f>
        <v>0</v>
      </c>
      <c r="R58" s="2420" t="s">
        <v>2380</v>
      </c>
    </row>
    <row r="59" spans="1:18" s="2056" customFormat="1" ht="31.8" thickBot="1">
      <c r="A59" s="2093"/>
      <c r="B59" s="2094"/>
      <c r="C59" s="2094"/>
      <c r="I59" s="2401" t="s">
        <v>2359</v>
      </c>
      <c r="J59" s="3148" t="e">
        <f ca="1">IF(J56&lt;0.4,0.4,J56)</f>
        <v>#VALUE!</v>
      </c>
      <c r="K59" s="2380" t="s">
        <v>2364</v>
      </c>
      <c r="L59" s="2389">
        <f ca="1">IF(ISERROR(POWER(1+L53,L48-L49)*(POWER(1+L53,L49)-1)/(POWER(1+L53,L48)-1)),0,POWER(1+L53,L48-L49)*(POWER(1+L53,L49)-1)/(POWER(1+L53,L48)-1))</f>
        <v>0</v>
      </c>
      <c r="O59" s="2419" t="s">
        <v>2381</v>
      </c>
      <c r="P59" s="2420" t="s">
        <v>2412</v>
      </c>
      <c r="Q59" s="2421" t="e">
        <f ca="1">L61</f>
        <v>#DIV/0!</v>
      </c>
      <c r="R59" s="2424" t="s">
        <v>2414</v>
      </c>
    </row>
    <row r="60" spans="1:18" s="2056" customFormat="1" ht="31.8" thickBot="1">
      <c r="A60" s="2093"/>
      <c r="B60" s="2094"/>
      <c r="C60" s="2094"/>
      <c r="I60" s="2401" t="s">
        <v>2360</v>
      </c>
      <c r="J60" s="2403" t="str">
        <f ca="1">IF(OR(M48="住宅",J52&lt;L49,J57="是"),"——",ROUND(C30*J59,0))</f>
        <v>——</v>
      </c>
      <c r="K60" s="2380" t="s">
        <v>2365</v>
      </c>
      <c r="L60" s="2389">
        <f ca="1">IF(ISERROR(POWER(1+L53,L48-J52)*(POWER(1+L53,J52)-1)/(POWER(1+L53,L48)-1)),0,POWER(1+L53,L48-J52)*(POWER(1+L53,J52)-1)/(POWER(1+L53,L48)-1))</f>
        <v>0</v>
      </c>
      <c r="O60" s="2422" t="s">
        <v>2383</v>
      </c>
      <c r="P60" s="2420" t="s">
        <v>2413</v>
      </c>
      <c r="Q60" s="2421">
        <f>IF(L56="比较法",L50,IF(L56="基准地价",L51,0))</f>
        <v>0</v>
      </c>
      <c r="R60" s="2420" t="s">
        <v>2380</v>
      </c>
    </row>
    <row r="61" spans="1:18" s="2056" customFormat="1" ht="16.2" thickBot="1">
      <c r="A61" s="2093"/>
      <c r="B61" s="2094"/>
      <c r="C61" s="2094"/>
      <c r="I61" s="2402" t="s">
        <v>2361</v>
      </c>
      <c r="J61" s="2404" t="str">
        <f ca="1">IF(OR(M48="住宅",J52&lt;L49,J57="是"),"0",ROUND(J60/(1+J53)^J54,0))</f>
        <v>0</v>
      </c>
      <c r="K61" s="2405" t="s">
        <v>2366</v>
      </c>
      <c r="L61" s="2404" t="e">
        <f ca="1">IF(OR(M48="住宅",L49&lt;J52),0,ROUND(L58*(L59/L60-1),0))</f>
        <v>#DIV/0!</v>
      </c>
      <c r="O61" s="2422" t="s">
        <v>2384</v>
      </c>
      <c r="P61" s="2420" t="s">
        <v>2393</v>
      </c>
      <c r="Q61" s="2423">
        <f>L53</f>
        <v>0</v>
      </c>
      <c r="R61" s="2424"/>
    </row>
    <row r="62" spans="1:18" s="2056" customFormat="1" ht="19.2" thickBot="1">
      <c r="A62" s="2093"/>
      <c r="B62" s="2094"/>
      <c r="C62" s="2094"/>
      <c r="K62" s="2083"/>
      <c r="O62" s="2422" t="s">
        <v>2386</v>
      </c>
      <c r="P62" s="2420" t="s">
        <v>2394</v>
      </c>
      <c r="Q62" s="2421">
        <f ca="1">L59</f>
        <v>0</v>
      </c>
      <c r="R62" s="2424" t="s">
        <v>2395</v>
      </c>
    </row>
    <row r="63" spans="1:18" s="2056" customFormat="1" ht="19.2" thickBot="1">
      <c r="A63" s="2093"/>
      <c r="B63" s="2094"/>
      <c r="C63" s="2094"/>
      <c r="I63" s="2406" t="s">
        <v>2367</v>
      </c>
      <c r="J63" s="2407" t="s">
        <v>2368</v>
      </c>
      <c r="K63" s="2407" t="s">
        <v>2369</v>
      </c>
      <c r="L63" s="2407" t="s">
        <v>2350</v>
      </c>
      <c r="M63" s="3125" t="s">
        <v>2940</v>
      </c>
      <c r="O63" s="2422" t="s">
        <v>2388</v>
      </c>
      <c r="P63" s="2420" t="s">
        <v>2396</v>
      </c>
      <c r="Q63" s="2421">
        <f ca="1">L60</f>
        <v>0</v>
      </c>
      <c r="R63" s="2424" t="s">
        <v>2397</v>
      </c>
    </row>
    <row r="64" spans="1:18" s="2056" customFormat="1" ht="16.2" thickBot="1">
      <c r="A64" s="2093"/>
      <c r="B64" s="2094"/>
      <c r="C64" s="2094"/>
      <c r="I64" s="2406" t="s">
        <v>2370</v>
      </c>
      <c r="J64" s="2407">
        <v>70</v>
      </c>
      <c r="K64" s="2407">
        <v>50</v>
      </c>
      <c r="L64" s="2407">
        <v>80</v>
      </c>
      <c r="M64" s="3126">
        <v>0.02</v>
      </c>
      <c r="O64" s="2419" t="s">
        <v>2391</v>
      </c>
      <c r="P64" s="2420" t="s">
        <v>2408</v>
      </c>
      <c r="Q64" s="2421" t="e">
        <f ca="1">Q58+Q59</f>
        <v>#DIV/0!</v>
      </c>
      <c r="R64" s="2424" t="s">
        <v>2392</v>
      </c>
    </row>
    <row r="65" spans="1:18" s="2056" customFormat="1" ht="16.2" thickBot="1">
      <c r="A65" s="2093"/>
      <c r="B65" s="2094"/>
      <c r="C65" s="2094"/>
      <c r="I65" s="2406" t="s">
        <v>2371</v>
      </c>
      <c r="J65" s="2407">
        <v>50</v>
      </c>
      <c r="K65" s="2407">
        <v>35</v>
      </c>
      <c r="L65" s="2407">
        <v>60</v>
      </c>
      <c r="M65" s="3127">
        <v>0</v>
      </c>
      <c r="O65" s="2425" t="s">
        <v>2415</v>
      </c>
      <c r="P65" s="1589"/>
      <c r="Q65" s="1601"/>
      <c r="R65" s="1589"/>
    </row>
    <row r="66" spans="1:18" s="2056" customFormat="1" ht="16.2" thickBot="1">
      <c r="A66" s="2093"/>
      <c r="B66" s="2094"/>
      <c r="C66" s="2094"/>
      <c r="I66" s="2406" t="s">
        <v>2372</v>
      </c>
      <c r="J66" s="2407">
        <v>40</v>
      </c>
      <c r="K66" s="2407">
        <v>30</v>
      </c>
      <c r="L66" s="2407">
        <v>50</v>
      </c>
      <c r="M66" s="3126">
        <v>0.02</v>
      </c>
      <c r="O66" s="2416" t="s">
        <v>2375</v>
      </c>
      <c r="P66" s="2417" t="s">
        <v>2376</v>
      </c>
      <c r="Q66" s="2418" t="s">
        <v>2377</v>
      </c>
      <c r="R66" s="2417" t="s">
        <v>2378</v>
      </c>
    </row>
    <row r="67" spans="1:18" s="2056" customFormat="1" ht="16.2" thickBot="1">
      <c r="A67" s="2093"/>
      <c r="B67" s="2094"/>
      <c r="C67" s="2094"/>
      <c r="K67" s="2083"/>
      <c r="O67" s="2419" t="s">
        <v>2379</v>
      </c>
      <c r="P67" s="2420" t="s">
        <v>2405</v>
      </c>
      <c r="Q67" s="2421">
        <f ca="1">C41+J31</f>
        <v>0</v>
      </c>
      <c r="R67" s="2420" t="s">
        <v>2380</v>
      </c>
    </row>
    <row r="68" spans="1:18" s="2056" customFormat="1" ht="19.2" thickBot="1">
      <c r="A68" s="2093"/>
      <c r="B68" s="2094"/>
      <c r="C68" s="2094"/>
      <c r="K68" s="2083"/>
      <c r="O68" s="2419" t="s">
        <v>2381</v>
      </c>
      <c r="P68" s="2420" t="s">
        <v>2412</v>
      </c>
      <c r="Q68" s="2421" t="e">
        <f ca="1">L61</f>
        <v>#DIV/0!</v>
      </c>
      <c r="R68" s="2424" t="s">
        <v>2414</v>
      </c>
    </row>
    <row r="69" spans="1:18" s="2056" customFormat="1" ht="20.399999999999999" thickBot="1">
      <c r="A69" s="2093"/>
      <c r="B69" s="2094"/>
      <c r="C69" s="2094"/>
      <c r="K69" s="2083"/>
      <c r="O69" s="2422" t="s">
        <v>2383</v>
      </c>
      <c r="P69" s="2420" t="s">
        <v>2413</v>
      </c>
      <c r="Q69" s="2426">
        <f ca="1">L52</f>
        <v>0</v>
      </c>
      <c r="R69" s="2427" t="s">
        <v>2416</v>
      </c>
    </row>
    <row r="70" spans="1:18" s="2056" customFormat="1" ht="19.2" thickBot="1">
      <c r="A70" s="2093"/>
      <c r="B70" s="2094"/>
      <c r="C70" s="2094"/>
      <c r="K70" s="2083"/>
      <c r="O70" s="2422" t="s">
        <v>2384</v>
      </c>
      <c r="P70" s="2428" t="s">
        <v>2398</v>
      </c>
      <c r="Q70" s="2421">
        <f ca="1">ROUND(Q71-Q72*Q73,0)</f>
        <v>0</v>
      </c>
      <c r="R70" s="2424"/>
    </row>
    <row r="71" spans="1:18" s="2056" customFormat="1" ht="16.2" thickBot="1">
      <c r="A71" s="2093"/>
      <c r="B71" s="2094"/>
      <c r="C71" s="2094"/>
      <c r="K71" s="2083"/>
      <c r="O71" s="2422" t="s">
        <v>2399</v>
      </c>
      <c r="P71" s="2428" t="s">
        <v>2400</v>
      </c>
      <c r="Q71" s="2421">
        <f ca="1">C42</f>
        <v>0</v>
      </c>
      <c r="R71" s="2420" t="s">
        <v>2380</v>
      </c>
    </row>
    <row r="72" spans="1:18" s="2056" customFormat="1" ht="16.2" thickBot="1">
      <c r="A72" s="2093"/>
      <c r="B72" s="2094"/>
      <c r="C72" s="2094"/>
      <c r="K72" s="2083"/>
      <c r="O72" s="2422" t="s">
        <v>2401</v>
      </c>
      <c r="P72" s="2428" t="s">
        <v>2402</v>
      </c>
      <c r="Q72" s="2421">
        <f ca="1">C15</f>
        <v>0</v>
      </c>
      <c r="R72" s="2420" t="s">
        <v>2380</v>
      </c>
    </row>
    <row r="73" spans="1:18" s="2056" customFormat="1" ht="16.2" thickBot="1">
      <c r="A73" s="2093"/>
      <c r="B73" s="2094"/>
      <c r="C73" s="2094"/>
      <c r="K73" s="2083"/>
      <c r="O73" s="2422" t="s">
        <v>2403</v>
      </c>
      <c r="P73" s="2428" t="s">
        <v>2404</v>
      </c>
      <c r="Q73" s="2423">
        <f ca="1">F43</f>
        <v>0</v>
      </c>
      <c r="R73" s="2424"/>
    </row>
    <row r="74" spans="1:18" s="2056" customFormat="1" ht="16.2" thickBot="1">
      <c r="A74" s="2093"/>
      <c r="B74" s="2094"/>
      <c r="C74" s="2094"/>
      <c r="K74" s="2083"/>
      <c r="O74" s="2422" t="s">
        <v>2386</v>
      </c>
      <c r="P74" s="2420" t="s">
        <v>2393</v>
      </c>
      <c r="Q74" s="2423">
        <f>L53</f>
        <v>0</v>
      </c>
      <c r="R74" s="2424"/>
    </row>
    <row r="75" spans="1:18" s="2056" customFormat="1" ht="19.2" thickBot="1">
      <c r="A75" s="2093"/>
      <c r="B75" s="2094"/>
      <c r="C75" s="2094"/>
      <c r="K75" s="2083"/>
      <c r="O75" s="2422" t="s">
        <v>2388</v>
      </c>
      <c r="P75" s="2420" t="s">
        <v>2394</v>
      </c>
      <c r="Q75" s="2421">
        <f ca="1">L59</f>
        <v>0</v>
      </c>
      <c r="R75" s="2424" t="s">
        <v>2395</v>
      </c>
    </row>
    <row r="76" spans="1:18" s="2056" customFormat="1" ht="19.2" thickBot="1">
      <c r="A76" s="2093"/>
      <c r="B76" s="2094"/>
      <c r="C76" s="2094"/>
      <c r="K76" s="2083"/>
      <c r="O76" s="2422" t="s">
        <v>2417</v>
      </c>
      <c r="P76" s="2420" t="s">
        <v>2396</v>
      </c>
      <c r="Q76" s="2421">
        <f ca="1">L60</f>
        <v>0</v>
      </c>
      <c r="R76" s="2424" t="s">
        <v>2397</v>
      </c>
    </row>
    <row r="77" spans="1:18" s="2056" customFormat="1" ht="16.2" thickBot="1">
      <c r="A77" s="2093"/>
      <c r="B77" s="2094"/>
      <c r="C77" s="2094"/>
      <c r="K77" s="2083"/>
      <c r="O77" s="2419" t="s">
        <v>2391</v>
      </c>
      <c r="P77" s="2420" t="s">
        <v>2408</v>
      </c>
      <c r="Q77" s="2421" t="e">
        <f ca="1">Q67+Q68</f>
        <v>#DIV/0!</v>
      </c>
      <c r="R77" s="2424"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1904</v>
      </c>
    </row>
    <row r="2" spans="1:4">
      <c r="A2" s="1776"/>
    </row>
    <row r="3" spans="1:4" ht="17.399999999999999">
      <c r="A3" s="1794" t="str">
        <f>项目基本情况!B5&amp;"："</f>
        <v>中诚信托有限责任公司：</v>
      </c>
    </row>
    <row r="4" spans="1:4" ht="34.799999999999997">
      <c r="A4" s="1788" t="str">
        <f>"受贵公司委托，我公司对"&amp;项目基本情况!K2&amp;项目基本情况!B9&amp;"进行了预评估。"</f>
        <v>受贵公司委托，我公司对陕西省西安市新城区“东方宸院”项目出让国有建设用地使用权市场价格进行了预评估。</v>
      </c>
    </row>
    <row r="5" spans="1:4" ht="17.399999999999999">
      <c r="A5" s="1791" t="s">
        <v>1905</v>
      </c>
    </row>
    <row r="6" spans="1:4" ht="87">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西安融创胤达置业有限公司使用的、位于陕西省西安市新城区“东方宸院”项目出让国有建设用地使用权。根据《国有土地使用证》[]，估价对象（分摊）出让国有建设用地使用权面积为65565平方米。根据《建设工程规划许可证》[]、《出让合同》[]，估价对象规划建筑面积为237470平方米。</v>
      </c>
    </row>
    <row r="7" spans="1:4" ht="52.2">
      <c r="A7" s="1792" t="s">
        <v>2745</v>
      </c>
    </row>
    <row r="8" spans="1:4" ht="17.399999999999999">
      <c r="A8" s="1791" t="s">
        <v>1906</v>
      </c>
    </row>
    <row r="9" spans="1:4" ht="34.799999999999997">
      <c r="A9" s="1793"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4" t="s">
        <v>2027</v>
      </c>
    </row>
    <row r="11" spans="1:4" ht="17.399999999999999">
      <c r="A11" s="1777" t="str">
        <f>TEXT(项目基本情况!D3,"yyyy年m月d日;;")&amp;IF(项目基本情况!B3=项目基本情况!D3,"（评估专业人员勘察现场之日）","")</f>
        <v>2019年2月11日（评估专业人员勘察现场之日）</v>
      </c>
    </row>
    <row r="12" spans="1:4" ht="17.399999999999999">
      <c r="A12" s="1794" t="s">
        <v>2026</v>
      </c>
    </row>
    <row r="13" spans="1:4" ht="17.399999999999999">
      <c r="A13" s="1788" t="s">
        <v>2939</v>
      </c>
    </row>
    <row r="14" spans="1:4" ht="17.399999999999999">
      <c r="A14" s="1788" t="str">
        <f>"根据"&amp;项目基本情况!F12&amp;"，本次评估估价对象证载（地类）用途为"&amp;项目基本情况!B12&amp;"。"</f>
        <v>根据《国有土地使用证》[]，本次评估估价对象证载（地类）用途为。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7.399999999999999">
      <c r="A16" s="1788" t="s">
        <v>2073</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4.799999999999997">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8" t="s">
        <v>2074</v>
      </c>
    </row>
    <row r="20" spans="1:1" ht="52.2">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根据《国有土地使用证》[]，估价对象（分摊）出让国有建设用地使用权面积为65565平方米。根据《建设工程规划许可证》[]、《出让合同》[]，估价对象规划建筑面积为237470平方米。</v>
      </c>
    </row>
    <row r="21" spans="1:1" ht="17.399999999999999">
      <c r="A21" s="1788" t="s">
        <v>2075</v>
      </c>
    </row>
    <row r="22" spans="1:1" ht="104.4">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2月10日、商业2059年2月10日车库2069年2月10日。截至估价期日，出让国有建设用地使用权剩余土地使用年限为。</v>
      </c>
    </row>
    <row r="23" spans="1:1" ht="17.399999999999999">
      <c r="A23" s="1788" t="str">
        <f>IF(项目基本情况!B16="出让","本次评估设定估价对象剩余土地使用年限为"&amp;项目基本情况!D20&amp;"。","")</f>
        <v>本次评估设定估价对象剩余土地使用年限为。</v>
      </c>
    </row>
    <row r="24" spans="1:1" ht="17.399999999999999">
      <c r="A24" s="1788" t="s">
        <v>2076</v>
      </c>
    </row>
    <row r="25" spans="1:1" ht="87">
      <c r="A25" s="1788" t="str">
        <f>定义!C53</f>
        <v>本次估价的“出让国有建设用地使用权价格”是指在估价对象土地所有权为国家所有，使用权性质为出让，在公开市场条件下、于估价期日2019年2月11日，在规划利用条件下、设定土地开发程度为红线外“七通”、宗地内场地，设定用途为住宅，剩余土地使用年限为的出让国有建设用地使用权价格。</v>
      </c>
    </row>
    <row r="26" spans="1:1" ht="17.399999999999999">
      <c r="A26" s="1788" t="str">
        <f>IF(项目基本情况!B9="市场价格","——",IF(项目基本情况!E8="抵押价格",定义!C54,IF(项目基本情况!E8="已注销",定义!C55,定义!C56)))</f>
        <v>——</v>
      </c>
    </row>
    <row r="27" spans="1:1" ht="17.399999999999999">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88" t="str">
        <f>IF(项目基本情况!B9="市场价格","——",IF(项目基本情况!E9="——","",定义!C57))</f>
        <v>——</v>
      </c>
    </row>
    <row r="29" spans="1:1" ht="17.399999999999999">
      <c r="A29" s="1794" t="s">
        <v>2028</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ColWidth="9" defaultRowHeight="13.2"/>
  <cols>
    <col min="1" max="1" width="9" style="2684"/>
    <col min="2" max="6" width="9" style="2684" customWidth="1"/>
    <col min="7" max="7" width="9" style="2700" customWidth="1"/>
    <col min="8" max="12" width="9" style="2684" customWidth="1"/>
    <col min="13" max="13" width="2.21875" style="2684" customWidth="1"/>
    <col min="14" max="14" width="9" style="2700" customWidth="1"/>
    <col min="15" max="17" width="9" style="2684" customWidth="1"/>
    <col min="18" max="18" width="2.33203125" style="2684" customWidth="1"/>
    <col min="19" max="19" width="7.109375" style="2700" customWidth="1"/>
    <col min="20" max="22" width="7.109375" style="2684" customWidth="1"/>
    <col min="23" max="23" width="24" style="2684" customWidth="1"/>
    <col min="24" max="25" width="9" style="2684"/>
    <col min="26" max="27" width="11.6640625" style="2684" customWidth="1"/>
    <col min="28" max="28" width="9" style="2684"/>
    <col min="29" max="29" width="2" style="2684" customWidth="1"/>
    <col min="30" max="16384" width="9" style="2684"/>
  </cols>
  <sheetData>
    <row r="1" spans="1:34" s="2674" customFormat="1">
      <c r="B1" s="3479" t="s">
        <v>2575</v>
      </c>
      <c r="C1" s="3479"/>
      <c r="D1" s="3479"/>
      <c r="E1" s="3479"/>
      <c r="F1" s="3479"/>
      <c r="G1" s="3478" t="s">
        <v>2576</v>
      </c>
      <c r="H1" s="3478"/>
      <c r="I1" s="3478"/>
      <c r="J1" s="3478"/>
      <c r="K1" s="3478"/>
      <c r="L1" s="3478"/>
      <c r="N1" s="3478" t="s">
        <v>2577</v>
      </c>
      <c r="O1" s="3478"/>
      <c r="P1" s="3478"/>
      <c r="Q1" s="3478"/>
      <c r="R1" s="2675"/>
      <c r="S1" s="3478" t="s">
        <v>2578</v>
      </c>
      <c r="T1" s="3478"/>
      <c r="U1" s="3478"/>
      <c r="V1" s="3478"/>
      <c r="X1" s="3477" t="s">
        <v>2638</v>
      </c>
      <c r="Y1" s="3478"/>
      <c r="Z1" s="3478"/>
      <c r="AA1" s="3478"/>
      <c r="AB1" s="3478"/>
      <c r="AD1" s="3477" t="s">
        <v>2642</v>
      </c>
      <c r="AE1" s="3478"/>
      <c r="AF1" s="3478"/>
      <c r="AG1" s="3478"/>
      <c r="AH1" s="3478"/>
    </row>
    <row r="2" spans="1:34" s="2777" customFormat="1" ht="15" thickBot="1">
      <c r="B2" s="2785" t="s">
        <v>2579</v>
      </c>
      <c r="C2" s="2785" t="s">
        <v>2640</v>
      </c>
      <c r="D2" s="2778" t="s">
        <v>1644</v>
      </c>
      <c r="E2" s="2778" t="s">
        <v>1951</v>
      </c>
      <c r="F2" s="2785" t="s">
        <v>2641</v>
      </c>
      <c r="G2" s="2781"/>
      <c r="H2" s="2780"/>
      <c r="I2" s="2785" t="s">
        <v>2955</v>
      </c>
      <c r="J2" s="2778" t="s">
        <v>2957</v>
      </c>
      <c r="K2" s="2778" t="s">
        <v>2958</v>
      </c>
      <c r="L2" s="2785" t="s">
        <v>2959</v>
      </c>
      <c r="N2" s="2785" t="s">
        <v>2579</v>
      </c>
      <c r="O2" s="2778" t="s">
        <v>2956</v>
      </c>
      <c r="P2" s="2778" t="s">
        <v>1951</v>
      </c>
      <c r="Q2" s="2785" t="s">
        <v>2641</v>
      </c>
      <c r="R2" s="2779"/>
      <c r="S2" s="2785" t="s">
        <v>2579</v>
      </c>
      <c r="T2" s="2778" t="s">
        <v>2956</v>
      </c>
      <c r="U2" s="2778" t="s">
        <v>1951</v>
      </c>
      <c r="V2" s="2785" t="s">
        <v>2641</v>
      </c>
      <c r="X2" s="2785" t="s">
        <v>2579</v>
      </c>
      <c r="Y2" s="2785" t="s">
        <v>2640</v>
      </c>
      <c r="Z2" s="2778" t="s">
        <v>1644</v>
      </c>
      <c r="AA2" s="2778" t="s">
        <v>1951</v>
      </c>
      <c r="AB2" s="2785" t="s">
        <v>2641</v>
      </c>
      <c r="AD2" s="2785" t="s">
        <v>2579</v>
      </c>
      <c r="AE2" s="2785" t="s">
        <v>2640</v>
      </c>
      <c r="AF2" s="2778" t="s">
        <v>1644</v>
      </c>
      <c r="AG2" s="2778" t="s">
        <v>1951</v>
      </c>
      <c r="AH2" s="2785" t="s">
        <v>2641</v>
      </c>
    </row>
    <row r="3" spans="1:34" s="3161" customFormat="1" ht="14.4">
      <c r="A3" s="3173" t="s">
        <v>2968</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1.4517</v>
      </c>
      <c r="Y3" s="3167">
        <f>ROUND(SUMPRODUCT(PRODUCT(1+O3:O$21)),4)</f>
        <v>1.2928999999999999</v>
      </c>
      <c r="Z3" s="3167">
        <f t="shared" ref="Z3:Z19" si="0">Y3</f>
        <v>1.2928999999999999</v>
      </c>
      <c r="AA3" s="3167">
        <f>ROUND(SUMPRODUCT(PRODUCT(1+P3:P$21)),4)</f>
        <v>1.5068999999999999</v>
      </c>
      <c r="AB3" s="3167">
        <f>ROUND(SUMPRODUCT(PRODUCT(1+Q3:Q$21)),4)</f>
        <v>1.2557</v>
      </c>
      <c r="AD3" s="3168">
        <f>ROUND(AVERAGE(I3:I$22)/100,4)</f>
        <v>2.2800000000000001E-2</v>
      </c>
      <c r="AE3" s="3168">
        <f>ROUND(AVERAGE(J3:J$22)/100,4)</f>
        <v>1.5699999999999999E-2</v>
      </c>
      <c r="AF3" s="3168">
        <f t="shared" ref="AF3:AF20" si="1">AE3</f>
        <v>1.5699999999999999E-2</v>
      </c>
      <c r="AG3" s="3168">
        <f>ROUND(AVERAGE(K3:K$22)/100,4)</f>
        <v>2.5100000000000001E-2</v>
      </c>
      <c r="AH3" s="3168">
        <f>ROUND(AVERAGE(L3:L$22)/100,4)</f>
        <v>1.35E-2</v>
      </c>
    </row>
    <row r="4" spans="1:34" s="2770" customFormat="1" ht="14.4">
      <c r="B4" s="2771"/>
      <c r="C4" s="2771"/>
      <c r="D4" s="2772"/>
      <c r="E4" s="2772"/>
      <c r="F4" s="2771"/>
      <c r="G4" s="2776"/>
      <c r="H4" s="2773"/>
      <c r="I4" s="3154"/>
      <c r="J4" s="3154"/>
      <c r="K4" s="3154"/>
      <c r="L4" s="3154"/>
      <c r="N4" s="2776"/>
      <c r="O4" s="2774"/>
      <c r="P4" s="2774"/>
      <c r="Q4" s="2774"/>
      <c r="R4" s="2774"/>
      <c r="S4" s="2776"/>
      <c r="T4" s="2774"/>
      <c r="U4" s="2774"/>
      <c r="V4" s="2774"/>
      <c r="W4" s="3170"/>
      <c r="X4" s="2775"/>
      <c r="Y4" s="2775"/>
      <c r="Z4" s="2775"/>
      <c r="AA4" s="2775"/>
      <c r="AB4" s="2775"/>
      <c r="AD4" s="2695"/>
      <c r="AE4" s="2695"/>
      <c r="AF4" s="2695"/>
      <c r="AG4" s="2695"/>
      <c r="AH4" s="2695"/>
    </row>
    <row r="5" spans="1:34" s="3140" customFormat="1">
      <c r="A5" s="3138" t="s">
        <v>2975</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9">
        <v>2</v>
      </c>
      <c r="I5" s="3155">
        <v>0</v>
      </c>
      <c r="J5" s="3155">
        <v>0</v>
      </c>
      <c r="K5" s="3155">
        <v>0</v>
      </c>
      <c r="L5" s="3155">
        <v>0</v>
      </c>
      <c r="N5" s="2783">
        <f t="shared" ref="N5" si="6">I5/100</f>
        <v>0</v>
      </c>
      <c r="O5" s="2783">
        <f t="shared" ref="O5" si="7">J5/100</f>
        <v>0</v>
      </c>
      <c r="P5" s="2783">
        <f t="shared" ref="P5" si="8">K5/100</f>
        <v>0</v>
      </c>
      <c r="Q5" s="2783">
        <f t="shared" ref="Q5" si="9">L5/100</f>
        <v>0</v>
      </c>
      <c r="R5" s="3141"/>
      <c r="S5" s="3142"/>
      <c r="T5" s="3141"/>
      <c r="U5" s="3141"/>
      <c r="V5" s="3141"/>
      <c r="W5" s="3171" t="s">
        <v>2969</v>
      </c>
      <c r="X5" s="3143">
        <f>ROUND(SUMPRODUCT(PRODUCT(1+N5:N$21)),4)</f>
        <v>1.4517</v>
      </c>
      <c r="Y5" s="3143">
        <f>ROUND(SUMPRODUCT(PRODUCT(1+O5:O$21)),4)</f>
        <v>1.2928999999999999</v>
      </c>
      <c r="Z5" s="3143">
        <f t="shared" ref="Z5" si="10">Y5</f>
        <v>1.2928999999999999</v>
      </c>
      <c r="AA5" s="3143">
        <f>ROUND(SUMPRODUCT(PRODUCT(1+P5:P$21)),4)</f>
        <v>1.5068999999999999</v>
      </c>
      <c r="AB5" s="3143">
        <f>ROUND(SUMPRODUCT(PRODUCT(1+Q5:Q$21)),4)</f>
        <v>1.2557</v>
      </c>
      <c r="AD5" s="3144">
        <f>ROUND(AVERAGE(I5:I$22)/100,4)</f>
        <v>2.2700000000000001E-2</v>
      </c>
      <c r="AE5" s="3144">
        <f>ROUND(AVERAGE(J5:J$22)/100,4)</f>
        <v>1.5699999999999999E-2</v>
      </c>
      <c r="AF5" s="3144">
        <f t="shared" ref="AF5" si="11">AE5</f>
        <v>1.5699999999999999E-2</v>
      </c>
      <c r="AG5" s="3144">
        <f>ROUND(AVERAGE(K5:K$22)/100,4)</f>
        <v>2.5000000000000001E-2</v>
      </c>
      <c r="AH5" s="3144">
        <f>ROUND(AVERAGE(L5:L$22)/100,4)</f>
        <v>1.35E-2</v>
      </c>
    </row>
    <row r="6" spans="1:34" s="2782" customFormat="1" ht="13.8" thickBot="1">
      <c r="A6" s="2676" t="s">
        <v>2976</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60">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2966</v>
      </c>
      <c r="B7" s="3175">
        <v>439</v>
      </c>
      <c r="C7" s="3175">
        <v>327</v>
      </c>
      <c r="D7" s="3175">
        <f t="shared" si="13"/>
        <v>327</v>
      </c>
      <c r="E7" s="3175">
        <v>627</v>
      </c>
      <c r="F7" s="3176">
        <v>283</v>
      </c>
      <c r="G7" s="3158">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8" thickBot="1">
      <c r="A8" s="2676" t="s">
        <v>2970</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60"/>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2580</v>
      </c>
      <c r="B9" s="2690">
        <f t="shared" si="25"/>
        <v>419.31181600000002</v>
      </c>
      <c r="C9" s="2690">
        <f t="shared" si="25"/>
        <v>313.95436800000004</v>
      </c>
      <c r="D9" s="2690">
        <f t="shared" si="13"/>
        <v>313.95436800000004</v>
      </c>
      <c r="E9" s="2690">
        <f t="shared" si="26"/>
        <v>596.63028431999999</v>
      </c>
      <c r="F9" s="2690">
        <f t="shared" si="26"/>
        <v>274.74220703999998</v>
      </c>
      <c r="G9" s="3159"/>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8" thickBot="1">
      <c r="A10" s="2676" t="s">
        <v>2581</v>
      </c>
      <c r="B10" s="2690">
        <f t="shared" si="25"/>
        <v>405.524</v>
      </c>
      <c r="C10" s="2690">
        <f t="shared" si="25"/>
        <v>307.79840000000002</v>
      </c>
      <c r="D10" s="2690">
        <f t="shared" si="13"/>
        <v>307.79840000000002</v>
      </c>
      <c r="E10" s="2690">
        <f t="shared" si="26"/>
        <v>574.67759999999998</v>
      </c>
      <c r="F10" s="2690">
        <f t="shared" si="26"/>
        <v>270.20280000000002</v>
      </c>
      <c r="G10" s="3160"/>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970</v>
      </c>
      <c r="B11" s="2682">
        <v>392</v>
      </c>
      <c r="C11" s="2682">
        <v>302</v>
      </c>
      <c r="D11" s="2682">
        <f t="shared" si="13"/>
        <v>302</v>
      </c>
      <c r="E11" s="2682">
        <v>553</v>
      </c>
      <c r="F11" s="2683">
        <v>266</v>
      </c>
      <c r="G11" s="3476">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969</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474"/>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959</v>
      </c>
      <c r="B13" s="2690">
        <f t="shared" si="34"/>
        <v>360.06949782209392</v>
      </c>
      <c r="C13" s="2690">
        <f t="shared" si="34"/>
        <v>289.84672674747821</v>
      </c>
      <c r="D13" s="2690">
        <f t="shared" si="35"/>
        <v>289.84672674747821</v>
      </c>
      <c r="E13" s="2690">
        <f t="shared" si="36"/>
        <v>501.06543001181495</v>
      </c>
      <c r="F13" s="2690">
        <f t="shared" si="36"/>
        <v>256.82882500744967</v>
      </c>
      <c r="G13" s="3474"/>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8" thickBot="1">
      <c r="A14" s="2676" t="s">
        <v>968</v>
      </c>
      <c r="B14" s="2690">
        <f t="shared" si="34"/>
        <v>346.720748986128</v>
      </c>
      <c r="C14" s="2690">
        <f t="shared" si="34"/>
        <v>284.30282172386285</v>
      </c>
      <c r="D14" s="2690">
        <f t="shared" si="35"/>
        <v>284.30282172386285</v>
      </c>
      <c r="E14" s="2690">
        <f t="shared" si="36"/>
        <v>479.58023546306947</v>
      </c>
      <c r="F14" s="2690">
        <f t="shared" si="36"/>
        <v>253.25788877571213</v>
      </c>
      <c r="G14" s="3475"/>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8" thickBot="1">
      <c r="A15" s="2676" t="s">
        <v>967</v>
      </c>
      <c r="B15" s="2682">
        <v>333</v>
      </c>
      <c r="C15" s="2682">
        <v>277</v>
      </c>
      <c r="D15" s="2682">
        <f t="shared" si="35"/>
        <v>277</v>
      </c>
      <c r="E15" s="2682">
        <v>459</v>
      </c>
      <c r="F15" s="2683">
        <v>249</v>
      </c>
      <c r="G15" s="3473">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966</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474"/>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965</v>
      </c>
      <c r="B17" s="2690">
        <f t="shared" si="38"/>
        <v>322.34053690220776</v>
      </c>
      <c r="C17" s="2690">
        <f t="shared" si="38"/>
        <v>271.46160770422546</v>
      </c>
      <c r="D17" s="2690">
        <f t="shared" si="35"/>
        <v>271.46160770422546</v>
      </c>
      <c r="E17" s="2690">
        <f t="shared" si="39"/>
        <v>442.69434542172456</v>
      </c>
      <c r="F17" s="2690">
        <f t="shared" si="39"/>
        <v>241.34030753190925</v>
      </c>
      <c r="G17" s="3474"/>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964</v>
      </c>
      <c r="B18" s="2690">
        <f t="shared" si="38"/>
        <v>319.87748030386797</v>
      </c>
      <c r="C18" s="2690">
        <f t="shared" si="38"/>
        <v>269.60135833173649</v>
      </c>
      <c r="D18" s="2690">
        <f t="shared" si="35"/>
        <v>269.60135833173649</v>
      </c>
      <c r="E18" s="2690">
        <f t="shared" si="39"/>
        <v>439.18089823583784</v>
      </c>
      <c r="F18" s="2690">
        <f t="shared" si="39"/>
        <v>239.23503918706311</v>
      </c>
      <c r="G18" s="3475"/>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8" thickBot="1">
      <c r="A19" s="2676" t="s">
        <v>963</v>
      </c>
      <c r="B19" s="2704">
        <v>318</v>
      </c>
      <c r="C19" s="2704">
        <v>268</v>
      </c>
      <c r="D19" s="2704">
        <f t="shared" si="35"/>
        <v>268</v>
      </c>
      <c r="E19" s="2704">
        <v>437</v>
      </c>
      <c r="F19" s="2705">
        <v>237</v>
      </c>
      <c r="G19" s="3473">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962</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474"/>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8" thickBot="1">
      <c r="A21" s="2676" t="s">
        <v>961</v>
      </c>
      <c r="B21" s="2690">
        <f t="shared" si="40"/>
        <v>314.72141172386546</v>
      </c>
      <c r="C21" s="2690">
        <f t="shared" si="40"/>
        <v>263.03901319069001</v>
      </c>
      <c r="D21" s="2690">
        <f t="shared" si="35"/>
        <v>263.03901319069001</v>
      </c>
      <c r="E21" s="2690">
        <f t="shared" si="41"/>
        <v>433.65745506782821</v>
      </c>
      <c r="F21" s="2690">
        <f t="shared" si="41"/>
        <v>233.23005080045735</v>
      </c>
      <c r="G21" s="3474"/>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8" thickBot="1">
      <c r="A22" s="2708" t="s">
        <v>960</v>
      </c>
      <c r="B22" s="2709">
        <f t="shared" si="40"/>
        <v>307.34512863658733</v>
      </c>
      <c r="C22" s="2709">
        <f t="shared" si="40"/>
        <v>257.80556031626975</v>
      </c>
      <c r="D22" s="2709">
        <f t="shared" si="35"/>
        <v>257.80556031626975</v>
      </c>
      <c r="E22" s="2709">
        <f t="shared" si="41"/>
        <v>422.70928459677179</v>
      </c>
      <c r="F22" s="2709">
        <f t="shared" si="41"/>
        <v>229.73803270336617</v>
      </c>
      <c r="G22" s="3475"/>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2639</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8" thickBot="1">
      <c r="A23" s="2676" t="s">
        <v>2582</v>
      </c>
      <c r="B23" s="2682">
        <v>299</v>
      </c>
      <c r="C23" s="2682">
        <v>252</v>
      </c>
      <c r="D23" s="2682">
        <f t="shared" si="35"/>
        <v>252</v>
      </c>
      <c r="E23" s="2682">
        <v>409</v>
      </c>
      <c r="F23" s="2683">
        <v>227</v>
      </c>
      <c r="G23" s="3480">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2583</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481"/>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2584</v>
      </c>
      <c r="B25" s="2690">
        <f t="shared" si="44"/>
        <v>288.2649053828776</v>
      </c>
      <c r="C25" s="2690">
        <f t="shared" si="44"/>
        <v>243.64564425013293</v>
      </c>
      <c r="D25" s="2690">
        <f t="shared" si="35"/>
        <v>243.64564425013293</v>
      </c>
      <c r="E25" s="2690">
        <f t="shared" si="45"/>
        <v>393.31080825986544</v>
      </c>
      <c r="F25" s="2690">
        <f t="shared" si="45"/>
        <v>223.07903790551154</v>
      </c>
      <c r="G25" s="3481"/>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2585</v>
      </c>
      <c r="B26" s="2690">
        <f t="shared" si="44"/>
        <v>282.50186729015837</v>
      </c>
      <c r="C26" s="2690">
        <f t="shared" si="44"/>
        <v>238.09796174155468</v>
      </c>
      <c r="D26" s="2690">
        <f t="shared" si="35"/>
        <v>238.09796174155468</v>
      </c>
      <c r="E26" s="2690">
        <f t="shared" si="45"/>
        <v>385.33438646014054</v>
      </c>
      <c r="F26" s="2690">
        <f t="shared" si="45"/>
        <v>221.55034055567739</v>
      </c>
      <c r="G26" s="3482"/>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8" thickBot="1">
      <c r="A27" s="2676" t="s">
        <v>2586</v>
      </c>
      <c r="B27" s="2720">
        <v>278</v>
      </c>
      <c r="C27" s="2720">
        <v>234</v>
      </c>
      <c r="D27" s="2720">
        <f t="shared" si="35"/>
        <v>234</v>
      </c>
      <c r="E27" s="2720">
        <v>379</v>
      </c>
      <c r="F27" s="2721">
        <v>220</v>
      </c>
      <c r="G27" s="3473">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2587</v>
      </c>
      <c r="B28" s="2690">
        <f>B27/(1+N27)</f>
        <v>275.49301357645425</v>
      </c>
      <c r="C28" s="2690">
        <f>C27/(1+O27)</f>
        <v>232.41954707985698</v>
      </c>
      <c r="D28" s="2690">
        <f t="shared" si="35"/>
        <v>232.41954707985698</v>
      </c>
      <c r="E28" s="2690">
        <f t="shared" ref="E28:F30" si="46">E27/(1+P27)</f>
        <v>375.32184591008121</v>
      </c>
      <c r="F28" s="2690">
        <f t="shared" si="46"/>
        <v>218.03766105054513</v>
      </c>
      <c r="G28" s="3474"/>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2588</v>
      </c>
      <c r="B29" s="2690">
        <f>B28/(1+N28)</f>
        <v>275.24529281292263</v>
      </c>
      <c r="C29" s="2690">
        <f>C28/(1+O28)</f>
        <v>231.74747938962707</v>
      </c>
      <c r="D29" s="2690">
        <f t="shared" si="35"/>
        <v>231.74747938962707</v>
      </c>
      <c r="E29" s="2690">
        <f t="shared" si="46"/>
        <v>375.35938184826603</v>
      </c>
      <c r="F29" s="2690">
        <f t="shared" si="46"/>
        <v>216.78033510692495</v>
      </c>
      <c r="G29" s="3474"/>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8" thickBot="1">
      <c r="A30" s="2676" t="s">
        <v>2589</v>
      </c>
      <c r="B30" s="2690">
        <f>B29/(1+N29)</f>
        <v>275.19025476197027</v>
      </c>
      <c r="C30" s="2722">
        <v>232</v>
      </c>
      <c r="D30" s="2722">
        <f t="shared" si="35"/>
        <v>232</v>
      </c>
      <c r="E30" s="2690">
        <f t="shared" si="46"/>
        <v>375.65990977608692</v>
      </c>
      <c r="F30" s="2690">
        <f t="shared" si="46"/>
        <v>214.12518283971252</v>
      </c>
      <c r="G30" s="3475"/>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8" thickBot="1">
      <c r="A31" s="2676" t="s">
        <v>2590</v>
      </c>
      <c r="B31" s="2682">
        <v>275</v>
      </c>
      <c r="C31" s="2682">
        <v>232</v>
      </c>
      <c r="D31" s="2682">
        <f t="shared" si="35"/>
        <v>232</v>
      </c>
      <c r="E31" s="2682">
        <v>376</v>
      </c>
      <c r="F31" s="2683">
        <v>213</v>
      </c>
      <c r="G31" s="3473">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2591</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474">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2592</v>
      </c>
      <c r="B33" s="2690">
        <f t="shared" si="47"/>
        <v>275.19335084830601</v>
      </c>
      <c r="C33" s="2690">
        <f t="shared" si="47"/>
        <v>230.18088050139744</v>
      </c>
      <c r="D33" s="2690">
        <f t="shared" si="35"/>
        <v>230.18088050139744</v>
      </c>
      <c r="E33" s="2690">
        <f t="shared" si="48"/>
        <v>377.58482925212331</v>
      </c>
      <c r="F33" s="2690">
        <f t="shared" si="48"/>
        <v>210.90687997847917</v>
      </c>
      <c r="G33" s="3474">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8" thickBot="1">
      <c r="A34" s="2676" t="s">
        <v>2593</v>
      </c>
      <c r="B34" s="2690">
        <f t="shared" si="47"/>
        <v>276.29854502841971</v>
      </c>
      <c r="C34" s="2690">
        <f t="shared" si="47"/>
        <v>229.79023709833027</v>
      </c>
      <c r="D34" s="2690">
        <f t="shared" si="35"/>
        <v>229.79023709833027</v>
      </c>
      <c r="E34" s="2690">
        <f t="shared" si="48"/>
        <v>379.78759731655936</v>
      </c>
      <c r="F34" s="2690">
        <f t="shared" si="48"/>
        <v>211.32953905659235</v>
      </c>
      <c r="G34" s="3475">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8" thickBot="1">
      <c r="A35" s="2676" t="s">
        <v>2594</v>
      </c>
      <c r="B35" s="2682">
        <v>269</v>
      </c>
      <c r="C35" s="2682">
        <v>221</v>
      </c>
      <c r="D35" s="2682">
        <f t="shared" si="35"/>
        <v>221</v>
      </c>
      <c r="E35" s="2682">
        <v>373</v>
      </c>
      <c r="F35" s="2683">
        <v>196</v>
      </c>
      <c r="G35" s="3473">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2595</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474">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2596</v>
      </c>
      <c r="B37" s="2690">
        <f t="shared" si="49"/>
        <v>242.95398227588385</v>
      </c>
      <c r="C37" s="2690">
        <f t="shared" si="49"/>
        <v>199.59137053614126</v>
      </c>
      <c r="D37" s="2690">
        <f t="shared" si="35"/>
        <v>199.59137053614126</v>
      </c>
      <c r="E37" s="2690">
        <f t="shared" si="50"/>
        <v>335.92189522342125</v>
      </c>
      <c r="F37" s="2690">
        <f t="shared" si="50"/>
        <v>183.10139991109489</v>
      </c>
      <c r="G37" s="3474">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8" thickBot="1">
      <c r="A38" s="2676" t="s">
        <v>2597</v>
      </c>
      <c r="B38" s="2690">
        <f t="shared" si="49"/>
        <v>232.06990378821649</v>
      </c>
      <c r="C38" s="2690">
        <f t="shared" si="49"/>
        <v>192.74878854286936</v>
      </c>
      <c r="D38" s="2690">
        <f t="shared" si="35"/>
        <v>192.74878854286936</v>
      </c>
      <c r="E38" s="2690">
        <f t="shared" si="50"/>
        <v>319.71247284992984</v>
      </c>
      <c r="F38" s="2690">
        <f t="shared" si="50"/>
        <v>175.67053622862409</v>
      </c>
      <c r="G38" s="3475">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8" thickBot="1">
      <c r="A39" s="2676" t="s">
        <v>2598</v>
      </c>
      <c r="B39" s="2682">
        <v>220</v>
      </c>
      <c r="C39" s="2682">
        <v>187</v>
      </c>
      <c r="D39" s="2682">
        <f t="shared" si="35"/>
        <v>187</v>
      </c>
      <c r="E39" s="2682">
        <v>301</v>
      </c>
      <c r="F39" s="2683">
        <v>168</v>
      </c>
      <c r="G39" s="3473">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2599</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474">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2600</v>
      </c>
      <c r="B41" s="2690">
        <f t="shared" si="51"/>
        <v>210.630522469011</v>
      </c>
      <c r="C41" s="2690">
        <f t="shared" si="51"/>
        <v>181.69567812247232</v>
      </c>
      <c r="D41" s="2690">
        <f t="shared" si="35"/>
        <v>181.69567812247232</v>
      </c>
      <c r="E41" s="2690">
        <f t="shared" si="52"/>
        <v>286.13517466736738</v>
      </c>
      <c r="F41" s="2690">
        <f t="shared" si="52"/>
        <v>165.47535084591149</v>
      </c>
      <c r="G41" s="3474">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2601</v>
      </c>
      <c r="B42" s="2690">
        <f t="shared" si="51"/>
        <v>208.83454537875372</v>
      </c>
      <c r="C42" s="2690">
        <f t="shared" si="51"/>
        <v>183.77230517090351</v>
      </c>
      <c r="D42" s="2690">
        <f t="shared" si="35"/>
        <v>183.77230517090351</v>
      </c>
      <c r="E42" s="2690">
        <f t="shared" si="52"/>
        <v>281.10342338870947</v>
      </c>
      <c r="F42" s="2690">
        <f t="shared" si="52"/>
        <v>168.97309388942256</v>
      </c>
      <c r="G42" s="3475">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8" thickBot="1">
      <c r="A43" s="2676" t="s">
        <v>2602</v>
      </c>
      <c r="B43" s="2720">
        <v>214</v>
      </c>
      <c r="C43" s="2720">
        <v>188</v>
      </c>
      <c r="D43" s="2720">
        <f t="shared" si="35"/>
        <v>188</v>
      </c>
      <c r="E43" s="2720">
        <v>289</v>
      </c>
      <c r="F43" s="2721">
        <v>166</v>
      </c>
      <c r="G43" s="3473">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2603</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474">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2604</v>
      </c>
      <c r="B45" s="2690">
        <f t="shared" si="53"/>
        <v>206.31694671589116</v>
      </c>
      <c r="C45" s="2690">
        <f t="shared" si="53"/>
        <v>183.61041121036101</v>
      </c>
      <c r="D45" s="2690">
        <f t="shared" si="35"/>
        <v>183.61041121036101</v>
      </c>
      <c r="E45" s="2690">
        <f t="shared" si="54"/>
        <v>276.66850301795557</v>
      </c>
      <c r="F45" s="2690">
        <f t="shared" si="54"/>
        <v>165.1360938278614</v>
      </c>
      <c r="G45" s="3474">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8" thickBot="1">
      <c r="A46" s="2676" t="s">
        <v>2605</v>
      </c>
      <c r="B46" s="2723">
        <f t="shared" si="53"/>
        <v>196.62341248059772</v>
      </c>
      <c r="C46" s="2723">
        <f t="shared" si="53"/>
        <v>170.99125648199012</v>
      </c>
      <c r="D46" s="2723">
        <f t="shared" si="35"/>
        <v>170.99125648199012</v>
      </c>
      <c r="E46" s="2723">
        <f t="shared" si="54"/>
        <v>266.07857570490052</v>
      </c>
      <c r="F46" s="2723">
        <f t="shared" si="54"/>
        <v>154.53499328828505</v>
      </c>
      <c r="G46" s="3475">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8" thickBot="1">
      <c r="A47" s="2676" t="s">
        <v>2606</v>
      </c>
      <c r="B47" s="2682">
        <v>188</v>
      </c>
      <c r="C47" s="2682">
        <v>165</v>
      </c>
      <c r="D47" s="2682">
        <f t="shared" si="35"/>
        <v>165</v>
      </c>
      <c r="E47" s="2682">
        <v>254</v>
      </c>
      <c r="F47" s="2683">
        <v>148</v>
      </c>
      <c r="G47" s="3473">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2607</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474">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2608</v>
      </c>
      <c r="B49" s="2690">
        <f t="shared" si="57"/>
        <v>168.82017748715555</v>
      </c>
      <c r="C49" s="2690">
        <f t="shared" si="57"/>
        <v>148.06267029972753</v>
      </c>
      <c r="D49" s="2690">
        <f t="shared" si="35"/>
        <v>148.06267029972753</v>
      </c>
      <c r="E49" s="2690">
        <f t="shared" si="58"/>
        <v>216.46288379323747</v>
      </c>
      <c r="F49" s="2690">
        <f t="shared" si="58"/>
        <v>134.23529411764704</v>
      </c>
      <c r="G49" s="3474">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2609</v>
      </c>
      <c r="B50" s="2690">
        <f t="shared" si="57"/>
        <v>163.84913591779542</v>
      </c>
      <c r="C50" s="2690">
        <f t="shared" si="57"/>
        <v>145.0283378746594</v>
      </c>
      <c r="D50" s="2690">
        <f t="shared" si="35"/>
        <v>145.0283378746594</v>
      </c>
      <c r="E50" s="2690">
        <f t="shared" si="58"/>
        <v>204.95180722891567</v>
      </c>
      <c r="F50" s="2690">
        <f t="shared" si="58"/>
        <v>125.95920303605313</v>
      </c>
      <c r="G50" s="3475">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8" thickBot="1">
      <c r="A51" s="2676" t="s">
        <v>2610</v>
      </c>
      <c r="B51" s="2704">
        <v>159</v>
      </c>
      <c r="C51" s="2704">
        <v>141</v>
      </c>
      <c r="D51" s="2704">
        <f t="shared" si="35"/>
        <v>141</v>
      </c>
      <c r="E51" s="2704">
        <v>195</v>
      </c>
      <c r="F51" s="2705">
        <v>122</v>
      </c>
      <c r="G51" s="3473">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2611</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474">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2612</v>
      </c>
      <c r="B53" s="2690">
        <f t="shared" si="61"/>
        <v>146.57412060301507</v>
      </c>
      <c r="C53" s="2690">
        <f t="shared" si="61"/>
        <v>136.46831955922866</v>
      </c>
      <c r="D53" s="2690">
        <f t="shared" si="35"/>
        <v>136.46831955922866</v>
      </c>
      <c r="E53" s="2690">
        <f t="shared" si="62"/>
        <v>166.73864894795128</v>
      </c>
      <c r="F53" s="2690">
        <f t="shared" si="62"/>
        <v>115.05882352941177</v>
      </c>
      <c r="G53" s="3474">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2613</v>
      </c>
      <c r="B54" s="2690">
        <f t="shared" si="61"/>
        <v>144.04145728643215</v>
      </c>
      <c r="C54" s="2690">
        <f t="shared" si="61"/>
        <v>136.12396694214877</v>
      </c>
      <c r="D54" s="2690">
        <f t="shared" si="35"/>
        <v>136.12396694214877</v>
      </c>
      <c r="E54" s="2690">
        <f t="shared" si="62"/>
        <v>158.32225913621264</v>
      </c>
      <c r="F54" s="2690">
        <f t="shared" si="62"/>
        <v>114.04278074866311</v>
      </c>
      <c r="G54" s="3475">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8" thickBot="1">
      <c r="A55" s="2676" t="s">
        <v>2614</v>
      </c>
      <c r="B55" s="2704">
        <v>138</v>
      </c>
      <c r="C55" s="2704">
        <v>131</v>
      </c>
      <c r="D55" s="2704">
        <f t="shared" si="35"/>
        <v>131</v>
      </c>
      <c r="E55" s="2704">
        <v>155</v>
      </c>
      <c r="F55" s="2705">
        <v>114</v>
      </c>
      <c r="G55" s="3473">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2615</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474">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2616</v>
      </c>
      <c r="B57" s="2690">
        <f t="shared" si="65"/>
        <v>124.29032258064517</v>
      </c>
      <c r="C57" s="2690">
        <f t="shared" si="65"/>
        <v>123.8968609865471</v>
      </c>
      <c r="D57" s="2690">
        <f t="shared" si="35"/>
        <v>123.8968609865471</v>
      </c>
      <c r="E57" s="2690">
        <f t="shared" si="66"/>
        <v>138.00507614213197</v>
      </c>
      <c r="F57" s="2690">
        <f t="shared" si="66"/>
        <v>107.96106557377048</v>
      </c>
      <c r="G57" s="3474">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2617</v>
      </c>
      <c r="B58" s="2690">
        <f t="shared" si="65"/>
        <v>122.57204301075269</v>
      </c>
      <c r="C58" s="2690">
        <f t="shared" si="65"/>
        <v>123.4932735426009</v>
      </c>
      <c r="D58" s="2690">
        <f t="shared" si="35"/>
        <v>123.4932735426009</v>
      </c>
      <c r="E58" s="2690">
        <f t="shared" si="66"/>
        <v>129.82233502538071</v>
      </c>
      <c r="F58" s="2690">
        <f t="shared" si="66"/>
        <v>107.39446721311475</v>
      </c>
      <c r="G58" s="3475">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8" thickBot="1">
      <c r="A59" s="2676" t="s">
        <v>2618</v>
      </c>
      <c r="B59" s="2720">
        <v>121</v>
      </c>
      <c r="C59" s="2720">
        <v>122</v>
      </c>
      <c r="D59" s="2720">
        <f t="shared" si="35"/>
        <v>122</v>
      </c>
      <c r="E59" s="2720">
        <v>124</v>
      </c>
      <c r="F59" s="2721">
        <v>107</v>
      </c>
      <c r="G59" s="3473">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2619</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474">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2620</v>
      </c>
      <c r="B61" s="2690">
        <f t="shared" si="69"/>
        <v>116.99099099099099</v>
      </c>
      <c r="C61" s="2690">
        <f t="shared" si="69"/>
        <v>118.84848484848486</v>
      </c>
      <c r="D61" s="2690">
        <f t="shared" si="35"/>
        <v>118.84848484848486</v>
      </c>
      <c r="E61" s="2690">
        <f t="shared" si="70"/>
        <v>117.60960960960961</v>
      </c>
      <c r="F61" s="2690">
        <f t="shared" si="70"/>
        <v>104</v>
      </c>
      <c r="G61" s="3474">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8" thickBot="1">
      <c r="A62" s="2676" t="s">
        <v>2621</v>
      </c>
      <c r="B62" s="2723">
        <f t="shared" si="69"/>
        <v>112.48648648648648</v>
      </c>
      <c r="C62" s="2723">
        <f t="shared" si="69"/>
        <v>115.21212121212122</v>
      </c>
      <c r="D62" s="2723">
        <f t="shared" si="35"/>
        <v>115.21212121212122</v>
      </c>
      <c r="E62" s="2723">
        <f t="shared" si="70"/>
        <v>110.4024024024024</v>
      </c>
      <c r="F62" s="2723">
        <f t="shared" si="70"/>
        <v>104</v>
      </c>
      <c r="G62" s="3475">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8" thickBot="1">
      <c r="A63" s="2676" t="s">
        <v>2622</v>
      </c>
      <c r="B63" s="2741">
        <v>111</v>
      </c>
      <c r="C63" s="2741">
        <v>114</v>
      </c>
      <c r="D63" s="2741">
        <f t="shared" si="35"/>
        <v>114</v>
      </c>
      <c r="E63" s="2741">
        <v>108</v>
      </c>
      <c r="F63" s="2742">
        <v>104</v>
      </c>
      <c r="G63" s="3473">
        <v>2003</v>
      </c>
      <c r="H63" s="2731">
        <v>4</v>
      </c>
      <c r="I63" s="2743"/>
      <c r="J63" s="2743"/>
      <c r="K63" s="2743"/>
      <c r="L63" s="2743"/>
      <c r="N63" s="2744"/>
      <c r="O63" s="2743"/>
      <c r="P63" s="2743"/>
      <c r="Q63" s="2743"/>
      <c r="S63" s="2744"/>
      <c r="T63" s="2743"/>
      <c r="U63" s="2743"/>
      <c r="V63" s="2743"/>
      <c r="X63" s="2735"/>
      <c r="Y63" s="2735"/>
      <c r="Z63" s="2735"/>
    </row>
    <row r="64" spans="1:26">
      <c r="A64" s="2676" t="s">
        <v>2623</v>
      </c>
      <c r="B64" s="2745">
        <f t="shared" ref="B64:C66" si="71">B65+(B$63-B$67)/4</f>
        <v>109.75</v>
      </c>
      <c r="C64" s="2745">
        <f t="shared" si="71"/>
        <v>112.25</v>
      </c>
      <c r="D64" s="2745">
        <f t="shared" si="35"/>
        <v>112.25</v>
      </c>
      <c r="E64" s="2745">
        <f t="shared" ref="E64:F66" si="72">E65+(E$63-E$67)/4</f>
        <v>107.25</v>
      </c>
      <c r="F64" s="2745">
        <f t="shared" si="72"/>
        <v>103.5</v>
      </c>
      <c r="G64" s="3474">
        <v>2003</v>
      </c>
      <c r="H64" s="2701">
        <v>3</v>
      </c>
      <c r="I64" s="2743"/>
      <c r="J64" s="2743"/>
      <c r="K64" s="2743"/>
      <c r="L64" s="2743"/>
      <c r="X64" s="2735"/>
      <c r="Y64" s="2735"/>
      <c r="Z64" s="2735"/>
    </row>
    <row r="65" spans="1:26">
      <c r="A65" s="2676" t="s">
        <v>2624</v>
      </c>
      <c r="B65" s="2745">
        <f t="shared" si="71"/>
        <v>108.5</v>
      </c>
      <c r="C65" s="2745">
        <f t="shared" si="71"/>
        <v>110.5</v>
      </c>
      <c r="D65" s="2745">
        <f t="shared" si="35"/>
        <v>110.5</v>
      </c>
      <c r="E65" s="2745">
        <f t="shared" si="72"/>
        <v>106.5</v>
      </c>
      <c r="F65" s="2745">
        <f t="shared" si="72"/>
        <v>103</v>
      </c>
      <c r="G65" s="3474">
        <v>2003</v>
      </c>
      <c r="H65" s="2681">
        <v>2</v>
      </c>
      <c r="I65" s="2743"/>
      <c r="J65" s="2743"/>
      <c r="K65" s="2743"/>
      <c r="L65" s="2743"/>
      <c r="X65" s="2735"/>
      <c r="Y65" s="2735"/>
      <c r="Z65" s="2735"/>
    </row>
    <row r="66" spans="1:26" ht="13.8" thickBot="1">
      <c r="A66" s="2676" t="s">
        <v>2625</v>
      </c>
      <c r="B66" s="2745">
        <f t="shared" si="71"/>
        <v>107.25</v>
      </c>
      <c r="C66" s="2745">
        <f t="shared" si="71"/>
        <v>108.75</v>
      </c>
      <c r="D66" s="2745">
        <f t="shared" si="35"/>
        <v>108.75</v>
      </c>
      <c r="E66" s="2745">
        <f t="shared" si="72"/>
        <v>105.75</v>
      </c>
      <c r="F66" s="2745">
        <f t="shared" si="72"/>
        <v>102.5</v>
      </c>
      <c r="G66" s="3475">
        <v>2003</v>
      </c>
      <c r="H66" s="2746">
        <v>1</v>
      </c>
      <c r="I66" s="2743"/>
      <c r="J66" s="2743"/>
      <c r="K66" s="2743"/>
      <c r="L66" s="2743"/>
      <c r="S66" s="2685"/>
      <c r="T66" s="2686"/>
      <c r="U66" s="2686"/>
      <c r="X66" s="2735"/>
      <c r="Y66" s="2735"/>
      <c r="Z66" s="2735"/>
    </row>
    <row r="67" spans="1:26" ht="13.8" thickBot="1">
      <c r="A67" s="2676" t="s">
        <v>2626</v>
      </c>
      <c r="B67" s="2747">
        <v>106</v>
      </c>
      <c r="C67" s="2747">
        <v>107</v>
      </c>
      <c r="D67" s="2747">
        <f t="shared" si="35"/>
        <v>107</v>
      </c>
      <c r="E67" s="2747">
        <v>105</v>
      </c>
      <c r="F67" s="2748">
        <v>102</v>
      </c>
      <c r="G67" s="3473">
        <v>2002</v>
      </c>
      <c r="H67" s="2696">
        <v>4</v>
      </c>
      <c r="I67" s="2743"/>
      <c r="J67" s="2743"/>
      <c r="K67" s="2743"/>
      <c r="L67" s="2743"/>
      <c r="N67" s="2744"/>
      <c r="O67" s="2743"/>
      <c r="P67" s="2743"/>
      <c r="Q67" s="2743"/>
      <c r="S67" s="2744"/>
      <c r="T67" s="2743"/>
      <c r="U67" s="2743"/>
      <c r="V67" s="2743"/>
      <c r="X67" s="2735"/>
      <c r="Y67" s="2735"/>
      <c r="Z67" s="2735"/>
    </row>
    <row r="68" spans="1:26">
      <c r="A68" s="2676" t="s">
        <v>2627</v>
      </c>
      <c r="B68" s="2745">
        <f t="shared" ref="B68:C70" si="73">B69+(B$67-B$71)/4</f>
        <v>105</v>
      </c>
      <c r="C68" s="2745">
        <f t="shared" si="73"/>
        <v>106</v>
      </c>
      <c r="D68" s="2745">
        <f t="shared" si="35"/>
        <v>106</v>
      </c>
      <c r="E68" s="2745">
        <f t="shared" ref="E68:F70" si="74">E69+(E$67-E$71)/4</f>
        <v>104.5</v>
      </c>
      <c r="F68" s="2745">
        <f t="shared" si="74"/>
        <v>101.5</v>
      </c>
      <c r="G68" s="3474">
        <v>2002</v>
      </c>
      <c r="H68" s="2701">
        <v>3</v>
      </c>
      <c r="I68" s="2743"/>
      <c r="J68" s="2743"/>
      <c r="K68" s="2743"/>
      <c r="L68" s="2743"/>
      <c r="X68" s="2735"/>
      <c r="Y68" s="2735"/>
      <c r="Z68" s="2735"/>
    </row>
    <row r="69" spans="1:26">
      <c r="A69" s="2676" t="s">
        <v>2628</v>
      </c>
      <c r="B69" s="2745">
        <f t="shared" si="73"/>
        <v>104</v>
      </c>
      <c r="C69" s="2745">
        <f t="shared" si="73"/>
        <v>105</v>
      </c>
      <c r="D69" s="2745">
        <f t="shared" si="35"/>
        <v>105</v>
      </c>
      <c r="E69" s="2745">
        <f t="shared" si="74"/>
        <v>104</v>
      </c>
      <c r="F69" s="2745">
        <f t="shared" si="74"/>
        <v>101</v>
      </c>
      <c r="G69" s="3474">
        <v>2002</v>
      </c>
      <c r="H69" s="2681">
        <v>2</v>
      </c>
      <c r="I69" s="2743"/>
      <c r="J69" s="2743"/>
      <c r="K69" s="2743"/>
      <c r="L69" s="2743"/>
      <c r="X69" s="2735"/>
      <c r="Y69" s="2735"/>
      <c r="Z69" s="2735"/>
    </row>
    <row r="70" spans="1:26" s="2712" customFormat="1" ht="13.8" thickBot="1">
      <c r="A70" s="2708" t="s">
        <v>2629</v>
      </c>
      <c r="B70" s="2749">
        <f t="shared" si="73"/>
        <v>103</v>
      </c>
      <c r="C70" s="2749">
        <f t="shared" si="73"/>
        <v>104</v>
      </c>
      <c r="D70" s="2749">
        <f t="shared" si="35"/>
        <v>104</v>
      </c>
      <c r="E70" s="2749">
        <f t="shared" si="74"/>
        <v>103.5</v>
      </c>
      <c r="F70" s="2749">
        <f t="shared" si="74"/>
        <v>100.5</v>
      </c>
      <c r="G70" s="3475">
        <v>2002</v>
      </c>
      <c r="H70" s="2750">
        <v>1</v>
      </c>
      <c r="I70" s="2751"/>
      <c r="J70" s="2751"/>
      <c r="K70" s="2751"/>
      <c r="L70" s="2751"/>
      <c r="N70" s="2752"/>
      <c r="S70" s="2752"/>
      <c r="X70" s="2753"/>
      <c r="Y70" s="2753"/>
      <c r="Z70" s="2753"/>
    </row>
    <row r="71" spans="1:26" ht="13.8"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2630</v>
      </c>
      <c r="G73" s="2759"/>
      <c r="N73" s="2759"/>
      <c r="S73" s="2759"/>
    </row>
    <row r="74" spans="1:26" s="2758" customFormat="1">
      <c r="A74" s="2758" t="s">
        <v>2631</v>
      </c>
      <c r="G74" s="2759"/>
      <c r="N74" s="2759"/>
      <c r="S74" s="2759"/>
    </row>
    <row r="75" spans="1:26" s="2758" customFormat="1">
      <c r="A75" s="2758" t="s">
        <v>2632</v>
      </c>
      <c r="G75" s="2759"/>
      <c r="I75" s="2760"/>
      <c r="J75" s="2760"/>
      <c r="K75" s="2760"/>
      <c r="L75" s="2760"/>
      <c r="N75" s="2761"/>
      <c r="O75" s="2760"/>
      <c r="P75" s="2760"/>
      <c r="Q75" s="2760"/>
      <c r="S75" s="2761"/>
      <c r="T75" s="2760"/>
      <c r="U75" s="2760"/>
      <c r="V75" s="2760"/>
    </row>
    <row r="76" spans="1:26" s="2758" customFormat="1">
      <c r="A76" s="2758" t="s">
        <v>2633</v>
      </c>
      <c r="G76" s="2759"/>
      <c r="N76" s="2759"/>
      <c r="S76" s="2759"/>
    </row>
    <row r="83" spans="7:22" ht="13.8" thickBot="1"/>
    <row r="84" spans="7:22">
      <c r="G84" s="2684"/>
      <c r="S84" s="2762" t="s">
        <v>2634</v>
      </c>
      <c r="T84" s="2763" t="s">
        <v>2635</v>
      </c>
      <c r="U84" s="2763" t="s">
        <v>2636</v>
      </c>
      <c r="V84" s="2763" t="s">
        <v>2637</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8"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workbookViewId="0">
      <selection activeCell="C40" sqref="C40"/>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1725</v>
      </c>
      <c r="B1" s="737"/>
      <c r="C1" s="772" t="s">
        <v>3136</v>
      </c>
      <c r="D1" s="3152" t="s">
        <v>3132</v>
      </c>
      <c r="E1" s="2408" t="s">
        <v>869</v>
      </c>
      <c r="F1" s="2409">
        <f ca="1">J53</f>
        <v>47</v>
      </c>
      <c r="G1" s="773">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1726</v>
      </c>
      <c r="B2" s="774">
        <f ca="1">C40+J29+L46</f>
        <v>7861</v>
      </c>
      <c r="C2" s="2054"/>
      <c r="D2" s="2052"/>
      <c r="E2" s="2053"/>
      <c r="F2" s="2053"/>
      <c r="G2" s="1587"/>
      <c r="H2" s="2054"/>
      <c r="I2" s="2054"/>
      <c r="J2" s="2054"/>
      <c r="K2" s="2055"/>
      <c r="L2" s="2054"/>
      <c r="M2" s="2054"/>
    </row>
    <row r="3" spans="1:33" ht="18" customHeight="1" thickBot="1">
      <c r="A3" s="832" t="s">
        <v>518</v>
      </c>
      <c r="B3" s="833">
        <f ca="1">IF(ISERROR(B2*10000/F43),0,ROUND(B2*10000/F43,0))</f>
        <v>1428</v>
      </c>
      <c r="C3" s="2054"/>
      <c r="D3" s="2052"/>
      <c r="E3" s="2053"/>
      <c r="F3" s="2053"/>
      <c r="G3" s="1587"/>
      <c r="H3" s="775" t="s">
        <v>694</v>
      </c>
      <c r="I3" s="1362"/>
      <c r="J3" s="1362"/>
      <c r="K3" s="1588"/>
      <c r="L3" s="1362"/>
      <c r="M3" s="1362"/>
    </row>
    <row r="4" spans="1:33" ht="18" customHeight="1">
      <c r="A4" s="776" t="s">
        <v>1728</v>
      </c>
      <c r="B4" s="777" t="s">
        <v>630</v>
      </c>
      <c r="C4" s="777" t="s">
        <v>1730</v>
      </c>
      <c r="D4" s="777" t="s">
        <v>632</v>
      </c>
      <c r="E4" s="778" t="s">
        <v>1731</v>
      </c>
      <c r="F4" s="779"/>
      <c r="G4" s="1589"/>
      <c r="H4" s="776" t="s">
        <v>1728</v>
      </c>
      <c r="I4" s="777" t="s">
        <v>630</v>
      </c>
      <c r="J4" s="777" t="s">
        <v>1730</v>
      </c>
      <c r="K4" s="777" t="s">
        <v>632</v>
      </c>
      <c r="L4" s="778" t="s">
        <v>1736</v>
      </c>
      <c r="M4" s="779"/>
    </row>
    <row r="5" spans="1:33" ht="18" customHeight="1">
      <c r="A5" s="780">
        <v>1</v>
      </c>
      <c r="B5" s="781" t="s">
        <v>2457</v>
      </c>
      <c r="C5" s="55">
        <f ca="1">C6+C10+C12</f>
        <v>795</v>
      </c>
      <c r="D5" s="2517" t="s">
        <v>2460</v>
      </c>
      <c r="E5" s="2511"/>
      <c r="F5" s="2512"/>
      <c r="G5" s="1589"/>
      <c r="H5" s="780">
        <v>1</v>
      </c>
      <c r="I5" s="781" t="s">
        <v>2457</v>
      </c>
      <c r="J5" s="55">
        <f ca="1">J6+J10+J12</f>
        <v>0</v>
      </c>
      <c r="K5" s="2517" t="s">
        <v>2460</v>
      </c>
      <c r="L5" s="2511"/>
      <c r="M5" s="2512"/>
    </row>
    <row r="6" spans="1:33" ht="18" customHeight="1">
      <c r="A6" s="1827" t="s">
        <v>1824</v>
      </c>
      <c r="B6" s="3467" t="s">
        <v>2462</v>
      </c>
      <c r="C6" s="782">
        <f ca="1">ROUND(F6*F8*F7*(1-F9)/10000,0)</f>
        <v>795</v>
      </c>
      <c r="D6" s="2518" t="s">
        <v>2461</v>
      </c>
      <c r="E6" s="783" t="s">
        <v>636</v>
      </c>
      <c r="F6" s="784">
        <f ca="1">INDIRECT("'数据-取费表'!u"&amp;$G$1)</f>
        <v>500</v>
      </c>
      <c r="G6" s="1589"/>
      <c r="H6" s="2525" t="s">
        <v>1830</v>
      </c>
      <c r="I6" s="3467" t="s">
        <v>2462</v>
      </c>
      <c r="J6" s="782">
        <f ca="1">ROUND(M6*M8*M7*(1-M9)/10000,0)</f>
        <v>0</v>
      </c>
      <c r="K6" s="341" t="s">
        <v>1737</v>
      </c>
      <c r="L6" s="783" t="s">
        <v>636</v>
      </c>
      <c r="M6" s="784">
        <f ca="1">INDIRECT("'数据-取费表'!z"&amp;$G$1)</f>
        <v>0</v>
      </c>
    </row>
    <row r="7" spans="1:33" ht="18" customHeight="1">
      <c r="A7" s="2521"/>
      <c r="B7" s="3468"/>
      <c r="C7" s="787"/>
      <c r="D7" s="788"/>
      <c r="E7" s="783" t="s">
        <v>1739</v>
      </c>
      <c r="F7" s="784">
        <f ca="1">IF(INDIRECT("'数据-取费表'!ah"&amp;$G$1)="",INDIRECT("'数据-取费表'!k"&amp;$G$1),INDIRECT("'数据-取费表'!ah"&amp;$G$1))</f>
        <v>1473</v>
      </c>
      <c r="G7" s="1589"/>
      <c r="H7" s="2510"/>
      <c r="I7" s="3468"/>
      <c r="J7" s="787"/>
      <c r="K7" s="788"/>
      <c r="L7" s="783" t="s">
        <v>1739</v>
      </c>
      <c r="M7" s="784">
        <f ca="1">F7</f>
        <v>1473</v>
      </c>
    </row>
    <row r="8" spans="1:33" ht="18" customHeight="1">
      <c r="A8" s="2514"/>
      <c r="B8" s="3469"/>
      <c r="C8" s="787"/>
      <c r="D8" s="788"/>
      <c r="E8" s="783" t="s">
        <v>638</v>
      </c>
      <c r="F8" s="784">
        <f ca="1">INDIRECT("'数据-取费表'!ai"&amp;$G$1)</f>
        <v>12</v>
      </c>
      <c r="G8" s="1589"/>
      <c r="H8" s="2510"/>
      <c r="I8" s="3469"/>
      <c r="J8" s="787"/>
      <c r="K8" s="788"/>
      <c r="L8" s="783" t="s">
        <v>638</v>
      </c>
      <c r="M8" s="784">
        <f ca="1">INDIRECT("'数据-取费表'!ai"&amp;$G$1)</f>
        <v>12</v>
      </c>
    </row>
    <row r="9" spans="1:33" ht="18" customHeight="1">
      <c r="A9" s="785"/>
      <c r="B9" s="3470"/>
      <c r="C9" s="787"/>
      <c r="D9" s="788"/>
      <c r="E9" s="783" t="s">
        <v>1741</v>
      </c>
      <c r="F9" s="793">
        <f ca="1">INDIRECT("'数据-取费表'!w"&amp;$G$1)</f>
        <v>0.1</v>
      </c>
      <c r="G9" s="1589"/>
      <c r="H9" s="2526"/>
      <c r="I9" s="3469"/>
      <c r="J9" s="787"/>
      <c r="K9" s="788"/>
      <c r="L9" s="794" t="s">
        <v>1741</v>
      </c>
      <c r="M9" s="795">
        <f ca="1">INDIRECT("'数据-取费表'!ab"&amp;$G$1)</f>
        <v>0</v>
      </c>
    </row>
    <row r="10" spans="1:33" ht="18" customHeight="1">
      <c r="A10" s="1827" t="s">
        <v>1834</v>
      </c>
      <c r="B10" s="2515" t="s">
        <v>2458</v>
      </c>
      <c r="C10" s="798">
        <f ca="1">ROUND(IF(F10="押一",C6/12*F11,IF(F10="押二",C6/12*2*F11,IF(F10="押三",C6/12*3*F11,C11*F11))),0)</f>
        <v>0</v>
      </c>
      <c r="D10" s="2522" t="s">
        <v>2973</v>
      </c>
      <c r="E10" s="2519" t="s">
        <v>2463</v>
      </c>
      <c r="F10" s="2642" t="s">
        <v>3353</v>
      </c>
      <c r="G10" s="1589"/>
      <c r="H10" s="2582" t="s">
        <v>2468</v>
      </c>
      <c r="I10" s="2587" t="s">
        <v>2458</v>
      </c>
      <c r="J10" s="782">
        <f ca="1">ROUND(IF(M10="押一",J6/12*M11,IF(M10="押二",J6/12*2*M11,IF(M10="押三",J6/12*3*M11,J11*M11))),0)</f>
        <v>0</v>
      </c>
      <c r="K10" s="2522" t="s">
        <v>2973</v>
      </c>
      <c r="L10" s="2519" t="s">
        <v>2463</v>
      </c>
      <c r="M10" s="2642"/>
    </row>
    <row r="11" spans="1:33" ht="18" customHeight="1">
      <c r="A11" s="789"/>
      <c r="B11" s="2516" t="s">
        <v>2572</v>
      </c>
      <c r="C11" s="2520"/>
      <c r="D11" s="788"/>
      <c r="E11" s="2519" t="s">
        <v>2464</v>
      </c>
      <c r="F11" s="795">
        <f ca="1">'数据-取费表'!B39</f>
        <v>1.4999999999999999E-2</v>
      </c>
      <c r="G11" s="1589"/>
      <c r="H11" s="2583"/>
      <c r="I11" s="2516" t="s">
        <v>2572</v>
      </c>
      <c r="J11" s="2520"/>
      <c r="K11" s="2584"/>
      <c r="L11" s="2519" t="s">
        <v>2464</v>
      </c>
      <c r="M11" s="2513">
        <f ca="1">'数据-取费表'!B39</f>
        <v>1.4999999999999999E-2</v>
      </c>
    </row>
    <row r="12" spans="1:33" ht="18" customHeight="1" thickBot="1">
      <c r="A12" s="2558" t="s">
        <v>2466</v>
      </c>
      <c r="B12" s="2559" t="s">
        <v>2459</v>
      </c>
      <c r="C12" s="2560"/>
      <c r="D12" s="2561"/>
      <c r="E12" s="2562"/>
      <c r="F12" s="2563"/>
      <c r="G12" s="1589"/>
      <c r="H12" s="2572" t="s">
        <v>2466</v>
      </c>
      <c r="I12" s="2585" t="s">
        <v>2459</v>
      </c>
      <c r="J12" s="2586"/>
      <c r="K12" s="2561"/>
      <c r="L12" s="2562"/>
      <c r="M12" s="2575"/>
    </row>
    <row r="13" spans="1:33" ht="18" customHeight="1" thickTop="1">
      <c r="A13" s="1826">
        <v>2</v>
      </c>
      <c r="B13" s="1824" t="s">
        <v>643</v>
      </c>
      <c r="C13" s="791">
        <f ca="1">ROUND(C29*F13,0)</f>
        <v>18968</v>
      </c>
      <c r="D13" s="1831" t="s">
        <v>2298</v>
      </c>
      <c r="E13" s="1831" t="s">
        <v>1744</v>
      </c>
      <c r="F13" s="2557">
        <f ca="1">INDIRECT("'数据-取费表'!y"&amp;$G$1)</f>
        <v>1</v>
      </c>
      <c r="G13" s="1589"/>
      <c r="H13" s="1826">
        <v>2</v>
      </c>
      <c r="I13" s="1824" t="s">
        <v>643</v>
      </c>
      <c r="J13" s="1816">
        <f ca="1">ROUND(J14*J15,0)</f>
        <v>0</v>
      </c>
      <c r="K13" s="1818" t="s">
        <v>1743</v>
      </c>
      <c r="L13" s="2573"/>
      <c r="M13" s="2574"/>
    </row>
    <row r="14" spans="1:33" ht="18" customHeight="1">
      <c r="A14" s="1645" t="s">
        <v>1884</v>
      </c>
      <c r="B14" s="783" t="s">
        <v>644</v>
      </c>
      <c r="C14" s="803">
        <f ca="1">INDIRECT("'数据-取费表'!m"&amp;$G$1)+INDIRECT("'数据-取费表'!t"&amp;$G$1)</f>
        <v>13765</v>
      </c>
      <c r="D14" s="3193" t="s">
        <v>645</v>
      </c>
      <c r="E14" s="3194"/>
      <c r="F14" s="804"/>
      <c r="G14" s="1589"/>
      <c r="H14" s="1646" t="s">
        <v>1830</v>
      </c>
      <c r="I14" s="2228" t="s">
        <v>2824</v>
      </c>
      <c r="J14" s="53">
        <f ca="1">C29</f>
        <v>18968</v>
      </c>
      <c r="K14" s="26"/>
      <c r="L14" s="800"/>
      <c r="M14" s="801"/>
    </row>
    <row r="15" spans="1:33" s="2061" customFormat="1" ht="18" customHeight="1" thickBot="1">
      <c r="A15" s="1645" t="s">
        <v>1832</v>
      </c>
      <c r="B15" s="783" t="s">
        <v>646</v>
      </c>
      <c r="C15" s="53">
        <f ca="1">ROUND(C14*F15,0)</f>
        <v>413</v>
      </c>
      <c r="D15" s="805" t="s">
        <v>647</v>
      </c>
      <c r="E15" s="805" t="s">
        <v>648</v>
      </c>
      <c r="F15" s="806">
        <f>'数据-取费表'!B33</f>
        <v>0.03</v>
      </c>
      <c r="G15" s="1590"/>
      <c r="H15" s="2572" t="s">
        <v>1889</v>
      </c>
      <c r="I15" s="2567" t="s">
        <v>1744</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1833</v>
      </c>
      <c r="B16" s="783" t="s">
        <v>649</v>
      </c>
      <c r="C16" s="53">
        <f ca="1">ROUND(INDIRECT("'数据-取费表'!m"&amp;$G$1)*F16,0)</f>
        <v>0</v>
      </c>
      <c r="D16" s="783" t="s">
        <v>647</v>
      </c>
      <c r="E16" s="783" t="s">
        <v>648</v>
      </c>
      <c r="F16" s="808">
        <f ca="1">IF(INDIRECT("'数据-取费表'!c"&amp;$G$1)="住宅",'数据-取费表'!B34,0)</f>
        <v>0</v>
      </c>
      <c r="G16" s="1589"/>
      <c r="H16" s="1826" t="s">
        <v>1748</v>
      </c>
      <c r="I16" s="1824" t="s">
        <v>650</v>
      </c>
      <c r="J16" s="791">
        <f ca="1">ROUND(J17+J22+J23+J24,0)</f>
        <v>1893</v>
      </c>
      <c r="K16" s="1818" t="s">
        <v>651</v>
      </c>
      <c r="L16" s="3195"/>
      <c r="M16" s="2512"/>
    </row>
    <row r="17" spans="1:33" s="2061" customFormat="1" ht="18" customHeight="1">
      <c r="A17" s="1645" t="s">
        <v>1887</v>
      </c>
      <c r="B17" s="783" t="s">
        <v>652</v>
      </c>
      <c r="C17" s="53">
        <f ca="1">ROUND(F17*(F43+INDIRECT("'数据-取费表'!S"&amp;$G$1))/10000,0)</f>
        <v>1101</v>
      </c>
      <c r="D17" s="783" t="s">
        <v>653</v>
      </c>
      <c r="E17" s="783" t="s">
        <v>1752</v>
      </c>
      <c r="F17" s="56">
        <f>'数据-取费表'!B35</f>
        <v>200</v>
      </c>
      <c r="G17" s="1590"/>
      <c r="H17" s="1646" t="s">
        <v>1830</v>
      </c>
      <c r="I17" s="783" t="s">
        <v>655</v>
      </c>
      <c r="J17" s="53">
        <f ca="1">ROUND(IF(项目基本情况!B11="自然人",J5*M17,J18+J19+J20),0)</f>
        <v>1608</v>
      </c>
      <c r="K17" s="3193" t="s">
        <v>656</v>
      </c>
      <c r="L17" s="3191" t="s">
        <v>1754</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1888</v>
      </c>
      <c r="B18" s="783" t="s">
        <v>658</v>
      </c>
      <c r="C18" s="53">
        <f ca="1">ROUND(C14*F18,0)</f>
        <v>206</v>
      </c>
      <c r="D18" s="783" t="s">
        <v>647</v>
      </c>
      <c r="E18" s="783" t="s">
        <v>648</v>
      </c>
      <c r="F18" s="808">
        <f>'数据-取费表'!B36</f>
        <v>1.4999999999999999E-2</v>
      </c>
      <c r="G18" s="1590"/>
      <c r="H18" s="1645" t="s">
        <v>1884</v>
      </c>
      <c r="I18" s="783" t="s">
        <v>1755</v>
      </c>
      <c r="J18" s="53">
        <f ca="1">ROUND(J5*M18/1.05,1)</f>
        <v>0</v>
      </c>
      <c r="K18" s="3191" t="s">
        <v>1756</v>
      </c>
      <c r="L18" s="783" t="s">
        <v>648</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6" t="s">
        <v>1830</v>
      </c>
      <c r="B19" s="783" t="s">
        <v>661</v>
      </c>
      <c r="C19" s="53">
        <f ca="1">SUM(C14:C18)</f>
        <v>15485</v>
      </c>
      <c r="D19" s="261" t="s">
        <v>1757</v>
      </c>
      <c r="E19" s="3201"/>
      <c r="F19" s="56"/>
      <c r="G19" s="1589"/>
      <c r="H19" s="1645" t="s">
        <v>1832</v>
      </c>
      <c r="I19" s="783" t="s">
        <v>663</v>
      </c>
      <c r="J19" s="53">
        <f ca="1">IF(K19="按租金收入计税",ROUND(J5*M19,1),ROUND(C29*F33*0.7,1))</f>
        <v>1593.3</v>
      </c>
      <c r="K19" s="810" t="s">
        <v>664</v>
      </c>
      <c r="L19" s="783" t="s">
        <v>648</v>
      </c>
      <c r="M19" s="808">
        <f>IF(K19="按租金收入计税",'数据-取费表'!B51,'数据-取费表'!B50)</f>
        <v>1.2E-2</v>
      </c>
    </row>
    <row r="20" spans="1:33" s="2061" customFormat="1" ht="18" customHeight="1">
      <c r="A20" s="1646" t="s">
        <v>1889</v>
      </c>
      <c r="B20" s="783" t="s">
        <v>665</v>
      </c>
      <c r="C20" s="53">
        <f ca="1">ROUND(C19*F20,0)</f>
        <v>232</v>
      </c>
      <c r="D20" s="811" t="s">
        <v>666</v>
      </c>
      <c r="E20" s="783" t="s">
        <v>648</v>
      </c>
      <c r="F20" s="808">
        <f>'数据-取费表'!B37</f>
        <v>1.4999999999999999E-2</v>
      </c>
      <c r="G20" s="1590"/>
      <c r="H20" s="1648" t="s">
        <v>1833</v>
      </c>
      <c r="I20" s="341" t="s">
        <v>1760</v>
      </c>
      <c r="J20" s="54">
        <f ca="1">ROUND(M20*M21/10000,0)</f>
        <v>15</v>
      </c>
      <c r="K20" s="813" t="s">
        <v>1761</v>
      </c>
      <c r="L20" s="783" t="s">
        <v>669</v>
      </c>
      <c r="M20" s="639">
        <f>'数据-取费表'!B52</f>
        <v>10</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1890</v>
      </c>
      <c r="B21" s="783" t="s">
        <v>1763</v>
      </c>
      <c r="C21" s="53" t="s">
        <v>1764</v>
      </c>
      <c r="D21" s="811" t="s">
        <v>2299</v>
      </c>
      <c r="E21" s="783" t="s">
        <v>672</v>
      </c>
      <c r="F21" s="808">
        <f>'数据-取费表'!B38</f>
        <v>1.4999999999999999E-2</v>
      </c>
      <c r="G21" s="1590"/>
      <c r="H21" s="2527"/>
      <c r="I21" s="792"/>
      <c r="J21" s="69"/>
      <c r="K21" s="815"/>
      <c r="L21" s="783" t="s">
        <v>1766</v>
      </c>
      <c r="M21" s="784">
        <f ca="1">INDIRECT("'数据-取费表'!r"&amp;$G$1)</f>
        <v>15201.96</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6" t="s">
        <v>1891</v>
      </c>
      <c r="B22" s="783" t="s">
        <v>1767</v>
      </c>
      <c r="C22" s="53"/>
      <c r="D22" s="2593" t="str">
        <f>IF(F23&lt;=1,"单利计息。","复利计息。")&amp;"建造成本、管理费用、销售费用产生的利息。"</f>
        <v>复利计息。建造成本、管理费用、销售费用产生的利息。</v>
      </c>
      <c r="E22" s="3201"/>
      <c r="F22" s="56"/>
      <c r="G22" s="1589"/>
      <c r="H22" s="1646" t="s">
        <v>1889</v>
      </c>
      <c r="I22" s="783" t="s">
        <v>675</v>
      </c>
      <c r="J22" s="53">
        <f ca="1">ROUND(J14*M22,0)</f>
        <v>285</v>
      </c>
      <c r="K22" s="3191" t="s">
        <v>1769</v>
      </c>
      <c r="L22" s="783" t="s">
        <v>648</v>
      </c>
      <c r="M22" s="816">
        <f ca="1">INDIRECT("'数据-取费表'!Ak"&amp;$G$1)</f>
        <v>1.4999999999999999E-2</v>
      </c>
    </row>
    <row r="23" spans="1:33" s="2061" customFormat="1" ht="18" customHeight="1">
      <c r="A23" s="1645" t="s">
        <v>1831</v>
      </c>
      <c r="B23" s="783" t="s">
        <v>2437</v>
      </c>
      <c r="C23" s="53">
        <f ca="1">ROUND(IF('数据-取费表'!B22&lt;=1,(C19+C20)*F24*F23/2,(C19+C20)*(POWER((1+F24),F23/2)-1)),0)</f>
        <v>1133</v>
      </c>
      <c r="D23" s="2592" t="str">
        <f>IF(F23&lt;=1,"(建造成本+管理费用)×利率×(建设周期÷2)","(建造成本+管理费用)×((1+利率)^(建设周期÷2)-1)")</f>
        <v>(建造成本+管理费用)×((1+利率)^(建设周期÷2)-1)</v>
      </c>
      <c r="E23" s="783" t="s">
        <v>677</v>
      </c>
      <c r="F23" s="639">
        <f>'数据-取费表'!B20</f>
        <v>3</v>
      </c>
      <c r="G23" s="1590"/>
      <c r="H23" s="1646" t="s">
        <v>1890</v>
      </c>
      <c r="I23" s="783" t="s">
        <v>678</v>
      </c>
      <c r="J23" s="53">
        <f ca="1">ROUND(J13*M23,0)</f>
        <v>0</v>
      </c>
      <c r="K23" s="3191" t="s">
        <v>679</v>
      </c>
      <c r="L23" s="783" t="s">
        <v>648</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1832</v>
      </c>
      <c r="B24" s="783" t="s">
        <v>680</v>
      </c>
      <c r="C24" s="53">
        <f ca="1">ROUND(IF('数据-取费表'!B22&lt;=1,F21*F24*F23/2,F21*(POWER((1+F24),F23/2)-1)),4)</f>
        <v>1.1000000000000001E-3</v>
      </c>
      <c r="D24" s="2592" t="str">
        <f>IF(F23&lt;=1,"销售费用×利率×(建设周期÷2)","销售费用×((1+利率)^(建设周期÷2)-1)")</f>
        <v>销售费用×((1+利率)^(建设周期÷2)-1)</v>
      </c>
      <c r="E24" s="783" t="s">
        <v>1773</v>
      </c>
      <c r="F24" s="818">
        <f ca="1">'数据-取费表'!B40</f>
        <v>4.7500000000000001E-2</v>
      </c>
      <c r="G24" s="1590"/>
      <c r="H24" s="2572" t="s">
        <v>1891</v>
      </c>
      <c r="I24" s="2567" t="s">
        <v>665</v>
      </c>
      <c r="J24" s="2565">
        <f ca="1">ROUND(J5*M24,0)</f>
        <v>0</v>
      </c>
      <c r="K24" s="2566" t="s">
        <v>1774</v>
      </c>
      <c r="L24" s="2567" t="s">
        <v>648</v>
      </c>
      <c r="M24" s="2563">
        <f ca="1">INDIRECT("'数据-取费表'!Am"&amp;$G$1)</f>
        <v>1.4999999999999999E-2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1840</v>
      </c>
      <c r="B25" s="783" t="s">
        <v>683</v>
      </c>
      <c r="C25" s="53"/>
      <c r="D25" s="261" t="s">
        <v>684</v>
      </c>
      <c r="E25" s="3201"/>
      <c r="F25" s="56"/>
      <c r="G25" s="1589"/>
      <c r="H25" s="1826" t="s">
        <v>1776</v>
      </c>
      <c r="I25" s="3031" t="s">
        <v>2820</v>
      </c>
      <c r="J25" s="791">
        <f ca="1">J5-J16</f>
        <v>-1893</v>
      </c>
      <c r="K25" s="2569" t="s">
        <v>1777</v>
      </c>
      <c r="L25" s="2570"/>
      <c r="M25" s="2571"/>
    </row>
    <row r="26" spans="1:33" ht="18" customHeight="1">
      <c r="A26" s="1645" t="s">
        <v>1831</v>
      </c>
      <c r="B26" s="783" t="s">
        <v>2438</v>
      </c>
      <c r="C26" s="53">
        <f ca="1">ROUND((C19+C20)*F26,0)</f>
        <v>786</v>
      </c>
      <c r="D26" s="811" t="s">
        <v>700</v>
      </c>
      <c r="E26" s="794" t="s">
        <v>1779</v>
      </c>
      <c r="F26" s="793">
        <f ca="1">INDIRECT("'数据-取费表'!q"&amp;$G$1)</f>
        <v>0.05</v>
      </c>
      <c r="G26" s="1589"/>
      <c r="H26" s="2523" t="s">
        <v>1780</v>
      </c>
      <c r="I26" s="2229" t="s">
        <v>2825</v>
      </c>
      <c r="J26" s="782">
        <f ca="1">IF(J5&lt;&gt;0,ROUND(J25*(1-((1+M28)/(1+M26))^M27)/(M26-M28),0),0)</f>
        <v>0</v>
      </c>
      <c r="K26" s="813" t="s">
        <v>703</v>
      </c>
      <c r="L26" s="783" t="s">
        <v>2419</v>
      </c>
      <c r="M26" s="793">
        <f ca="1">INDIRECT("'数据-取费表'!I"&amp;$G$1)</f>
        <v>0.05</v>
      </c>
    </row>
    <row r="27" spans="1:33" ht="18" customHeight="1">
      <c r="A27" s="1645" t="s">
        <v>1832</v>
      </c>
      <c r="B27" s="783" t="s">
        <v>685</v>
      </c>
      <c r="C27" s="53">
        <f ca="1">ROUND(F21*F26,4)</f>
        <v>8.0000000000000004E-4</v>
      </c>
      <c r="D27" s="811" t="s">
        <v>1782</v>
      </c>
      <c r="E27" s="805"/>
      <c r="F27" s="806"/>
      <c r="G27" s="1589"/>
      <c r="H27" s="2524"/>
      <c r="I27" s="786"/>
      <c r="J27" s="787"/>
      <c r="K27" s="820" t="s">
        <v>1783</v>
      </c>
      <c r="L27" s="783" t="s">
        <v>707</v>
      </c>
      <c r="M27" s="821">
        <f ca="1">INDIRECT("'数据-取费表'!ag"&amp;$G$1)</f>
        <v>0</v>
      </c>
    </row>
    <row r="28" spans="1:33" s="2061" customFormat="1" ht="18" customHeight="1">
      <c r="A28" s="1647" t="s">
        <v>1841</v>
      </c>
      <c r="B28" s="783" t="s">
        <v>686</v>
      </c>
      <c r="C28" s="53">
        <f>ROUND(F28/(1+'数据-取费表'!C42),4)</f>
        <v>5.33E-2</v>
      </c>
      <c r="D28" s="811" t="s">
        <v>2300</v>
      </c>
      <c r="E28" s="783" t="s">
        <v>648</v>
      </c>
      <c r="F28" s="808">
        <f>'数据-取费表'!B41</f>
        <v>5.6000000000000001E-2</v>
      </c>
      <c r="G28" s="1590"/>
      <c r="H28" s="1826"/>
      <c r="I28" s="790"/>
      <c r="J28" s="791"/>
      <c r="K28" s="815"/>
      <c r="L28" s="783" t="s">
        <v>1786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1892</v>
      </c>
      <c r="B29" s="2562" t="s">
        <v>2301</v>
      </c>
      <c r="C29" s="2565">
        <f ca="1">ROUND((C19+C20+C23+C26)/(1-F21-C24-C27-C28),0)</f>
        <v>18968</v>
      </c>
      <c r="D29" s="2566"/>
      <c r="E29" s="2567"/>
      <c r="F29" s="2568"/>
      <c r="G29" s="1590"/>
      <c r="H29" s="822" t="s">
        <v>1787</v>
      </c>
      <c r="I29" s="823" t="s">
        <v>1788</v>
      </c>
      <c r="J29" s="824">
        <f ca="1">ROUND(J26/(1+F40)^F41,0)</f>
        <v>0</v>
      </c>
      <c r="K29" s="825" t="s">
        <v>1789</v>
      </c>
      <c r="L29" s="826"/>
      <c r="M29" s="827">
        <f ca="1">INDIRECT("'数据-取费表'!k"&amp;$G$1)</f>
        <v>55060</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650</v>
      </c>
      <c r="C30" s="791">
        <f ca="1">ROUND(C31+C36+C37+C38,0)</f>
        <v>478</v>
      </c>
      <c r="D30" s="1818" t="s">
        <v>651</v>
      </c>
      <c r="E30" s="3195"/>
      <c r="F30" s="2512"/>
      <c r="G30" s="2059"/>
      <c r="H30" s="2062"/>
      <c r="I30" s="2063"/>
      <c r="J30" s="2064"/>
      <c r="K30" s="2065"/>
      <c r="L30" s="2066"/>
      <c r="M30" s="2067"/>
    </row>
    <row r="31" spans="1:33" ht="18" customHeight="1">
      <c r="A31" s="1646" t="s">
        <v>1830</v>
      </c>
      <c r="B31" s="783" t="s">
        <v>655</v>
      </c>
      <c r="C31" s="53">
        <f ca="1">ROUND(IF(项目基本情况!B11="自然人",C5*F31,C32+C33+C34),1)</f>
        <v>153</v>
      </c>
      <c r="D31" s="3193" t="s">
        <v>656</v>
      </c>
      <c r="E31" s="3191" t="s">
        <v>1793</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5" t="s">
        <v>1831</v>
      </c>
      <c r="B32" s="783" t="s">
        <v>1794</v>
      </c>
      <c r="C32" s="53">
        <f ca="1">ROUND(C5*F32/1.05,1)</f>
        <v>42.4</v>
      </c>
      <c r="D32" s="3191" t="s">
        <v>1756</v>
      </c>
      <c r="E32" s="783" t="s">
        <v>648</v>
      </c>
      <c r="F32" s="808">
        <f>'数据-取费表'!B41</f>
        <v>5.6000000000000001E-2</v>
      </c>
      <c r="G32" s="2059"/>
      <c r="H32" s="2068"/>
      <c r="I32" s="2069"/>
      <c r="J32" s="2070"/>
      <c r="K32" s="2071"/>
      <c r="L32" s="2072"/>
      <c r="M32" s="2073"/>
    </row>
    <row r="33" spans="1:18" ht="18" customHeight="1">
      <c r="A33" s="1645" t="s">
        <v>1832</v>
      </c>
      <c r="B33" s="783" t="s">
        <v>1797</v>
      </c>
      <c r="C33" s="53">
        <f ca="1">IF(D33="按租金收入计税",ROUND(C5*F33,1),IF(D33="按房产原值计税",ROUND(C29*F33*0.7,1),INDIRECT("'数据-取费表'!Aj"&amp;$G$1)))</f>
        <v>95.4</v>
      </c>
      <c r="D33" s="810" t="s">
        <v>3354</v>
      </c>
      <c r="E33" s="783" t="s">
        <v>648</v>
      </c>
      <c r="F33" s="808">
        <f>IF(D33="按租金收入计税",'数据-取费表'!B51,'数据-取费表'!B50)</f>
        <v>0.12</v>
      </c>
      <c r="G33" s="2059"/>
      <c r="H33" s="2074"/>
      <c r="I33" s="2074"/>
      <c r="J33" s="2074"/>
      <c r="K33" s="2075"/>
      <c r="L33" s="2074"/>
      <c r="M33" s="2074"/>
    </row>
    <row r="34" spans="1:18" ht="18" customHeight="1">
      <c r="A34" s="1648" t="s">
        <v>1833</v>
      </c>
      <c r="B34" s="341" t="s">
        <v>1760</v>
      </c>
      <c r="C34" s="54">
        <f ca="1">ROUND(F34*F35/10000,1)</f>
        <v>15.2</v>
      </c>
      <c r="D34" s="813" t="s">
        <v>1799</v>
      </c>
      <c r="E34" s="783" t="s">
        <v>669</v>
      </c>
      <c r="F34" s="639">
        <f>'数据-取费表'!B52</f>
        <v>10</v>
      </c>
      <c r="G34" s="2059"/>
      <c r="H34" s="2062"/>
      <c r="I34" s="834" t="s">
        <v>1813</v>
      </c>
      <c r="J34" s="835"/>
      <c r="K34" s="2077"/>
      <c r="L34" s="2076"/>
      <c r="M34" s="2076"/>
    </row>
    <row r="35" spans="1:18" ht="18" customHeight="1">
      <c r="A35" s="814"/>
      <c r="B35" s="792"/>
      <c r="C35" s="69"/>
      <c r="D35" s="815"/>
      <c r="E35" s="783" t="s">
        <v>1766</v>
      </c>
      <c r="F35" s="784">
        <f ca="1">INDIRECT("'数据-取费表'!r"&amp;$G$1)</f>
        <v>15201.96</v>
      </c>
      <c r="G35" s="2059"/>
      <c r="H35" s="2062"/>
      <c r="I35" s="836" t="s">
        <v>1814</v>
      </c>
      <c r="J35" s="837">
        <f ca="1">ROUND(C13*J36,0)</f>
        <v>1612</v>
      </c>
      <c r="K35" s="2075"/>
      <c r="L35" s="2074"/>
      <c r="M35" s="2074"/>
    </row>
    <row r="36" spans="1:18" ht="18" customHeight="1">
      <c r="A36" s="1646" t="s">
        <v>1889</v>
      </c>
      <c r="B36" s="783" t="s">
        <v>675</v>
      </c>
      <c r="C36" s="53">
        <f ca="1">ROUND(C29*F36,1)</f>
        <v>284.5</v>
      </c>
      <c r="D36" s="3191" t="s">
        <v>690</v>
      </c>
      <c r="E36" s="783" t="s">
        <v>648</v>
      </c>
      <c r="F36" s="816">
        <f ca="1">INDIRECT("'数据-取费表'!Ak"&amp;$G$1)</f>
        <v>1.4999999999999999E-2</v>
      </c>
      <c r="G36" s="2059"/>
      <c r="H36" s="2074"/>
      <c r="I36" s="838" t="s">
        <v>1815</v>
      </c>
      <c r="J36" s="839">
        <f ca="1">INDIRECT("'数据-取费表'!j"&amp;$G$1)</f>
        <v>8.5000000000000006E-2</v>
      </c>
      <c r="K36" s="2079"/>
      <c r="L36" s="2074"/>
      <c r="M36" s="2074"/>
    </row>
    <row r="37" spans="1:18" ht="18" customHeight="1">
      <c r="A37" s="1646" t="s">
        <v>1890</v>
      </c>
      <c r="B37" s="783" t="s">
        <v>678</v>
      </c>
      <c r="C37" s="53">
        <f ca="1">ROUND(C13*F37,1)</f>
        <v>28.5</v>
      </c>
      <c r="D37" s="3191" t="s">
        <v>679</v>
      </c>
      <c r="E37" s="783" t="s">
        <v>648</v>
      </c>
      <c r="F37" s="817">
        <f ca="1">INDIRECT("'数据-取费表'!Al"&amp;$G$1)</f>
        <v>1.5E-3</v>
      </c>
      <c r="G37" s="2059"/>
      <c r="H37" s="2074"/>
      <c r="I37" s="840" t="s">
        <v>1816</v>
      </c>
      <c r="J37" s="841"/>
      <c r="K37" s="2079"/>
      <c r="L37" s="2074"/>
      <c r="M37" s="2074"/>
    </row>
    <row r="38" spans="1:18" ht="18" customHeight="1" thickBot="1">
      <c r="A38" s="2572" t="s">
        <v>1891</v>
      </c>
      <c r="B38" s="2567" t="s">
        <v>665</v>
      </c>
      <c r="C38" s="2565">
        <f ca="1">ROUND(C5*F38,1)</f>
        <v>11.9</v>
      </c>
      <c r="D38" s="2566" t="s">
        <v>1805</v>
      </c>
      <c r="E38" s="2567" t="s">
        <v>648</v>
      </c>
      <c r="F38" s="2563">
        <f ca="1">INDIRECT("'数据-取费表'!Am"&amp;$G$1)</f>
        <v>1.4999999999999999E-2</v>
      </c>
      <c r="G38" s="2059"/>
      <c r="H38" s="2074"/>
      <c r="I38" s="842" t="s">
        <v>1817</v>
      </c>
      <c r="J38" s="843"/>
      <c r="K38" s="2080"/>
      <c r="L38" s="2074"/>
      <c r="M38" s="2074"/>
    </row>
    <row r="39" spans="1:18" ht="24.6" customHeight="1" thickTop="1">
      <c r="A39" s="1826" t="s">
        <v>1776</v>
      </c>
      <c r="B39" s="3031" t="s">
        <v>2820</v>
      </c>
      <c r="C39" s="791">
        <f ca="1">C5-C30</f>
        <v>317</v>
      </c>
      <c r="D39" s="2569" t="s">
        <v>1806</v>
      </c>
      <c r="E39" s="2570"/>
      <c r="F39" s="2571"/>
      <c r="G39" s="2059"/>
      <c r="H39" s="2074"/>
      <c r="I39" s="836" t="s">
        <v>1818</v>
      </c>
      <c r="J39" s="844">
        <f ca="1">ROUND(J35/C39,3)</f>
        <v>5.085</v>
      </c>
      <c r="K39" s="2080"/>
      <c r="L39" s="2074"/>
      <c r="M39" s="2074"/>
    </row>
    <row r="40" spans="1:18" ht="18" customHeight="1">
      <c r="A40" s="780" t="s">
        <v>1895</v>
      </c>
      <c r="B40" s="2229" t="s">
        <v>2302</v>
      </c>
      <c r="C40" s="782">
        <f ca="1">ROUND(C39*(1-((1+F42)/(1+F40))^F41)/(F40-F42),0)</f>
        <v>7861</v>
      </c>
      <c r="D40" s="813" t="s">
        <v>1807</v>
      </c>
      <c r="E40" s="783" t="s">
        <v>2419</v>
      </c>
      <c r="F40" s="793">
        <f ca="1">INDIRECT("'数据-取费表'!I"&amp;$G$1)</f>
        <v>0.05</v>
      </c>
      <c r="G40" s="2059"/>
      <c r="H40" s="2059"/>
      <c r="I40" s="836" t="s">
        <v>1819</v>
      </c>
      <c r="J40" s="844">
        <f ca="1">1-J39</f>
        <v>-4.085</v>
      </c>
      <c r="K40" s="2080"/>
      <c r="L40" s="2059"/>
      <c r="M40" s="2059"/>
    </row>
    <row r="41" spans="1:18" ht="18" customHeight="1">
      <c r="A41" s="785"/>
      <c r="B41" s="786"/>
      <c r="C41" s="787"/>
      <c r="D41" s="820" t="s">
        <v>1808</v>
      </c>
      <c r="E41" s="783" t="s">
        <v>707</v>
      </c>
      <c r="F41" s="821">
        <f ca="1">IF(INDIRECT("'数据-取费表'!af"&amp;$G$1)=0,INDIRECT("'数据-取费表'!ae"&amp;$G$1),INDIRECT("'数据-取费表'!af"&amp;$G$1))</f>
        <v>47</v>
      </c>
      <c r="G41" s="2059"/>
      <c r="H41" s="1985"/>
      <c r="I41" s="842" t="s">
        <v>1820</v>
      </c>
      <c r="J41" s="845"/>
      <c r="K41" s="2079"/>
      <c r="L41" s="1985"/>
      <c r="M41" s="1985"/>
    </row>
    <row r="42" spans="1:18" ht="18" customHeight="1">
      <c r="A42" s="789"/>
      <c r="B42" s="790"/>
      <c r="C42" s="791"/>
      <c r="D42" s="815"/>
      <c r="E42" s="783" t="s">
        <v>709</v>
      </c>
      <c r="F42" s="793">
        <f ca="1">INDIRECT("'数据-取费表'!v"&amp;$G$1)</f>
        <v>0.02</v>
      </c>
      <c r="G42" s="2059"/>
      <c r="H42" s="1985"/>
      <c r="I42" s="846" t="s">
        <v>1821</v>
      </c>
      <c r="J42" s="844">
        <f ca="1">ROUND(C13/C40,3)</f>
        <v>2.4129999999999998</v>
      </c>
      <c r="K42" s="2079"/>
      <c r="L42" s="1985"/>
      <c r="M42" s="1985"/>
    </row>
    <row r="43" spans="1:18" ht="18" customHeight="1" thickBot="1">
      <c r="A43" s="822" t="s">
        <v>1787</v>
      </c>
      <c r="B43" s="823" t="s">
        <v>1810</v>
      </c>
      <c r="C43" s="824">
        <f ca="1">ROUND(C40*10000/F43,0)</f>
        <v>1428</v>
      </c>
      <c r="D43" s="825" t="s">
        <v>1811</v>
      </c>
      <c r="E43" s="826" t="s">
        <v>1812</v>
      </c>
      <c r="F43" s="827">
        <f ca="1">INDIRECT("'数据-取费表'!k"&amp;$G$1)</f>
        <v>55060</v>
      </c>
      <c r="G43" s="2059"/>
      <c r="H43" s="1985"/>
      <c r="I43" s="846" t="s">
        <v>1822</v>
      </c>
      <c r="J43" s="847">
        <f ca="1">1-J42</f>
        <v>-1.4129999999999998</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5">
        <f ca="1">C67-C40</f>
        <v>-13759</v>
      </c>
      <c r="D46" s="2082"/>
      <c r="E46" s="2082"/>
      <c r="F46" s="2082"/>
      <c r="I46" s="2375" t="s">
        <v>2342</v>
      </c>
      <c r="J46" s="2376"/>
      <c r="K46" s="2377"/>
      <c r="L46" s="2378">
        <f>IF(OR(M47="住宅",D1="土地（套用方法）"),0,IF(L48&gt;J51,L60,J60))</f>
        <v>0</v>
      </c>
      <c r="O46" s="2415" t="s">
        <v>2410</v>
      </c>
      <c r="P46" s="1589"/>
      <c r="Q46" s="1601"/>
      <c r="R46" s="1589"/>
    </row>
    <row r="47" spans="1:18" s="2056" customFormat="1" ht="18" customHeight="1" thickBot="1">
      <c r="A47" s="2369">
        <v>1</v>
      </c>
      <c r="B47" s="2370" t="s">
        <v>634</v>
      </c>
      <c r="C47" s="2595">
        <f ca="1">C48+C52+C54</f>
        <v>0</v>
      </c>
      <c r="D47" s="2082"/>
      <c r="E47" s="2082"/>
      <c r="F47" s="2082"/>
      <c r="I47" s="2379" t="s">
        <v>2343</v>
      </c>
      <c r="J47" s="2384" t="s">
        <v>2999</v>
      </c>
      <c r="K47" s="2385" t="s">
        <v>2349</v>
      </c>
      <c r="L47" s="2386">
        <f ca="1">INDIRECT("'数据-取费表'!d"&amp;$G$1)</f>
        <v>50</v>
      </c>
      <c r="M47" s="1601" t="str">
        <f>IF(ISNUMBER(FIND("住宅",C1)),"住宅","非住宅")</f>
        <v>非住宅</v>
      </c>
      <c r="O47" s="2416" t="s">
        <v>2375</v>
      </c>
      <c r="P47" s="2417" t="s">
        <v>2376</v>
      </c>
      <c r="Q47" s="2418" t="s">
        <v>2377</v>
      </c>
      <c r="R47" s="2417" t="s">
        <v>2378</v>
      </c>
    </row>
    <row r="48" spans="1:18" s="2056" customFormat="1" ht="18" customHeight="1" thickBot="1">
      <c r="A48" s="2663" t="s">
        <v>2516</v>
      </c>
      <c r="B48" s="2664" t="s">
        <v>2537</v>
      </c>
      <c r="C48" s="2371">
        <f ca="1">ROUND(F48*F50*F49*(1-F51)/10000,0)</f>
        <v>0</v>
      </c>
      <c r="D48" s="2372" t="s">
        <v>635</v>
      </c>
      <c r="E48" s="2373" t="s">
        <v>2297</v>
      </c>
      <c r="F48" s="2374"/>
      <c r="G48" s="2087"/>
      <c r="I48" s="2380" t="s">
        <v>2344</v>
      </c>
      <c r="J48" s="2387" t="s">
        <v>2350</v>
      </c>
      <c r="K48" s="2388" t="s">
        <v>2351</v>
      </c>
      <c r="L48" s="2389">
        <f ca="1">INDIRECT("'数据-取费表'!f"&amp;$G$1)</f>
        <v>50</v>
      </c>
      <c r="O48" s="2419" t="s">
        <v>2379</v>
      </c>
      <c r="P48" s="2420" t="s">
        <v>2405</v>
      </c>
      <c r="Q48" s="2421">
        <f ca="1">C40+J29</f>
        <v>7861</v>
      </c>
      <c r="R48" s="2420" t="s">
        <v>2380</v>
      </c>
    </row>
    <row r="49" spans="1:18" s="2056" customFormat="1" ht="18" customHeight="1" thickBot="1">
      <c r="A49" s="785"/>
      <c r="B49" s="786"/>
      <c r="C49" s="787"/>
      <c r="D49" s="788"/>
      <c r="E49" s="783" t="s">
        <v>1739</v>
      </c>
      <c r="F49" s="784">
        <f ca="1">F7</f>
        <v>1473</v>
      </c>
      <c r="G49" s="2087"/>
      <c r="H49" s="2090"/>
      <c r="I49" s="2380" t="s">
        <v>2345</v>
      </c>
      <c r="J49" s="2390">
        <v>2021</v>
      </c>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638</v>
      </c>
      <c r="F50" s="784">
        <f ca="1">F8</f>
        <v>12</v>
      </c>
      <c r="G50" s="2092"/>
      <c r="H50" s="2090"/>
      <c r="I50" s="2380" t="s">
        <v>2346</v>
      </c>
      <c r="J50" s="2393">
        <f>SUMPRODUCT((I63:I65=J47)*(J62:L62=J48)*(J63:L65))</f>
        <v>60</v>
      </c>
      <c r="K50" s="2391" t="s">
        <v>2353</v>
      </c>
      <c r="L50" s="2392"/>
      <c r="O50" s="2422" t="s">
        <v>2383</v>
      </c>
      <c r="P50" s="2420" t="s">
        <v>2407</v>
      </c>
      <c r="Q50" s="2421">
        <f ca="1">C29</f>
        <v>18968</v>
      </c>
      <c r="R50" s="2420" t="s">
        <v>2380</v>
      </c>
    </row>
    <row r="51" spans="1:18" s="2056" customFormat="1" ht="18" customHeight="1" thickBot="1">
      <c r="A51" s="785"/>
      <c r="B51" s="786"/>
      <c r="C51" s="787"/>
      <c r="D51" s="788"/>
      <c r="E51" s="783" t="s">
        <v>639</v>
      </c>
      <c r="F51" s="2368"/>
      <c r="H51" s="2090"/>
      <c r="I51" s="2381" t="s">
        <v>2347</v>
      </c>
      <c r="J51" s="2394">
        <f>IF(J49="",J50,J49+J50-YEAR('数据-取费表'!B2))</f>
        <v>62</v>
      </c>
      <c r="K51" s="2380" t="s">
        <v>2354</v>
      </c>
      <c r="L51" s="2395">
        <f ca="1">ROUND(-PV(INDIRECT("'数据-取费表'!h"&amp;$G$1),L48,(C39-C13*J36),0),0)</f>
        <v>-25597</v>
      </c>
      <c r="O51" s="2422" t="s">
        <v>2384</v>
      </c>
      <c r="P51" s="2420" t="s">
        <v>2385</v>
      </c>
      <c r="Q51" s="2423" t="e">
        <f ca="1">J58</f>
        <v>#VALUE!</v>
      </c>
      <c r="R51" s="2424"/>
    </row>
    <row r="52" spans="1:18" s="2056" customFormat="1" ht="18" customHeight="1" thickBot="1">
      <c r="A52" s="780" t="s">
        <v>2535</v>
      </c>
      <c r="B52" s="2515" t="s">
        <v>2458</v>
      </c>
      <c r="C52" s="798">
        <f ca="1">ROUND(IF(F52="押一",C48/12*F11,IF(F52="押二",C48/12*2*F11,IF(F52="押三",C48/12*3*F11,C53*F11))),0)</f>
        <v>0</v>
      </c>
      <c r="D52" s="2522" t="s">
        <v>2973</v>
      </c>
      <c r="E52" s="2519" t="s">
        <v>2463</v>
      </c>
      <c r="F52" s="2642"/>
      <c r="I52" s="2382" t="s">
        <v>2421</v>
      </c>
      <c r="J52" s="2396">
        <v>0.09</v>
      </c>
      <c r="K52" s="2382" t="s">
        <v>2420</v>
      </c>
      <c r="L52" s="2396"/>
      <c r="O52" s="2422" t="s">
        <v>2386</v>
      </c>
      <c r="P52" s="2420" t="s">
        <v>2387</v>
      </c>
      <c r="Q52" s="2423">
        <f>J52</f>
        <v>0.09</v>
      </c>
      <c r="R52" s="2424"/>
    </row>
    <row r="53" spans="1:18" s="2056" customFormat="1" ht="39.75" customHeight="1" thickBot="1">
      <c r="A53" s="785"/>
      <c r="B53" s="2516" t="s">
        <v>2572</v>
      </c>
      <c r="C53" s="2520"/>
      <c r="D53" s="2522"/>
      <c r="E53" s="2519"/>
      <c r="F53" s="799"/>
      <c r="I53" s="2383" t="s">
        <v>2348</v>
      </c>
      <c r="J53" s="2397">
        <f ca="1">IF(M47="住宅",J51,IF(D1="——",MIN(J51,L48),IF(D1="土地（套用方法）",MIN(J51,L48-'数据-取费表'!B20))))</f>
        <v>47</v>
      </c>
      <c r="K53" s="3483" t="s">
        <v>2965</v>
      </c>
      <c r="L53" s="3484"/>
      <c r="O53" s="2422" t="s">
        <v>2388</v>
      </c>
      <c r="P53" s="2420" t="s">
        <v>2389</v>
      </c>
      <c r="Q53" s="2421">
        <f ca="1">J53</f>
        <v>47</v>
      </c>
      <c r="R53" s="2420" t="s">
        <v>2390</v>
      </c>
    </row>
    <row r="54" spans="1:18" s="2056" customFormat="1" ht="18" customHeight="1" thickBot="1">
      <c r="A54" s="2558" t="s">
        <v>2466</v>
      </c>
      <c r="B54" s="2559" t="s">
        <v>2459</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7861</v>
      </c>
      <c r="R54" s="2424" t="s">
        <v>2392</v>
      </c>
    </row>
    <row r="55" spans="1:18" s="2056" customFormat="1" ht="18" customHeight="1" thickTop="1" thickBot="1">
      <c r="A55" s="796">
        <v>2</v>
      </c>
      <c r="B55" s="797" t="s">
        <v>643</v>
      </c>
      <c r="C55" s="798">
        <f ca="1">C13</f>
        <v>18968</v>
      </c>
      <c r="D55" s="794"/>
      <c r="E55" s="794"/>
      <c r="F55" s="799"/>
      <c r="I55" s="3123" t="s">
        <v>2355</v>
      </c>
      <c r="J55" s="3122" t="e">
        <f ca="1">ROUND(IF(J47="钢混",J57/J50,1-(1-2%)*(J50-J57)/J50),3)</f>
        <v>#VALUE!</v>
      </c>
      <c r="K55" s="2398" t="s">
        <v>2356</v>
      </c>
      <c r="L55" s="2399"/>
      <c r="O55" s="2425" t="s">
        <v>2411</v>
      </c>
      <c r="P55" s="1589"/>
      <c r="Q55" s="1601"/>
      <c r="R55" s="1589"/>
    </row>
    <row r="56" spans="1:18" s="2056" customFormat="1" ht="42.75" customHeight="1" thickBot="1">
      <c r="A56" s="1647"/>
      <c r="B56" s="2228" t="s">
        <v>2303</v>
      </c>
      <c r="C56" s="53">
        <f ca="1">C29</f>
        <v>18968</v>
      </c>
      <c r="D56" s="3191"/>
      <c r="E56" s="783"/>
      <c r="F56" s="808"/>
      <c r="I56" s="2400" t="s">
        <v>2357</v>
      </c>
      <c r="J56" s="3146" t="s">
        <v>1678</v>
      </c>
      <c r="K56" s="2380" t="s">
        <v>2362</v>
      </c>
      <c r="L56" s="2389" t="str">
        <f ca="1">IF(L48&lt;J51,"——",L48-J51)</f>
        <v>——</v>
      </c>
      <c r="O56" s="2416" t="s">
        <v>2375</v>
      </c>
      <c r="P56" s="2417" t="s">
        <v>2376</v>
      </c>
      <c r="Q56" s="2418" t="s">
        <v>2377</v>
      </c>
      <c r="R56" s="2417" t="s">
        <v>2378</v>
      </c>
    </row>
    <row r="57" spans="1:18" s="2056" customFormat="1" ht="28.5" customHeight="1" thickBot="1">
      <c r="A57" s="796" t="s">
        <v>1748</v>
      </c>
      <c r="B57" s="797" t="s">
        <v>650</v>
      </c>
      <c r="C57" s="798">
        <f ca="1">ROUND(C58+C63+C64+C65,0)</f>
        <v>328</v>
      </c>
      <c r="D57" s="26" t="s">
        <v>651</v>
      </c>
      <c r="E57" s="3201"/>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7861</v>
      </c>
      <c r="R57" s="2420" t="s">
        <v>2380</v>
      </c>
    </row>
    <row r="58" spans="1:18" s="2056" customFormat="1" ht="28.5" customHeight="1" thickBot="1">
      <c r="A58" s="1646" t="s">
        <v>1824</v>
      </c>
      <c r="B58" s="783" t="s">
        <v>655</v>
      </c>
      <c r="C58" s="53">
        <f ca="1">ROUND(IF(项目基本情况!B11="自然人",C47*F58,C59+C60+C61),1)</f>
        <v>15.2</v>
      </c>
      <c r="D58" s="3193" t="s">
        <v>656</v>
      </c>
      <c r="E58" s="3191" t="s">
        <v>689</v>
      </c>
      <c r="F58" s="809" t="str">
        <f ca="1">IF(项目基本情况!B11="企业","",IF(INDIRECT("'数据-取费表'!c"&amp;$G$1)="住宅",5%,IF(F48*F49*F50/12/(1+'数据-取费表'!C42)&gt;20000,12%,7%)))</f>
        <v/>
      </c>
      <c r="I58" s="2401" t="s">
        <v>2359</v>
      </c>
      <c r="J58" s="3124"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5" t="s">
        <v>1831</v>
      </c>
      <c r="B59" s="783" t="s">
        <v>659</v>
      </c>
      <c r="C59" s="53">
        <f ca="1">ROUND(C47*F59/1.05,1)</f>
        <v>0</v>
      </c>
      <c r="D59" s="3191" t="s">
        <v>1756</v>
      </c>
      <c r="E59" s="783" t="s">
        <v>648</v>
      </c>
      <c r="F59" s="808">
        <f t="shared" ref="F59:F65" si="0">F32</f>
        <v>5.6000000000000001E-2</v>
      </c>
      <c r="I59" s="2401" t="s">
        <v>2360</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5" t="s">
        <v>1832</v>
      </c>
      <c r="B60" s="783" t="s">
        <v>663</v>
      </c>
      <c r="C60" s="53">
        <f ca="1">IF(D60="按租金收入计税",ROUND(C47*F60,1),IF(D60="按房产原值计税",ROUND(C56*F60*0.7,1),INDIRECT("'数据-取费表'!Aj"&amp;$G$1)))</f>
        <v>0</v>
      </c>
      <c r="D60" s="3191" t="str">
        <f>D33</f>
        <v>按租金收入计税</v>
      </c>
      <c r="E60" s="783" t="s">
        <v>648</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8" t="s">
        <v>1833</v>
      </c>
      <c r="B61" s="341" t="s">
        <v>667</v>
      </c>
      <c r="C61" s="54">
        <f ca="1">ROUND(F61*F62/10000,1)</f>
        <v>15.2</v>
      </c>
      <c r="D61" s="813" t="s">
        <v>668</v>
      </c>
      <c r="E61" s="783" t="s">
        <v>669</v>
      </c>
      <c r="F61" s="639">
        <f t="shared" si="0"/>
        <v>10</v>
      </c>
      <c r="K61" s="2083"/>
      <c r="O61" s="2422" t="s">
        <v>2386</v>
      </c>
      <c r="P61" s="2420" t="s">
        <v>2394</v>
      </c>
      <c r="Q61" s="2421" t="e">
        <f ca="1">L58</f>
        <v>#DIV/0!</v>
      </c>
      <c r="R61" s="2424" t="s">
        <v>2395</v>
      </c>
    </row>
    <row r="62" spans="1:18" s="2056" customFormat="1" ht="16.2" thickBot="1">
      <c r="A62" s="814"/>
      <c r="B62" s="792"/>
      <c r="C62" s="69"/>
      <c r="D62" s="815"/>
      <c r="E62" s="783" t="s">
        <v>673</v>
      </c>
      <c r="F62" s="784">
        <f t="shared" ca="1" si="0"/>
        <v>15201.96</v>
      </c>
      <c r="I62" s="2406" t="s">
        <v>2367</v>
      </c>
      <c r="J62" s="2407" t="s">
        <v>2368</v>
      </c>
      <c r="K62" s="2407" t="s">
        <v>2369</v>
      </c>
      <c r="L62" s="2407" t="s">
        <v>2350</v>
      </c>
      <c r="M62" s="3125" t="s">
        <v>2940</v>
      </c>
      <c r="O62" s="2422" t="s">
        <v>2388</v>
      </c>
      <c r="P62" s="2420" t="str">
        <f>K59</f>
        <v>建设期及建筑物耐用年限下的土地年期修正系数Kn</v>
      </c>
      <c r="Q62" s="2421" t="e">
        <f ca="1">L59</f>
        <v>#DIV/0!</v>
      </c>
      <c r="R62" s="2424" t="s">
        <v>2397</v>
      </c>
    </row>
    <row r="63" spans="1:18" s="2056" customFormat="1" ht="16.2" thickBot="1">
      <c r="A63" s="1646" t="s">
        <v>1889</v>
      </c>
      <c r="B63" s="783" t="s">
        <v>675</v>
      </c>
      <c r="C63" s="53">
        <f ca="1">ROUND(C56*F63,1)</f>
        <v>284.5</v>
      </c>
      <c r="D63" s="3191" t="s">
        <v>690</v>
      </c>
      <c r="E63" s="783" t="s">
        <v>648</v>
      </c>
      <c r="F63" s="816">
        <f t="shared" ca="1" si="0"/>
        <v>1.4999999999999999E-2</v>
      </c>
      <c r="I63" s="2406" t="s">
        <v>2370</v>
      </c>
      <c r="J63" s="2407">
        <v>70</v>
      </c>
      <c r="K63" s="2407">
        <v>50</v>
      </c>
      <c r="L63" s="2407">
        <v>80</v>
      </c>
      <c r="M63" s="3126">
        <v>0.02</v>
      </c>
      <c r="O63" s="2419" t="s">
        <v>2391</v>
      </c>
      <c r="P63" s="2420" t="s">
        <v>2408</v>
      </c>
      <c r="Q63" s="2421">
        <f ca="1">Q57+Q58</f>
        <v>7861</v>
      </c>
      <c r="R63" s="2424" t="s">
        <v>2392</v>
      </c>
    </row>
    <row r="64" spans="1:18" s="2056" customFormat="1" ht="16.2" thickBot="1">
      <c r="A64" s="1646" t="s">
        <v>1890</v>
      </c>
      <c r="B64" s="783" t="s">
        <v>678</v>
      </c>
      <c r="C64" s="53">
        <f ca="1">ROUND(C55*F64,1)</f>
        <v>28.5</v>
      </c>
      <c r="D64" s="3191" t="s">
        <v>679</v>
      </c>
      <c r="E64" s="783" t="s">
        <v>648</v>
      </c>
      <c r="F64" s="817">
        <f t="shared" ca="1" si="0"/>
        <v>1.5E-3</v>
      </c>
      <c r="I64" s="2406" t="s">
        <v>2371</v>
      </c>
      <c r="J64" s="2407">
        <v>50</v>
      </c>
      <c r="K64" s="2407">
        <v>35</v>
      </c>
      <c r="L64" s="2407">
        <v>60</v>
      </c>
      <c r="M64" s="3127">
        <v>0</v>
      </c>
      <c r="O64" s="2425" t="s">
        <v>2415</v>
      </c>
      <c r="P64" s="1589"/>
      <c r="Q64" s="1601"/>
      <c r="R64" s="1589"/>
    </row>
    <row r="65" spans="1:18" s="2056" customFormat="1" ht="16.2" thickBot="1">
      <c r="A65" s="1646" t="s">
        <v>1891</v>
      </c>
      <c r="B65" s="783" t="s">
        <v>665</v>
      </c>
      <c r="C65" s="53">
        <f ca="1">ROUND(C47*F65,1)</f>
        <v>0</v>
      </c>
      <c r="D65" s="3191" t="s">
        <v>682</v>
      </c>
      <c r="E65" s="783" t="s">
        <v>648</v>
      </c>
      <c r="F65" s="793">
        <f t="shared" ca="1" si="0"/>
        <v>1.4999999999999999E-2</v>
      </c>
      <c r="I65" s="2406" t="s">
        <v>2372</v>
      </c>
      <c r="J65" s="2407">
        <v>40</v>
      </c>
      <c r="K65" s="2407">
        <v>30</v>
      </c>
      <c r="L65" s="2407">
        <v>50</v>
      </c>
      <c r="M65" s="3126">
        <v>0.02</v>
      </c>
      <c r="O65" s="2416" t="s">
        <v>2375</v>
      </c>
      <c r="P65" s="2417" t="s">
        <v>2376</v>
      </c>
      <c r="Q65" s="2418" t="s">
        <v>2377</v>
      </c>
      <c r="R65" s="2417" t="s">
        <v>2378</v>
      </c>
    </row>
    <row r="66" spans="1:18" s="2056" customFormat="1" ht="24.6" thickBot="1">
      <c r="A66" s="796" t="s">
        <v>1776</v>
      </c>
      <c r="B66" s="3032" t="s">
        <v>2820</v>
      </c>
      <c r="C66" s="798">
        <f ca="1">C47-C57</f>
        <v>-328</v>
      </c>
      <c r="D66" s="3193" t="s">
        <v>699</v>
      </c>
      <c r="E66" s="3196"/>
      <c r="F66" s="819"/>
      <c r="K66" s="2083"/>
      <c r="O66" s="2419" t="s">
        <v>2379</v>
      </c>
      <c r="P66" s="2420" t="s">
        <v>2409</v>
      </c>
      <c r="Q66" s="2421">
        <f ca="1">C40+J29</f>
        <v>7861</v>
      </c>
      <c r="R66" s="2420" t="s">
        <v>2380</v>
      </c>
    </row>
    <row r="67" spans="1:18" s="2056" customFormat="1" ht="19.2" thickBot="1">
      <c r="A67" s="780" t="s">
        <v>1780</v>
      </c>
      <c r="B67" s="2229" t="s">
        <v>2302</v>
      </c>
      <c r="C67" s="782">
        <f ca="1">ROUND(C66*(1-((1+F69)/(1+F67))^F68)/(F67-F69),0)</f>
        <v>-5898</v>
      </c>
      <c r="D67" s="813" t="s">
        <v>703</v>
      </c>
      <c r="E67" s="783" t="s">
        <v>704</v>
      </c>
      <c r="F67" s="793">
        <f ca="1">F40</f>
        <v>0.05</v>
      </c>
      <c r="K67" s="2083"/>
      <c r="O67" s="2419" t="s">
        <v>2381</v>
      </c>
      <c r="P67" s="2420" t="s">
        <v>2412</v>
      </c>
      <c r="Q67" s="2421">
        <f ca="1">L60</f>
        <v>0</v>
      </c>
      <c r="R67" s="2424" t="s">
        <v>2414</v>
      </c>
    </row>
    <row r="68" spans="1:18" ht="20.399999999999999" thickBot="1">
      <c r="A68" s="785"/>
      <c r="B68" s="786"/>
      <c r="C68" s="787"/>
      <c r="D68" s="820" t="s">
        <v>1808</v>
      </c>
      <c r="E68" s="783" t="s">
        <v>707</v>
      </c>
      <c r="F68" s="821">
        <f ca="1">F41</f>
        <v>47</v>
      </c>
      <c r="O68" s="2422" t="s">
        <v>2383</v>
      </c>
      <c r="P68" s="2420" t="s">
        <v>2413</v>
      </c>
      <c r="Q68" s="2426">
        <f ca="1">L51</f>
        <v>-25597</v>
      </c>
      <c r="R68" s="2427" t="s">
        <v>2416</v>
      </c>
    </row>
    <row r="69" spans="1:18" ht="19.2" thickBot="1">
      <c r="A69" s="789"/>
      <c r="B69" s="790"/>
      <c r="C69" s="791"/>
      <c r="D69" s="815"/>
      <c r="E69" s="783" t="s">
        <v>709</v>
      </c>
      <c r="F69" s="2368"/>
      <c r="O69" s="2422" t="s">
        <v>2384</v>
      </c>
      <c r="P69" s="2428" t="s">
        <v>2398</v>
      </c>
      <c r="Q69" s="2421">
        <f ca="1">ROUND(Q70-Q71*Q72,0)</f>
        <v>-1295</v>
      </c>
      <c r="R69" s="2424"/>
    </row>
    <row r="70" spans="1:18" ht="16.2" thickBot="1">
      <c r="A70" s="822" t="s">
        <v>1787</v>
      </c>
      <c r="B70" s="823" t="s">
        <v>1810</v>
      </c>
      <c r="C70" s="824">
        <f ca="1">ROUND(C67*10000/F70,0)</f>
        <v>-1071</v>
      </c>
      <c r="D70" s="825" t="s">
        <v>1811</v>
      </c>
      <c r="E70" s="826" t="s">
        <v>1812</v>
      </c>
      <c r="F70" s="827">
        <f ca="1">F43</f>
        <v>55060</v>
      </c>
      <c r="O70" s="2422" t="s">
        <v>2399</v>
      </c>
      <c r="P70" s="2428" t="s">
        <v>2400</v>
      </c>
      <c r="Q70" s="2421">
        <f ca="1">C39</f>
        <v>317</v>
      </c>
      <c r="R70" s="2420" t="s">
        <v>2380</v>
      </c>
    </row>
    <row r="71" spans="1:18" ht="16.2" thickBot="1">
      <c r="O71" s="2422" t="s">
        <v>2401</v>
      </c>
      <c r="P71" s="2428" t="s">
        <v>2402</v>
      </c>
      <c r="Q71" s="2421">
        <f ca="1">C13</f>
        <v>18968</v>
      </c>
      <c r="R71" s="2420" t="s">
        <v>2380</v>
      </c>
    </row>
    <row r="72" spans="1:18" ht="16.2" thickBot="1">
      <c r="O72" s="2422" t="s">
        <v>2403</v>
      </c>
      <c r="P72" s="2428" t="s">
        <v>2404</v>
      </c>
      <c r="Q72" s="2423">
        <f ca="1">J36</f>
        <v>8.5000000000000006E-2</v>
      </c>
      <c r="R72" s="2424"/>
    </row>
    <row r="73" spans="1:18" ht="16.2" thickBot="1">
      <c r="O73" s="2422" t="s">
        <v>2386</v>
      </c>
      <c r="P73" s="2420" t="s">
        <v>2393</v>
      </c>
      <c r="Q73" s="2423">
        <f>L52</f>
        <v>0</v>
      </c>
      <c r="R73" s="2424"/>
    </row>
    <row r="74" spans="1:18" ht="19.2" thickBot="1">
      <c r="O74" s="2422" t="s">
        <v>2388</v>
      </c>
      <c r="P74" s="2420" t="s">
        <v>2394</v>
      </c>
      <c r="Q74" s="2421" t="e">
        <f ca="1">L58</f>
        <v>#DIV/0!</v>
      </c>
      <c r="R74" s="2424" t="s">
        <v>2395</v>
      </c>
    </row>
    <row r="75" spans="1:18" ht="16.2" thickBot="1">
      <c r="O75" s="2422" t="s">
        <v>2417</v>
      </c>
      <c r="P75" s="2420" t="str">
        <f>K59</f>
        <v>建设期及建筑物耐用年限下的土地年期修正系数Kn</v>
      </c>
      <c r="Q75" s="2421" t="e">
        <f ca="1">L59</f>
        <v>#DIV/0!</v>
      </c>
      <c r="R75" s="2424" t="s">
        <v>2397</v>
      </c>
    </row>
    <row r="76" spans="1:18" ht="16.2" thickBot="1">
      <c r="O76" s="2419" t="s">
        <v>2391</v>
      </c>
      <c r="P76" s="2420" t="s">
        <v>2408</v>
      </c>
      <c r="Q76" s="2421">
        <f ca="1">Q66+Q67</f>
        <v>7861</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C43" sqref="C43"/>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1725</v>
      </c>
      <c r="B1" s="737"/>
      <c r="C1" s="772" t="s">
        <v>2985</v>
      </c>
      <c r="D1" s="3152" t="s">
        <v>3132</v>
      </c>
      <c r="E1" s="2408" t="s">
        <v>2374</v>
      </c>
      <c r="F1" s="2409">
        <f ca="1">J53</f>
        <v>37</v>
      </c>
      <c r="G1" s="773">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1726</v>
      </c>
      <c r="B2" s="774">
        <f ca="1">C40+J29+L46</f>
        <v>41154</v>
      </c>
      <c r="C2" s="2054"/>
      <c r="D2" s="2052"/>
      <c r="E2" s="2053"/>
      <c r="F2" s="2053"/>
      <c r="G2" s="1587"/>
      <c r="H2" s="2054"/>
      <c r="I2" s="2054"/>
      <c r="J2" s="2054"/>
      <c r="K2" s="2055"/>
      <c r="L2" s="2054"/>
      <c r="M2" s="2054"/>
    </row>
    <row r="3" spans="1:33" ht="18" customHeight="1" thickBot="1">
      <c r="A3" s="832" t="s">
        <v>1727</v>
      </c>
      <c r="B3" s="833">
        <f ca="1">IF(ISERROR(B2*10000/F43),0,ROUND(B2*10000/F43,0))</f>
        <v>23383</v>
      </c>
      <c r="C3" s="2054"/>
      <c r="D3" s="2052"/>
      <c r="E3" s="2053"/>
      <c r="F3" s="2053"/>
      <c r="G3" s="1587"/>
      <c r="H3" s="775" t="s">
        <v>694</v>
      </c>
      <c r="I3" s="1362"/>
      <c r="J3" s="1362"/>
      <c r="K3" s="1588"/>
      <c r="L3" s="1362"/>
      <c r="M3" s="1362"/>
    </row>
    <row r="4" spans="1:33" ht="18" customHeight="1">
      <c r="A4" s="776" t="s">
        <v>1728</v>
      </c>
      <c r="B4" s="777" t="s">
        <v>1729</v>
      </c>
      <c r="C4" s="777" t="s">
        <v>1730</v>
      </c>
      <c r="D4" s="777" t="s">
        <v>632</v>
      </c>
      <c r="E4" s="778" t="s">
        <v>1731</v>
      </c>
      <c r="F4" s="779"/>
      <c r="G4" s="1589"/>
      <c r="H4" s="776" t="s">
        <v>1732</v>
      </c>
      <c r="I4" s="777" t="s">
        <v>1733</v>
      </c>
      <c r="J4" s="777" t="s">
        <v>1734</v>
      </c>
      <c r="K4" s="777" t="s">
        <v>1735</v>
      </c>
      <c r="L4" s="778" t="s">
        <v>1736</v>
      </c>
      <c r="M4" s="779"/>
    </row>
    <row r="5" spans="1:33" ht="18" customHeight="1">
      <c r="A5" s="780">
        <v>1</v>
      </c>
      <c r="B5" s="781" t="s">
        <v>2457</v>
      </c>
      <c r="C5" s="55">
        <f ca="1">C6+C10+C12</f>
        <v>2316</v>
      </c>
      <c r="D5" s="2517" t="s">
        <v>2460</v>
      </c>
      <c r="E5" s="2511"/>
      <c r="F5" s="2512"/>
      <c r="G5" s="1589"/>
      <c r="H5" s="780">
        <v>1</v>
      </c>
      <c r="I5" s="781" t="s">
        <v>2457</v>
      </c>
      <c r="J5" s="55">
        <f ca="1">J6+J10+J12</f>
        <v>0</v>
      </c>
      <c r="K5" s="2517" t="s">
        <v>2460</v>
      </c>
      <c r="L5" s="2511"/>
      <c r="M5" s="2512"/>
    </row>
    <row r="6" spans="1:33" ht="18" customHeight="1">
      <c r="A6" s="1827" t="s">
        <v>1824</v>
      </c>
      <c r="B6" s="3467" t="s">
        <v>2462</v>
      </c>
      <c r="C6" s="782">
        <f ca="1">ROUND(F6*F8*F7*(1-F9)/10000,0)</f>
        <v>2313</v>
      </c>
      <c r="D6" s="2518" t="s">
        <v>2461</v>
      </c>
      <c r="E6" s="783" t="s">
        <v>1738</v>
      </c>
      <c r="F6" s="784">
        <f ca="1">INDIRECT("'数据-取费表'!u"&amp;$G$1)</f>
        <v>4</v>
      </c>
      <c r="G6" s="1589"/>
      <c r="H6" s="2525" t="s">
        <v>2467</v>
      </c>
      <c r="I6" s="3467" t="s">
        <v>2462</v>
      </c>
      <c r="J6" s="782">
        <f ca="1">ROUND(M6*M8*M7*(1-M9)/10000,0)</f>
        <v>0</v>
      </c>
      <c r="K6" s="341" t="s">
        <v>1737</v>
      </c>
      <c r="L6" s="783" t="s">
        <v>1738</v>
      </c>
      <c r="M6" s="784">
        <f ca="1">INDIRECT("'数据-取费表'!z"&amp;$G$1)</f>
        <v>0</v>
      </c>
    </row>
    <row r="7" spans="1:33" ht="18" customHeight="1">
      <c r="A7" s="2521"/>
      <c r="B7" s="3468"/>
      <c r="C7" s="787"/>
      <c r="D7" s="788"/>
      <c r="E7" s="783" t="s">
        <v>1739</v>
      </c>
      <c r="F7" s="784">
        <f ca="1">IF(INDIRECT("'数据-取费表'!ah"&amp;$G$1)="",INDIRECT("'数据-取费表'!k"&amp;$G$1),INDIRECT("'数据-取费表'!ah"&amp;$G$1))</f>
        <v>17600</v>
      </c>
      <c r="G7" s="1589"/>
      <c r="H7" s="2510"/>
      <c r="I7" s="3468"/>
      <c r="J7" s="787"/>
      <c r="K7" s="788"/>
      <c r="L7" s="783" t="s">
        <v>1739</v>
      </c>
      <c r="M7" s="784">
        <f ca="1">F7</f>
        <v>17600</v>
      </c>
    </row>
    <row r="8" spans="1:33" ht="18" customHeight="1">
      <c r="A8" s="2514"/>
      <c r="B8" s="3469"/>
      <c r="C8" s="787"/>
      <c r="D8" s="788"/>
      <c r="E8" s="783" t="s">
        <v>1740</v>
      </c>
      <c r="F8" s="784">
        <f ca="1">INDIRECT("'数据-取费表'!ai"&amp;$G$1)</f>
        <v>365</v>
      </c>
      <c r="G8" s="1589"/>
      <c r="H8" s="2510"/>
      <c r="I8" s="3469"/>
      <c r="J8" s="787"/>
      <c r="K8" s="788"/>
      <c r="L8" s="783" t="s">
        <v>1740</v>
      </c>
      <c r="M8" s="784">
        <f ca="1">INDIRECT("'数据-取费表'!ai"&amp;$G$1)</f>
        <v>365</v>
      </c>
    </row>
    <row r="9" spans="1:33" ht="18" customHeight="1">
      <c r="A9" s="785"/>
      <c r="B9" s="3470"/>
      <c r="C9" s="787"/>
      <c r="D9" s="788"/>
      <c r="E9" s="783" t="s">
        <v>1741</v>
      </c>
      <c r="F9" s="793">
        <f ca="1">INDIRECT("'数据-取费表'!w"&amp;$G$1)</f>
        <v>0.1</v>
      </c>
      <c r="G9" s="1589"/>
      <c r="H9" s="2526"/>
      <c r="I9" s="3469"/>
      <c r="J9" s="787"/>
      <c r="K9" s="788"/>
      <c r="L9" s="794" t="s">
        <v>1741</v>
      </c>
      <c r="M9" s="795">
        <f ca="1">INDIRECT("'数据-取费表'!ab"&amp;$G$1)</f>
        <v>0</v>
      </c>
    </row>
    <row r="10" spans="1:33" ht="18" customHeight="1">
      <c r="A10" s="1827" t="s">
        <v>2465</v>
      </c>
      <c r="B10" s="2515" t="s">
        <v>2458</v>
      </c>
      <c r="C10" s="798">
        <f ca="1">ROUND(IF(F10="押一",C6/12*F11,IF(F10="押二",C6/12*2*F11,IF(F10="押三",C6/12*3*F11,C11*F11))),0)</f>
        <v>3</v>
      </c>
      <c r="D10" s="2522" t="s">
        <v>2973</v>
      </c>
      <c r="E10" s="2519" t="s">
        <v>2463</v>
      </c>
      <c r="F10" s="2642" t="s">
        <v>3000</v>
      </c>
      <c r="G10" s="1589"/>
      <c r="H10" s="2582" t="s">
        <v>2468</v>
      </c>
      <c r="I10" s="2587" t="s">
        <v>2458</v>
      </c>
      <c r="J10" s="782">
        <f ca="1">ROUND(IF(M10="押一",J6/12*M11,IF(M10="押二",J6/12*2*M11,IF(M10="押三",J6/12*3*M11,J11*M11))),0)</f>
        <v>0</v>
      </c>
      <c r="K10" s="2522" t="s">
        <v>2973</v>
      </c>
      <c r="L10" s="2519" t="s">
        <v>2463</v>
      </c>
      <c r="M10" s="2642"/>
    </row>
    <row r="11" spans="1:33" ht="18" customHeight="1">
      <c r="A11" s="789"/>
      <c r="B11" s="2516" t="s">
        <v>2572</v>
      </c>
      <c r="C11" s="2520"/>
      <c r="D11" s="788"/>
      <c r="E11" s="2519" t="s">
        <v>2464</v>
      </c>
      <c r="F11" s="795">
        <f ca="1">'数据-取费表'!B39</f>
        <v>1.4999999999999999E-2</v>
      </c>
      <c r="G11" s="1589"/>
      <c r="H11" s="2583"/>
      <c r="I11" s="2516" t="s">
        <v>2572</v>
      </c>
      <c r="J11" s="2520"/>
      <c r="K11" s="2584"/>
      <c r="L11" s="2519" t="s">
        <v>2464</v>
      </c>
      <c r="M11" s="2513">
        <f ca="1">'数据-取费表'!B39</f>
        <v>1.4999999999999999E-2</v>
      </c>
    </row>
    <row r="12" spans="1:33" ht="18" customHeight="1" thickBot="1">
      <c r="A12" s="2558" t="s">
        <v>2466</v>
      </c>
      <c r="B12" s="2559" t="s">
        <v>2459</v>
      </c>
      <c r="C12" s="2560"/>
      <c r="D12" s="2561"/>
      <c r="E12" s="2562"/>
      <c r="F12" s="2563"/>
      <c r="G12" s="1589"/>
      <c r="H12" s="2572" t="s">
        <v>2469</v>
      </c>
      <c r="I12" s="2585" t="s">
        <v>2459</v>
      </c>
      <c r="J12" s="2586"/>
      <c r="K12" s="2561"/>
      <c r="L12" s="2562"/>
      <c r="M12" s="2575"/>
    </row>
    <row r="13" spans="1:33" ht="18" customHeight="1" thickTop="1">
      <c r="A13" s="1826">
        <v>2</v>
      </c>
      <c r="B13" s="1824" t="s">
        <v>1742</v>
      </c>
      <c r="C13" s="791">
        <f ca="1">ROUND(C29*F13,0)</f>
        <v>7660</v>
      </c>
      <c r="D13" s="1831" t="s">
        <v>2298</v>
      </c>
      <c r="E13" s="1831" t="s">
        <v>1744</v>
      </c>
      <c r="F13" s="2557">
        <f ca="1">INDIRECT("'数据-取费表'!y"&amp;$G$1)</f>
        <v>1</v>
      </c>
      <c r="G13" s="1589"/>
      <c r="H13" s="1826">
        <v>2</v>
      </c>
      <c r="I13" s="1824" t="s">
        <v>1742</v>
      </c>
      <c r="J13" s="1816">
        <f ca="1">ROUND(J14*J15,0)</f>
        <v>0</v>
      </c>
      <c r="K13" s="1818" t="s">
        <v>1743</v>
      </c>
      <c r="L13" s="2573"/>
      <c r="M13" s="2574"/>
    </row>
    <row r="14" spans="1:33" ht="18" customHeight="1">
      <c r="A14" s="1645" t="s">
        <v>1884</v>
      </c>
      <c r="B14" s="783" t="s">
        <v>644</v>
      </c>
      <c r="C14" s="803">
        <f ca="1">INDIRECT("'数据-取费表'!m"&amp;$G$1)+INDIRECT("'数据-取费表'!t"&amp;$G$1)</f>
        <v>4928</v>
      </c>
      <c r="D14" s="1976" t="s">
        <v>1745</v>
      </c>
      <c r="E14" s="1977"/>
      <c r="F14" s="804"/>
      <c r="G14" s="1589"/>
      <c r="H14" s="1646" t="s">
        <v>1830</v>
      </c>
      <c r="I14" s="2228" t="s">
        <v>2824</v>
      </c>
      <c r="J14" s="53">
        <f ca="1">C29</f>
        <v>7660</v>
      </c>
      <c r="K14" s="26"/>
      <c r="L14" s="800"/>
      <c r="M14" s="801"/>
    </row>
    <row r="15" spans="1:33" s="2061" customFormat="1" ht="18" customHeight="1" thickBot="1">
      <c r="A15" s="1645" t="s">
        <v>1885</v>
      </c>
      <c r="B15" s="783" t="s">
        <v>646</v>
      </c>
      <c r="C15" s="53">
        <f ca="1">ROUND(C14*F15,0)</f>
        <v>148</v>
      </c>
      <c r="D15" s="805" t="s">
        <v>1746</v>
      </c>
      <c r="E15" s="805" t="s">
        <v>1747</v>
      </c>
      <c r="F15" s="806">
        <f>'数据-取费表'!B33</f>
        <v>0.03</v>
      </c>
      <c r="G15" s="1590"/>
      <c r="H15" s="2572" t="s">
        <v>1889</v>
      </c>
      <c r="I15" s="2567" t="s">
        <v>1744</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1886</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763</v>
      </c>
      <c r="K16" s="1818" t="s">
        <v>1750</v>
      </c>
      <c r="L16" s="2507"/>
      <c r="M16" s="2512"/>
    </row>
    <row r="17" spans="1:33" s="2061" customFormat="1" ht="18" customHeight="1">
      <c r="A17" s="1645" t="s">
        <v>1887</v>
      </c>
      <c r="B17" s="783" t="s">
        <v>652</v>
      </c>
      <c r="C17" s="53">
        <f ca="1">ROUND(F17*(F43+INDIRECT("'数据-取费表'!S"&amp;$G$1))/10000,0)</f>
        <v>352</v>
      </c>
      <c r="D17" s="783" t="s">
        <v>1751</v>
      </c>
      <c r="E17" s="783" t="s">
        <v>1752</v>
      </c>
      <c r="F17" s="56">
        <f>'数据-取费表'!B35</f>
        <v>200</v>
      </c>
      <c r="G17" s="1590"/>
      <c r="H17" s="1646" t="s">
        <v>1830</v>
      </c>
      <c r="I17" s="783" t="s">
        <v>655</v>
      </c>
      <c r="J17" s="53">
        <f ca="1">ROUND(IF(项目基本情况!B11="自然人",J5*M17,J18+J19+J20),0)</f>
        <v>648</v>
      </c>
      <c r="K17" s="2506" t="s">
        <v>1753</v>
      </c>
      <c r="L17" s="2505" t="s">
        <v>1754</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1888</v>
      </c>
      <c r="B18" s="783" t="s">
        <v>658</v>
      </c>
      <c r="C18" s="53">
        <f ca="1">ROUND(C14*F18,0)</f>
        <v>74</v>
      </c>
      <c r="D18" s="783" t="s">
        <v>1746</v>
      </c>
      <c r="E18" s="783" t="s">
        <v>1747</v>
      </c>
      <c r="F18" s="808">
        <f>'数据-取费表'!B36</f>
        <v>1.4999999999999999E-2</v>
      </c>
      <c r="G18" s="1590"/>
      <c r="H18" s="1645" t="s">
        <v>1884</v>
      </c>
      <c r="I18" s="783" t="s">
        <v>1755</v>
      </c>
      <c r="J18" s="53">
        <f ca="1">ROUND(J5*M18/1.05,1)</f>
        <v>0</v>
      </c>
      <c r="K18" s="2505" t="s">
        <v>1756</v>
      </c>
      <c r="L18" s="783" t="s">
        <v>1747</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6" t="s">
        <v>1830</v>
      </c>
      <c r="B19" s="783" t="s">
        <v>661</v>
      </c>
      <c r="C19" s="53">
        <f ca="1">SUM(C14:C18)</f>
        <v>5502</v>
      </c>
      <c r="D19" s="261" t="s">
        <v>1757</v>
      </c>
      <c r="E19" s="1979"/>
      <c r="F19" s="56"/>
      <c r="G19" s="1589"/>
      <c r="H19" s="1645" t="s">
        <v>1885</v>
      </c>
      <c r="I19" s="783" t="s">
        <v>1758</v>
      </c>
      <c r="J19" s="53">
        <f ca="1">IF(K19="按租金收入计税",ROUND(J5*M19,1),ROUND(C29*F33*0.7,1))</f>
        <v>643.4</v>
      </c>
      <c r="K19" s="810" t="s">
        <v>664</v>
      </c>
      <c r="L19" s="783" t="s">
        <v>1747</v>
      </c>
      <c r="M19" s="808">
        <f>IF(K19="按租金收入计税",'数据-取费表'!B51,'数据-取费表'!B50)</f>
        <v>1.2E-2</v>
      </c>
    </row>
    <row r="20" spans="1:33" s="2061" customFormat="1" ht="18" customHeight="1">
      <c r="A20" s="1646" t="s">
        <v>1889</v>
      </c>
      <c r="B20" s="783" t="s">
        <v>665</v>
      </c>
      <c r="C20" s="53">
        <f ca="1">ROUND(C19*F20,0)</f>
        <v>83</v>
      </c>
      <c r="D20" s="811" t="s">
        <v>1759</v>
      </c>
      <c r="E20" s="783" t="s">
        <v>1747</v>
      </c>
      <c r="F20" s="808">
        <f>'数据-取费表'!B37</f>
        <v>1.4999999999999999E-2</v>
      </c>
      <c r="G20" s="1590"/>
      <c r="H20" s="1648" t="s">
        <v>1880</v>
      </c>
      <c r="I20" s="341" t="s">
        <v>1760</v>
      </c>
      <c r="J20" s="54">
        <f ca="1">ROUND(M20*M21/10000,0)</f>
        <v>5</v>
      </c>
      <c r="K20" s="813" t="s">
        <v>1761</v>
      </c>
      <c r="L20" s="783" t="s">
        <v>1762</v>
      </c>
      <c r="M20" s="639">
        <f>'数据-取费表'!B52</f>
        <v>10</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1890</v>
      </c>
      <c r="B21" s="783" t="s">
        <v>1763</v>
      </c>
      <c r="C21" s="53" t="s">
        <v>1764</v>
      </c>
      <c r="D21" s="811" t="s">
        <v>2299</v>
      </c>
      <c r="E21" s="783" t="s">
        <v>1765</v>
      </c>
      <c r="F21" s="808">
        <f>'数据-取费表'!B38</f>
        <v>1.4999999999999999E-2</v>
      </c>
      <c r="G21" s="1590"/>
      <c r="H21" s="2527"/>
      <c r="I21" s="792"/>
      <c r="J21" s="69"/>
      <c r="K21" s="815"/>
      <c r="L21" s="783" t="s">
        <v>1766</v>
      </c>
      <c r="M21" s="784">
        <f ca="1">INDIRECT("'数据-取费表'!r"&amp;$G$1)</f>
        <v>4859.33</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6" t="s">
        <v>1891</v>
      </c>
      <c r="B22" s="783" t="s">
        <v>1767</v>
      </c>
      <c r="C22" s="53"/>
      <c r="D22" s="2593" t="str">
        <f>IF(F23&lt;=1,"单利计息。","复利计息。")&amp;"建造成本、管理费用、销售费用产生的利息。"</f>
        <v>复利计息。建造成本、管理费用、销售费用产生的利息。</v>
      </c>
      <c r="E22" s="1979"/>
      <c r="F22" s="56"/>
      <c r="G22" s="1589"/>
      <c r="H22" s="1646" t="s">
        <v>1889</v>
      </c>
      <c r="I22" s="783" t="s">
        <v>1768</v>
      </c>
      <c r="J22" s="53">
        <f ca="1">ROUND(J14*M22,0)</f>
        <v>115</v>
      </c>
      <c r="K22" s="2505" t="s">
        <v>1769</v>
      </c>
      <c r="L22" s="783" t="s">
        <v>1747</v>
      </c>
      <c r="M22" s="816">
        <f ca="1">INDIRECT("'数据-取费表'!Ak"&amp;$G$1)</f>
        <v>1.4999999999999999E-2</v>
      </c>
    </row>
    <row r="23" spans="1:33" s="2061" customFormat="1" ht="18" customHeight="1">
      <c r="A23" s="1645" t="s">
        <v>1831</v>
      </c>
      <c r="B23" s="783" t="s">
        <v>2534</v>
      </c>
      <c r="C23" s="53">
        <f ca="1">ROUND(IF('数据-取费表'!B22&lt;=1,(C19+C20)*F24*F23/2,(C19+C20)*(POWER((1+F24),F23/2)-1)),0)</f>
        <v>403</v>
      </c>
      <c r="D23" s="2592" t="str">
        <f>IF(F23&lt;=1,"(建造成本+管理费用)×利率×(建设周期÷2)","(建造成本+管理费用)×((1+利率)^(建设周期÷2)-1)")</f>
        <v>(建造成本+管理费用)×((1+利率)^(建设周期÷2)-1)</v>
      </c>
      <c r="E23" s="783" t="s">
        <v>1770</v>
      </c>
      <c r="F23" s="639">
        <f>'数据-取费表'!B20</f>
        <v>3</v>
      </c>
      <c r="G23" s="1590"/>
      <c r="H23" s="1646" t="s">
        <v>1890</v>
      </c>
      <c r="I23" s="783" t="s">
        <v>678</v>
      </c>
      <c r="J23" s="53">
        <f ca="1">ROUND(J13*M23,0)</f>
        <v>0</v>
      </c>
      <c r="K23" s="2505" t="s">
        <v>1771</v>
      </c>
      <c r="L23" s="783" t="s">
        <v>1747</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1832</v>
      </c>
      <c r="B24" s="783" t="s">
        <v>1772</v>
      </c>
      <c r="C24" s="53">
        <f ca="1">ROUND(IF('数据-取费表'!B22&lt;=1,F21*F24*F23/2,F21*(POWER((1+F24),F23/2)-1)),4)</f>
        <v>1.1000000000000001E-3</v>
      </c>
      <c r="D24" s="2592" t="str">
        <f>IF(F23&lt;=1,"销售费用×利率×(建设周期÷2)","销售费用×((1+利率)^(建设周期÷2)-1)")</f>
        <v>销售费用×((1+利率)^(建设周期÷2)-1)</v>
      </c>
      <c r="E24" s="783" t="s">
        <v>1773</v>
      </c>
      <c r="F24" s="818">
        <f ca="1">'数据-取费表'!B40</f>
        <v>4.7500000000000001E-2</v>
      </c>
      <c r="G24" s="1590"/>
      <c r="H24" s="2572" t="s">
        <v>1891</v>
      </c>
      <c r="I24" s="2567" t="s">
        <v>665</v>
      </c>
      <c r="J24" s="2565">
        <f ca="1">ROUND(J5*M24,0)</f>
        <v>0</v>
      </c>
      <c r="K24" s="2566" t="s">
        <v>1774</v>
      </c>
      <c r="L24" s="2567" t="s">
        <v>1747</v>
      </c>
      <c r="M24" s="2563">
        <f ca="1">INDIRECT("'数据-取费表'!Am"&amp;$G$1)</f>
        <v>1.4999999999999999E-2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1840</v>
      </c>
      <c r="B25" s="783" t="s">
        <v>683</v>
      </c>
      <c r="C25" s="53"/>
      <c r="D25" s="261" t="s">
        <v>1775</v>
      </c>
      <c r="E25" s="1979"/>
      <c r="F25" s="56"/>
      <c r="G25" s="1589"/>
      <c r="H25" s="1826" t="s">
        <v>1776</v>
      </c>
      <c r="I25" s="3031" t="s">
        <v>2820</v>
      </c>
      <c r="J25" s="791">
        <f ca="1">J5-J16</f>
        <v>-763</v>
      </c>
      <c r="K25" s="2569" t="s">
        <v>1777</v>
      </c>
      <c r="L25" s="2570"/>
      <c r="M25" s="2571"/>
    </row>
    <row r="26" spans="1:33" ht="18" customHeight="1">
      <c r="A26" s="1645" t="s">
        <v>1831</v>
      </c>
      <c r="B26" s="783" t="s">
        <v>2438</v>
      </c>
      <c r="C26" s="53">
        <f ca="1">ROUND((C19+C20)*F26,0)</f>
        <v>1117</v>
      </c>
      <c r="D26" s="811" t="s">
        <v>1778</v>
      </c>
      <c r="E26" s="794" t="s">
        <v>1779</v>
      </c>
      <c r="F26" s="793">
        <f ca="1">INDIRECT("'数据-取费表'!q"&amp;$G$1)</f>
        <v>0.2</v>
      </c>
      <c r="G26" s="1589"/>
      <c r="H26" s="2523" t="s">
        <v>1780</v>
      </c>
      <c r="I26" s="2229" t="s">
        <v>2825</v>
      </c>
      <c r="J26" s="782">
        <f ca="1">IF(J5&lt;&gt;0,ROUND(J25*(1-((1+M28)/(1+M26))^M27)/(M26-M28),0),0)</f>
        <v>0</v>
      </c>
      <c r="K26" s="813" t="s">
        <v>1781</v>
      </c>
      <c r="L26" s="783" t="s">
        <v>2419</v>
      </c>
      <c r="M26" s="793">
        <f ca="1">INDIRECT("'数据-取费表'!I"&amp;$G$1)</f>
        <v>5.5E-2</v>
      </c>
    </row>
    <row r="27" spans="1:33" ht="18" customHeight="1">
      <c r="A27" s="1645" t="s">
        <v>1832</v>
      </c>
      <c r="B27" s="783" t="s">
        <v>685</v>
      </c>
      <c r="C27" s="53">
        <f ca="1">ROUND(F21*F26,4)</f>
        <v>3.0000000000000001E-3</v>
      </c>
      <c r="D27" s="811" t="s">
        <v>1782</v>
      </c>
      <c r="E27" s="805"/>
      <c r="F27" s="806"/>
      <c r="G27" s="1589"/>
      <c r="H27" s="2524"/>
      <c r="I27" s="786"/>
      <c r="J27" s="787"/>
      <c r="K27" s="820" t="s">
        <v>1783</v>
      </c>
      <c r="L27" s="783" t="s">
        <v>1784</v>
      </c>
      <c r="M27" s="821">
        <f ca="1">INDIRECT("'数据-取费表'!ag"&amp;$G$1)</f>
        <v>0</v>
      </c>
    </row>
    <row r="28" spans="1:33" s="2061" customFormat="1" ht="18" customHeight="1">
      <c r="A28" s="1647" t="s">
        <v>1841</v>
      </c>
      <c r="B28" s="783" t="s">
        <v>686</v>
      </c>
      <c r="C28" s="53">
        <f>ROUND(F28/(1+'数据-取费表'!C42),4)</f>
        <v>5.33E-2</v>
      </c>
      <c r="D28" s="811" t="s">
        <v>2300</v>
      </c>
      <c r="E28" s="783" t="s">
        <v>1785</v>
      </c>
      <c r="F28" s="808">
        <f>'数据-取费表'!B41</f>
        <v>5.6000000000000001E-2</v>
      </c>
      <c r="G28" s="1590"/>
      <c r="H28" s="1826"/>
      <c r="I28" s="790"/>
      <c r="J28" s="791"/>
      <c r="K28" s="815"/>
      <c r="L28" s="783" t="s">
        <v>1786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1892</v>
      </c>
      <c r="B29" s="2562" t="s">
        <v>2301</v>
      </c>
      <c r="C29" s="2565">
        <f ca="1">ROUND((C19+C20+C23+C26)/(1-F21-C24-C27-C28),0)</f>
        <v>7660</v>
      </c>
      <c r="D29" s="2566"/>
      <c r="E29" s="2567"/>
      <c r="F29" s="2568"/>
      <c r="G29" s="1590"/>
      <c r="H29" s="822" t="s">
        <v>1787</v>
      </c>
      <c r="I29" s="823" t="s">
        <v>1788</v>
      </c>
      <c r="J29" s="824">
        <f ca="1">ROUND(J26/(1+F40)^F41,0)</f>
        <v>0</v>
      </c>
      <c r="K29" s="825" t="s">
        <v>1789</v>
      </c>
      <c r="L29" s="826"/>
      <c r="M29" s="827">
        <f ca="1">INDIRECT("'数据-取费表'!k"&amp;$G$1)</f>
        <v>17600</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91">
        <f ca="1">ROUND(C31+C36+C37+C38,0)</f>
        <v>567</v>
      </c>
      <c r="D30" s="1818" t="s">
        <v>1791</v>
      </c>
      <c r="E30" s="2507"/>
      <c r="F30" s="2512"/>
      <c r="G30" s="2059"/>
      <c r="H30" s="2062"/>
      <c r="I30" s="2063"/>
      <c r="J30" s="2064"/>
      <c r="K30" s="2065"/>
      <c r="L30" s="2066"/>
      <c r="M30" s="2067"/>
    </row>
    <row r="31" spans="1:33" ht="18" customHeight="1">
      <c r="A31" s="1646" t="s">
        <v>1830</v>
      </c>
      <c r="B31" s="783" t="s">
        <v>655</v>
      </c>
      <c r="C31" s="53">
        <f ca="1">ROUND(IF(项目基本情况!B11="自然人",C5*F31,C32+C33+C34),1)</f>
        <v>406.3</v>
      </c>
      <c r="D31" s="1976" t="s">
        <v>1792</v>
      </c>
      <c r="E31" s="1974" t="s">
        <v>1793</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5" t="s">
        <v>1831</v>
      </c>
      <c r="B32" s="783" t="s">
        <v>1794</v>
      </c>
      <c r="C32" s="53">
        <f ca="1">ROUND(C5*F32/1.05,1)</f>
        <v>123.5</v>
      </c>
      <c r="D32" s="1974" t="s">
        <v>1795</v>
      </c>
      <c r="E32" s="783" t="s">
        <v>1796</v>
      </c>
      <c r="F32" s="808">
        <f>'数据-取费表'!B41</f>
        <v>5.6000000000000001E-2</v>
      </c>
      <c r="G32" s="2059"/>
      <c r="H32" s="2068"/>
      <c r="I32" s="2069"/>
      <c r="J32" s="2070"/>
      <c r="K32" s="2071"/>
      <c r="L32" s="2072"/>
      <c r="M32" s="2073"/>
    </row>
    <row r="33" spans="1:18" ht="18" customHeight="1">
      <c r="A33" s="1645" t="s">
        <v>1832</v>
      </c>
      <c r="B33" s="783" t="s">
        <v>1797</v>
      </c>
      <c r="C33" s="53">
        <f ca="1">IF(D33="按租金收入计税",ROUND(C5*F33,1),IF(D33="按房产原值计税",ROUND(C29*F33*0.7,1),INDIRECT("'数据-取费表'!Aj"&amp;$G$1)))</f>
        <v>277.89999999999998</v>
      </c>
      <c r="D33" s="810" t="s">
        <v>3354</v>
      </c>
      <c r="E33" s="783" t="s">
        <v>1796</v>
      </c>
      <c r="F33" s="808">
        <f>IF(D33="按租金收入计税",'数据-取费表'!B51,'数据-取费表'!B50)</f>
        <v>0.12</v>
      </c>
      <c r="G33" s="2059"/>
      <c r="H33" s="2074"/>
      <c r="I33" s="2074"/>
      <c r="J33" s="2074"/>
      <c r="K33" s="2075"/>
      <c r="L33" s="2074"/>
      <c r="M33" s="2074"/>
    </row>
    <row r="34" spans="1:18" ht="18" customHeight="1">
      <c r="A34" s="1648" t="s">
        <v>1833</v>
      </c>
      <c r="B34" s="341" t="s">
        <v>1798</v>
      </c>
      <c r="C34" s="54">
        <f ca="1">ROUND(F34*F35/10000,1)</f>
        <v>4.9000000000000004</v>
      </c>
      <c r="D34" s="813" t="s">
        <v>1799</v>
      </c>
      <c r="E34" s="783" t="s">
        <v>1800</v>
      </c>
      <c r="F34" s="639">
        <f>'数据-取费表'!B52</f>
        <v>10</v>
      </c>
      <c r="G34" s="2059"/>
      <c r="H34" s="2062"/>
      <c r="I34" s="834" t="s">
        <v>1813</v>
      </c>
      <c r="J34" s="835"/>
      <c r="K34" s="2077"/>
      <c r="L34" s="2076"/>
      <c r="M34" s="2076"/>
    </row>
    <row r="35" spans="1:18" ht="18" customHeight="1">
      <c r="A35" s="814"/>
      <c r="B35" s="792"/>
      <c r="C35" s="69"/>
      <c r="D35" s="815"/>
      <c r="E35" s="783" t="s">
        <v>1801</v>
      </c>
      <c r="F35" s="784">
        <f ca="1">INDIRECT("'数据-取费表'!r"&amp;$G$1)</f>
        <v>4859.33</v>
      </c>
      <c r="G35" s="2059"/>
      <c r="H35" s="2062"/>
      <c r="I35" s="836" t="s">
        <v>1814</v>
      </c>
      <c r="J35" s="837">
        <f ca="1">ROUND(C13*J36,0)</f>
        <v>651</v>
      </c>
      <c r="K35" s="2075"/>
      <c r="L35" s="2074"/>
      <c r="M35" s="2074"/>
    </row>
    <row r="36" spans="1:18" ht="18" customHeight="1">
      <c r="A36" s="1646" t="s">
        <v>1889</v>
      </c>
      <c r="B36" s="783" t="s">
        <v>1802</v>
      </c>
      <c r="C36" s="53">
        <f ca="1">ROUND(C29*F36,1)</f>
        <v>114.9</v>
      </c>
      <c r="D36" s="1974" t="s">
        <v>1803</v>
      </c>
      <c r="E36" s="783" t="s">
        <v>1796</v>
      </c>
      <c r="F36" s="816">
        <f ca="1">INDIRECT("'数据-取费表'!Ak"&amp;$G$1)</f>
        <v>1.4999999999999999E-2</v>
      </c>
      <c r="G36" s="2059"/>
      <c r="H36" s="2074"/>
      <c r="I36" s="838" t="s">
        <v>1815</v>
      </c>
      <c r="J36" s="839">
        <f ca="1">INDIRECT("'数据-取费表'!j"&amp;$G$1)</f>
        <v>8.5000000000000006E-2</v>
      </c>
      <c r="K36" s="2079"/>
      <c r="L36" s="2074"/>
      <c r="M36" s="2074"/>
    </row>
    <row r="37" spans="1:18" ht="18" customHeight="1">
      <c r="A37" s="1646" t="s">
        <v>1890</v>
      </c>
      <c r="B37" s="783" t="s">
        <v>678</v>
      </c>
      <c r="C37" s="53">
        <f ca="1">ROUND(C13*F37,1)</f>
        <v>11.5</v>
      </c>
      <c r="D37" s="1974" t="s">
        <v>1804</v>
      </c>
      <c r="E37" s="783" t="s">
        <v>1796</v>
      </c>
      <c r="F37" s="817">
        <f ca="1">INDIRECT("'数据-取费表'!Al"&amp;$G$1)</f>
        <v>1.5E-3</v>
      </c>
      <c r="G37" s="2059"/>
      <c r="H37" s="2074"/>
      <c r="I37" s="840" t="s">
        <v>1816</v>
      </c>
      <c r="J37" s="841"/>
      <c r="K37" s="2079"/>
      <c r="L37" s="2074"/>
      <c r="M37" s="2074"/>
    </row>
    <row r="38" spans="1:18" ht="18" customHeight="1" thickBot="1">
      <c r="A38" s="2572" t="s">
        <v>1891</v>
      </c>
      <c r="B38" s="2567" t="s">
        <v>665</v>
      </c>
      <c r="C38" s="2565">
        <f ca="1">ROUND(C5*F38,1)</f>
        <v>34.700000000000003</v>
      </c>
      <c r="D38" s="2566" t="s">
        <v>1805</v>
      </c>
      <c r="E38" s="2567" t="s">
        <v>1796</v>
      </c>
      <c r="F38" s="2563">
        <f ca="1">INDIRECT("'数据-取费表'!Am"&amp;$G$1)</f>
        <v>1.4999999999999999E-2</v>
      </c>
      <c r="G38" s="2059"/>
      <c r="H38" s="2074"/>
      <c r="I38" s="842" t="s">
        <v>1817</v>
      </c>
      <c r="J38" s="843"/>
      <c r="K38" s="2080"/>
      <c r="L38" s="2074"/>
      <c r="M38" s="2074"/>
    </row>
    <row r="39" spans="1:18" ht="24.6" customHeight="1" thickTop="1">
      <c r="A39" s="1826" t="s">
        <v>1894</v>
      </c>
      <c r="B39" s="3031" t="s">
        <v>2820</v>
      </c>
      <c r="C39" s="791">
        <f ca="1">C5-C30</f>
        <v>1749</v>
      </c>
      <c r="D39" s="2569" t="s">
        <v>1806</v>
      </c>
      <c r="E39" s="2570"/>
      <c r="F39" s="2571"/>
      <c r="G39" s="2059"/>
      <c r="H39" s="2074"/>
      <c r="I39" s="836" t="s">
        <v>1818</v>
      </c>
      <c r="J39" s="844">
        <f ca="1">ROUND(J35/C39,3)</f>
        <v>0.372</v>
      </c>
      <c r="K39" s="2080"/>
      <c r="L39" s="2074"/>
      <c r="M39" s="2074"/>
    </row>
    <row r="40" spans="1:18" ht="18" customHeight="1">
      <c r="A40" s="780" t="s">
        <v>1895</v>
      </c>
      <c r="B40" s="2229" t="s">
        <v>2302</v>
      </c>
      <c r="C40" s="782">
        <f ca="1">ROUND(C39*(1-((1+F42)/(1+F40))^F41)/(F40-F42),0)</f>
        <v>41154</v>
      </c>
      <c r="D40" s="813" t="s">
        <v>1807</v>
      </c>
      <c r="E40" s="783" t="s">
        <v>2419</v>
      </c>
      <c r="F40" s="793">
        <f ca="1">INDIRECT("'数据-取费表'!I"&amp;$G$1)</f>
        <v>5.5E-2</v>
      </c>
      <c r="G40" s="2059"/>
      <c r="H40" s="2059"/>
      <c r="I40" s="836" t="s">
        <v>1819</v>
      </c>
      <c r="J40" s="844">
        <f ca="1">1-J39</f>
        <v>0.628</v>
      </c>
      <c r="K40" s="2080"/>
      <c r="L40" s="2059"/>
      <c r="M40" s="2059"/>
    </row>
    <row r="41" spans="1:18" ht="18" customHeight="1">
      <c r="A41" s="785"/>
      <c r="B41" s="786"/>
      <c r="C41" s="787"/>
      <c r="D41" s="820" t="s">
        <v>1808</v>
      </c>
      <c r="E41" s="783" t="s">
        <v>2963</v>
      </c>
      <c r="F41" s="821">
        <f ca="1">IF(INDIRECT("'数据-取费表'!af"&amp;$G$1)=0,INDIRECT("'数据-取费表'!ae"&amp;$G$1),INDIRECT("'数据-取费表'!af"&amp;$G$1))</f>
        <v>37</v>
      </c>
      <c r="G41" s="2059"/>
      <c r="H41" s="1985"/>
      <c r="I41" s="842" t="s">
        <v>1820</v>
      </c>
      <c r="J41" s="845"/>
      <c r="K41" s="2079"/>
      <c r="L41" s="1985"/>
      <c r="M41" s="1985"/>
    </row>
    <row r="42" spans="1:18" ht="18" customHeight="1">
      <c r="A42" s="789"/>
      <c r="B42" s="790"/>
      <c r="C42" s="791"/>
      <c r="D42" s="815"/>
      <c r="E42" s="783" t="s">
        <v>1809</v>
      </c>
      <c r="F42" s="793">
        <f ca="1">INDIRECT("'数据-取费表'!v"&amp;$G$1)</f>
        <v>0.03</v>
      </c>
      <c r="G42" s="2059"/>
      <c r="H42" s="1985"/>
      <c r="I42" s="846" t="s">
        <v>1821</v>
      </c>
      <c r="J42" s="844">
        <f ca="1">ROUND(C13/C40,3)</f>
        <v>0.186</v>
      </c>
      <c r="K42" s="2079"/>
      <c r="L42" s="1985"/>
      <c r="M42" s="1985"/>
    </row>
    <row r="43" spans="1:18" ht="18" customHeight="1" thickBot="1">
      <c r="A43" s="822" t="s">
        <v>1787</v>
      </c>
      <c r="B43" s="823" t="s">
        <v>1810</v>
      </c>
      <c r="C43" s="824">
        <f ca="1">ROUND(C40*10000/F43,0)</f>
        <v>23383</v>
      </c>
      <c r="D43" s="825" t="s">
        <v>1811</v>
      </c>
      <c r="E43" s="826" t="s">
        <v>1812</v>
      </c>
      <c r="F43" s="827">
        <f ca="1">INDIRECT("'数据-取费表'!k"&amp;$G$1)</f>
        <v>17600</v>
      </c>
      <c r="G43" s="2059"/>
      <c r="H43" s="1985"/>
      <c r="I43" s="846" t="s">
        <v>1822</v>
      </c>
      <c r="J43" s="847">
        <f ca="1">1-J42</f>
        <v>0.81400000000000006</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5">
        <f ca="1">C67-C40</f>
        <v>-43207</v>
      </c>
      <c r="D46" s="2082"/>
      <c r="E46" s="2082"/>
      <c r="F46" s="2082"/>
      <c r="I46" s="2375" t="s">
        <v>2342</v>
      </c>
      <c r="J46" s="2376"/>
      <c r="K46" s="2377"/>
      <c r="L46" s="2378">
        <f>IF(OR(M47="住宅",D1="土地（套用方法）"),0,IF(L48&gt;J51,L60,J60))</f>
        <v>0</v>
      </c>
      <c r="O46" s="2415" t="s">
        <v>2410</v>
      </c>
      <c r="P46" s="1589"/>
      <c r="Q46" s="1601"/>
      <c r="R46" s="1589"/>
    </row>
    <row r="47" spans="1:18" s="2056" customFormat="1" ht="18" customHeight="1" thickBot="1">
      <c r="A47" s="2369">
        <v>1</v>
      </c>
      <c r="B47" s="2370" t="s">
        <v>634</v>
      </c>
      <c r="C47" s="2595">
        <f ca="1">C48+C52+C54</f>
        <v>0</v>
      </c>
      <c r="D47" s="2082"/>
      <c r="E47" s="2082"/>
      <c r="F47" s="2082"/>
      <c r="I47" s="2379" t="s">
        <v>2343</v>
      </c>
      <c r="J47" s="2384" t="s">
        <v>2999</v>
      </c>
      <c r="K47" s="2385" t="s">
        <v>2349</v>
      </c>
      <c r="L47" s="2386">
        <f ca="1">INDIRECT("'数据-取费表'!d"&amp;$G$1)</f>
        <v>40</v>
      </c>
      <c r="M47" s="1601" t="str">
        <f>IF(ISNUMBER(FIND("住宅",C1)),"住宅","非住宅")</f>
        <v>非住宅</v>
      </c>
      <c r="O47" s="2416" t="s">
        <v>2375</v>
      </c>
      <c r="P47" s="2417" t="s">
        <v>2376</v>
      </c>
      <c r="Q47" s="2418" t="s">
        <v>2377</v>
      </c>
      <c r="R47" s="2417" t="s">
        <v>2378</v>
      </c>
    </row>
    <row r="48" spans="1:18" s="2056" customFormat="1" ht="18" customHeight="1" thickBot="1">
      <c r="A48" s="2663" t="s">
        <v>2536</v>
      </c>
      <c r="B48" s="2664" t="s">
        <v>2537</v>
      </c>
      <c r="C48" s="2371">
        <f ca="1">ROUND(F48*F50*F49*(1-F51)/10000,0)</f>
        <v>0</v>
      </c>
      <c r="D48" s="2372" t="s">
        <v>635</v>
      </c>
      <c r="E48" s="2373" t="s">
        <v>2297</v>
      </c>
      <c r="F48" s="2374"/>
      <c r="G48" s="2087"/>
      <c r="I48" s="2380" t="s">
        <v>2344</v>
      </c>
      <c r="J48" s="2387" t="s">
        <v>2350</v>
      </c>
      <c r="K48" s="2388" t="s">
        <v>2351</v>
      </c>
      <c r="L48" s="2389">
        <f ca="1">INDIRECT("'数据-取费表'!f"&amp;$G$1)</f>
        <v>40</v>
      </c>
      <c r="O48" s="2419" t="s">
        <v>2379</v>
      </c>
      <c r="P48" s="2420" t="s">
        <v>2405</v>
      </c>
      <c r="Q48" s="2421">
        <f ca="1">C40+J29</f>
        <v>41154</v>
      </c>
      <c r="R48" s="2420" t="s">
        <v>2380</v>
      </c>
    </row>
    <row r="49" spans="1:18" s="2056" customFormat="1" ht="18" customHeight="1" thickBot="1">
      <c r="A49" s="785"/>
      <c r="B49" s="786"/>
      <c r="C49" s="787"/>
      <c r="D49" s="788"/>
      <c r="E49" s="783" t="s">
        <v>1739</v>
      </c>
      <c r="F49" s="784">
        <f ca="1">F7</f>
        <v>17600</v>
      </c>
      <c r="G49" s="2087"/>
      <c r="H49" s="2090"/>
      <c r="I49" s="2380" t="s">
        <v>2345</v>
      </c>
      <c r="J49" s="2390">
        <v>20221</v>
      </c>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1740</v>
      </c>
      <c r="F50" s="784">
        <f ca="1">F8</f>
        <v>365</v>
      </c>
      <c r="G50" s="2092"/>
      <c r="H50" s="2090"/>
      <c r="I50" s="2380" t="s">
        <v>2346</v>
      </c>
      <c r="J50" s="2393">
        <f>SUMPRODUCT((I63:I65=J47)*(J62:L62=J48)*(J63:L65))</f>
        <v>60</v>
      </c>
      <c r="K50" s="2391" t="s">
        <v>2353</v>
      </c>
      <c r="L50" s="2392"/>
      <c r="O50" s="2422" t="s">
        <v>2383</v>
      </c>
      <c r="P50" s="2420" t="s">
        <v>2407</v>
      </c>
      <c r="Q50" s="2421">
        <f ca="1">C29</f>
        <v>7660</v>
      </c>
      <c r="R50" s="2420" t="s">
        <v>2380</v>
      </c>
    </row>
    <row r="51" spans="1:18" s="2056" customFormat="1" ht="18" customHeight="1" thickBot="1">
      <c r="A51" s="785"/>
      <c r="B51" s="786"/>
      <c r="C51" s="787"/>
      <c r="D51" s="788"/>
      <c r="E51" s="783" t="s">
        <v>639</v>
      </c>
      <c r="F51" s="2368"/>
      <c r="H51" s="2090"/>
      <c r="I51" s="2381" t="s">
        <v>2347</v>
      </c>
      <c r="J51" s="2394">
        <f>IF(J49="",J50,J49+J50-YEAR('数据-取费表'!B2))</f>
        <v>18262</v>
      </c>
      <c r="K51" s="2380" t="s">
        <v>2354</v>
      </c>
      <c r="L51" s="2395">
        <f ca="1">ROUND(-PV(INDIRECT("'数据-取费表'!h"&amp;$G$1),L48,(C39-C13*J36),0),0)</f>
        <v>18839</v>
      </c>
      <c r="O51" s="2422" t="s">
        <v>2384</v>
      </c>
      <c r="P51" s="2420" t="s">
        <v>2385</v>
      </c>
      <c r="Q51" s="2423" t="e">
        <f ca="1">J58</f>
        <v>#VALUE!</v>
      </c>
      <c r="R51" s="2424"/>
    </row>
    <row r="52" spans="1:18" s="2056" customFormat="1" ht="18" customHeight="1" thickBot="1">
      <c r="A52" s="780" t="s">
        <v>2535</v>
      </c>
      <c r="B52" s="2515" t="s">
        <v>2458</v>
      </c>
      <c r="C52" s="798">
        <f ca="1">ROUND(IF(F52="押一",C48/12*F11,IF(F52="押二",C48/12*2*F11,IF(F52="押三",C48/12*3*F11,C53*F11))),0)</f>
        <v>0</v>
      </c>
      <c r="D52" s="2522" t="s">
        <v>2974</v>
      </c>
      <c r="E52" s="2519" t="s">
        <v>2463</v>
      </c>
      <c r="F52" s="2642"/>
      <c r="I52" s="2382" t="s">
        <v>2421</v>
      </c>
      <c r="J52" s="2396">
        <v>0.09</v>
      </c>
      <c r="K52" s="2382" t="s">
        <v>2420</v>
      </c>
      <c r="L52" s="2396"/>
      <c r="O52" s="2422" t="s">
        <v>2386</v>
      </c>
      <c r="P52" s="2420" t="s">
        <v>2387</v>
      </c>
      <c r="Q52" s="2423">
        <f>J52</f>
        <v>0.09</v>
      </c>
      <c r="R52" s="2424"/>
    </row>
    <row r="53" spans="1:18" s="2056" customFormat="1" ht="39.75" customHeight="1" thickBot="1">
      <c r="A53" s="785"/>
      <c r="B53" s="2516" t="s">
        <v>2572</v>
      </c>
      <c r="C53" s="2520"/>
      <c r="D53" s="2522"/>
      <c r="E53" s="2519"/>
      <c r="F53" s="799"/>
      <c r="I53" s="2383" t="s">
        <v>2348</v>
      </c>
      <c r="J53" s="2397">
        <f ca="1">IF(M47="住宅",J51,IF(D1="——",MIN(J51,L48),IF(D1="土地（套用方法）",MIN(J51,L48-'数据-取费表'!B20))))</f>
        <v>37</v>
      </c>
      <c r="K53" s="3483" t="s">
        <v>2965</v>
      </c>
      <c r="L53" s="3484"/>
      <c r="O53" s="2422" t="s">
        <v>2388</v>
      </c>
      <c r="P53" s="2420" t="s">
        <v>2389</v>
      </c>
      <c r="Q53" s="2421">
        <f ca="1">J53</f>
        <v>37</v>
      </c>
      <c r="R53" s="2420" t="s">
        <v>2390</v>
      </c>
    </row>
    <row r="54" spans="1:18" s="2056" customFormat="1" ht="18" customHeight="1" thickBot="1">
      <c r="A54" s="2558" t="s">
        <v>2466</v>
      </c>
      <c r="B54" s="2559" t="s">
        <v>2459</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41154</v>
      </c>
      <c r="R54" s="2424" t="s">
        <v>2392</v>
      </c>
    </row>
    <row r="55" spans="1:18" s="2056" customFormat="1" ht="18" customHeight="1" thickTop="1" thickBot="1">
      <c r="A55" s="796">
        <v>2</v>
      </c>
      <c r="B55" s="797" t="s">
        <v>643</v>
      </c>
      <c r="C55" s="798">
        <f ca="1">C13</f>
        <v>7660</v>
      </c>
      <c r="D55" s="794"/>
      <c r="E55" s="794"/>
      <c r="F55" s="799"/>
      <c r="I55" s="3123" t="s">
        <v>2355</v>
      </c>
      <c r="J55" s="3122" t="e">
        <f ca="1">ROUND(IF(J47="钢混",J57/J50,1-(1-2%)*(J50-J57)/J50),3)</f>
        <v>#VALUE!</v>
      </c>
      <c r="K55" s="2398" t="s">
        <v>2356</v>
      </c>
      <c r="L55" s="2399"/>
      <c r="O55" s="2425" t="s">
        <v>2411</v>
      </c>
      <c r="P55" s="1589"/>
      <c r="Q55" s="1601"/>
      <c r="R55" s="1589"/>
    </row>
    <row r="56" spans="1:18" s="2056" customFormat="1" ht="42.75" customHeight="1" thickBot="1">
      <c r="A56" s="1647"/>
      <c r="B56" s="2228" t="s">
        <v>2303</v>
      </c>
      <c r="C56" s="53">
        <f ca="1">C29</f>
        <v>7660</v>
      </c>
      <c r="D56" s="2660"/>
      <c r="E56" s="783"/>
      <c r="F56" s="808"/>
      <c r="I56" s="2400" t="s">
        <v>2357</v>
      </c>
      <c r="J56" s="3146" t="s">
        <v>1678</v>
      </c>
      <c r="K56" s="2380" t="s">
        <v>2362</v>
      </c>
      <c r="L56" s="2389" t="str">
        <f ca="1">IF(L48&lt;J51,"——",L48-J51)</f>
        <v>——</v>
      </c>
      <c r="O56" s="2416" t="s">
        <v>2375</v>
      </c>
      <c r="P56" s="2417" t="s">
        <v>2376</v>
      </c>
      <c r="Q56" s="2418" t="s">
        <v>2377</v>
      </c>
      <c r="R56" s="2417" t="s">
        <v>2378</v>
      </c>
    </row>
    <row r="57" spans="1:18" s="2056" customFormat="1" ht="28.5" customHeight="1" thickBot="1">
      <c r="A57" s="796" t="s">
        <v>1748</v>
      </c>
      <c r="B57" s="797" t="s">
        <v>650</v>
      </c>
      <c r="C57" s="798">
        <f ca="1">ROUND(C58+C63+C64+C65,0)</f>
        <v>131</v>
      </c>
      <c r="D57" s="26" t="s">
        <v>1750</v>
      </c>
      <c r="E57" s="2661"/>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41154</v>
      </c>
      <c r="R57" s="2420" t="s">
        <v>2380</v>
      </c>
    </row>
    <row r="58" spans="1:18" s="2056" customFormat="1" ht="28.5" customHeight="1" thickBot="1">
      <c r="A58" s="1646" t="s">
        <v>1824</v>
      </c>
      <c r="B58" s="783" t="s">
        <v>655</v>
      </c>
      <c r="C58" s="53">
        <f ca="1">ROUND(IF(项目基本情况!B11="自然人",C47*F58,C59+C60+C61),1)</f>
        <v>4.9000000000000004</v>
      </c>
      <c r="D58" s="2659" t="s">
        <v>656</v>
      </c>
      <c r="E58" s="2660" t="s">
        <v>689</v>
      </c>
      <c r="F58" s="809" t="str">
        <f ca="1">IF(项目基本情况!B11="企业","",IF(INDIRECT("'数据-取费表'!c"&amp;$G$1)="住宅",5%,IF(F48*F49*F50/12/(1+'数据-取费表'!C42)&gt;20000,12%,7%)))</f>
        <v/>
      </c>
      <c r="I58" s="2401" t="s">
        <v>2359</v>
      </c>
      <c r="J58" s="3124"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5" t="s">
        <v>1831</v>
      </c>
      <c r="B59" s="783" t="s">
        <v>659</v>
      </c>
      <c r="C59" s="53">
        <f ca="1">ROUND(C47*F59/1.05,1)</f>
        <v>0</v>
      </c>
      <c r="D59" s="2660" t="s">
        <v>1756</v>
      </c>
      <c r="E59" s="783" t="s">
        <v>1747</v>
      </c>
      <c r="F59" s="808">
        <f t="shared" ref="F59:F65" si="0">F32</f>
        <v>5.6000000000000001E-2</v>
      </c>
      <c r="I59" s="2401" t="s">
        <v>2360</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5" t="s">
        <v>1832</v>
      </c>
      <c r="B60" s="783" t="s">
        <v>1758</v>
      </c>
      <c r="C60" s="53">
        <f ca="1">IF(D60="按租金收入计税",ROUND(C47*F60,1),IF(D60="按房产原值计税",ROUND(C56*F60*0.7,1),INDIRECT("'数据-取费表'!Aj"&amp;$G$1)))</f>
        <v>0</v>
      </c>
      <c r="D60" s="2660" t="str">
        <f>D33</f>
        <v>按租金收入计税</v>
      </c>
      <c r="E60" s="783" t="s">
        <v>1747</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8" t="s">
        <v>1833</v>
      </c>
      <c r="B61" s="341" t="s">
        <v>667</v>
      </c>
      <c r="C61" s="54">
        <f ca="1">ROUND(F61*F62/10000,1)</f>
        <v>4.9000000000000004</v>
      </c>
      <c r="D61" s="813" t="s">
        <v>668</v>
      </c>
      <c r="E61" s="783" t="s">
        <v>669</v>
      </c>
      <c r="F61" s="639">
        <f t="shared" si="0"/>
        <v>10</v>
      </c>
      <c r="K61" s="2083"/>
      <c r="O61" s="2422" t="s">
        <v>2386</v>
      </c>
      <c r="P61" s="2420" t="s">
        <v>2394</v>
      </c>
      <c r="Q61" s="2421" t="e">
        <f ca="1">L58</f>
        <v>#DIV/0!</v>
      </c>
      <c r="R61" s="2424" t="s">
        <v>2395</v>
      </c>
    </row>
    <row r="62" spans="1:18" s="2056" customFormat="1" ht="16.2" thickBot="1">
      <c r="A62" s="814"/>
      <c r="B62" s="792"/>
      <c r="C62" s="69"/>
      <c r="D62" s="815"/>
      <c r="E62" s="783" t="s">
        <v>673</v>
      </c>
      <c r="F62" s="784">
        <f t="shared" ca="1" si="0"/>
        <v>4859.33</v>
      </c>
      <c r="I62" s="2406" t="s">
        <v>2367</v>
      </c>
      <c r="J62" s="2407" t="s">
        <v>2368</v>
      </c>
      <c r="K62" s="2407" t="s">
        <v>2369</v>
      </c>
      <c r="L62" s="2407" t="s">
        <v>2350</v>
      </c>
      <c r="M62" s="3125" t="s">
        <v>2940</v>
      </c>
      <c r="O62" s="2422" t="s">
        <v>2388</v>
      </c>
      <c r="P62" s="2420" t="str">
        <f>K59</f>
        <v>建设期及建筑物耐用年限下的土地年期修正系数Kn</v>
      </c>
      <c r="Q62" s="2421" t="e">
        <f ca="1">L59</f>
        <v>#DIV/0!</v>
      </c>
      <c r="R62" s="2424" t="s">
        <v>2397</v>
      </c>
    </row>
    <row r="63" spans="1:18" s="2056" customFormat="1" ht="16.2" thickBot="1">
      <c r="A63" s="1646" t="s">
        <v>1889</v>
      </c>
      <c r="B63" s="783" t="s">
        <v>675</v>
      </c>
      <c r="C63" s="53">
        <f ca="1">ROUND(C56*F63,1)</f>
        <v>114.9</v>
      </c>
      <c r="D63" s="2660" t="s">
        <v>1803</v>
      </c>
      <c r="E63" s="783" t="s">
        <v>1747</v>
      </c>
      <c r="F63" s="816">
        <f t="shared" ca="1" si="0"/>
        <v>1.4999999999999999E-2</v>
      </c>
      <c r="I63" s="2406" t="s">
        <v>2370</v>
      </c>
      <c r="J63" s="2407">
        <v>70</v>
      </c>
      <c r="K63" s="2407">
        <v>50</v>
      </c>
      <c r="L63" s="2407">
        <v>80</v>
      </c>
      <c r="M63" s="3126">
        <v>0.02</v>
      </c>
      <c r="O63" s="2419" t="s">
        <v>2391</v>
      </c>
      <c r="P63" s="2420" t="s">
        <v>2408</v>
      </c>
      <c r="Q63" s="2421">
        <f ca="1">Q57+Q58</f>
        <v>41154</v>
      </c>
      <c r="R63" s="2424" t="s">
        <v>2392</v>
      </c>
    </row>
    <row r="64" spans="1:18" s="2056" customFormat="1" ht="16.2" thickBot="1">
      <c r="A64" s="1646" t="s">
        <v>1890</v>
      </c>
      <c r="B64" s="783" t="s">
        <v>678</v>
      </c>
      <c r="C64" s="53">
        <f ca="1">ROUND(C55*F64,1)</f>
        <v>11.5</v>
      </c>
      <c r="D64" s="2660" t="s">
        <v>679</v>
      </c>
      <c r="E64" s="783" t="s">
        <v>1747</v>
      </c>
      <c r="F64" s="817">
        <f t="shared" ca="1" si="0"/>
        <v>1.5E-3</v>
      </c>
      <c r="I64" s="2406" t="s">
        <v>2371</v>
      </c>
      <c r="J64" s="2407">
        <v>50</v>
      </c>
      <c r="K64" s="2407">
        <v>35</v>
      </c>
      <c r="L64" s="2407">
        <v>60</v>
      </c>
      <c r="M64" s="3127">
        <v>0</v>
      </c>
      <c r="O64" s="2425" t="s">
        <v>2415</v>
      </c>
      <c r="P64" s="1589"/>
      <c r="Q64" s="1601"/>
      <c r="R64" s="1589"/>
    </row>
    <row r="65" spans="1:18" s="2056" customFormat="1" ht="16.2" thickBot="1">
      <c r="A65" s="1646" t="s">
        <v>1891</v>
      </c>
      <c r="B65" s="783" t="s">
        <v>665</v>
      </c>
      <c r="C65" s="53">
        <f ca="1">ROUND(C47*F65,1)</f>
        <v>0</v>
      </c>
      <c r="D65" s="2660" t="s">
        <v>682</v>
      </c>
      <c r="E65" s="783" t="s">
        <v>1747</v>
      </c>
      <c r="F65" s="793">
        <f t="shared" ca="1" si="0"/>
        <v>1.4999999999999999E-2</v>
      </c>
      <c r="I65" s="2406" t="s">
        <v>2372</v>
      </c>
      <c r="J65" s="2407">
        <v>40</v>
      </c>
      <c r="K65" s="2407">
        <v>30</v>
      </c>
      <c r="L65" s="2407">
        <v>50</v>
      </c>
      <c r="M65" s="3126">
        <v>0.02</v>
      </c>
      <c r="O65" s="2416" t="s">
        <v>2375</v>
      </c>
      <c r="P65" s="2417" t="s">
        <v>2376</v>
      </c>
      <c r="Q65" s="2418" t="s">
        <v>2377</v>
      </c>
      <c r="R65" s="2417" t="s">
        <v>2378</v>
      </c>
    </row>
    <row r="66" spans="1:18" s="2056" customFormat="1" ht="24.6" thickBot="1">
      <c r="A66" s="796" t="s">
        <v>1776</v>
      </c>
      <c r="B66" s="3032" t="s">
        <v>2820</v>
      </c>
      <c r="C66" s="798">
        <f ca="1">C47-C57</f>
        <v>-131</v>
      </c>
      <c r="D66" s="2659" t="s">
        <v>699</v>
      </c>
      <c r="E66" s="2658"/>
      <c r="F66" s="819"/>
      <c r="K66" s="2083"/>
      <c r="O66" s="2419" t="s">
        <v>2379</v>
      </c>
      <c r="P66" s="2420" t="s">
        <v>2409</v>
      </c>
      <c r="Q66" s="2421">
        <f ca="1">C40+J29</f>
        <v>41154</v>
      </c>
      <c r="R66" s="2420" t="s">
        <v>2380</v>
      </c>
    </row>
    <row r="67" spans="1:18" s="2056" customFormat="1" ht="19.2" thickBot="1">
      <c r="A67" s="780" t="s">
        <v>1780</v>
      </c>
      <c r="B67" s="2229" t="s">
        <v>2302</v>
      </c>
      <c r="C67" s="782">
        <f ca="1">ROUND(C66*(1-((1+F69)/(1+F67))^F68)/(F67-F69),0)</f>
        <v>-2053</v>
      </c>
      <c r="D67" s="813" t="s">
        <v>703</v>
      </c>
      <c r="E67" s="783" t="s">
        <v>704</v>
      </c>
      <c r="F67" s="793">
        <f ca="1">F40</f>
        <v>5.5E-2</v>
      </c>
      <c r="K67" s="2083"/>
      <c r="O67" s="2419" t="s">
        <v>2381</v>
      </c>
      <c r="P67" s="2420" t="s">
        <v>2412</v>
      </c>
      <c r="Q67" s="2421">
        <f ca="1">L60</f>
        <v>0</v>
      </c>
      <c r="R67" s="2424" t="s">
        <v>2414</v>
      </c>
    </row>
    <row r="68" spans="1:18" ht="20.399999999999999" thickBot="1">
      <c r="A68" s="785"/>
      <c r="B68" s="786"/>
      <c r="C68" s="787"/>
      <c r="D68" s="820" t="s">
        <v>1808</v>
      </c>
      <c r="E68" s="783" t="s">
        <v>1784</v>
      </c>
      <c r="F68" s="821">
        <f ca="1">F41</f>
        <v>37</v>
      </c>
      <c r="O68" s="2422" t="s">
        <v>2383</v>
      </c>
      <c r="P68" s="2420" t="s">
        <v>2413</v>
      </c>
      <c r="Q68" s="2426">
        <f ca="1">L51</f>
        <v>18839</v>
      </c>
      <c r="R68" s="2427" t="s">
        <v>2416</v>
      </c>
    </row>
    <row r="69" spans="1:18" ht="19.2" thickBot="1">
      <c r="A69" s="789"/>
      <c r="B69" s="790"/>
      <c r="C69" s="791"/>
      <c r="D69" s="815"/>
      <c r="E69" s="783" t="s">
        <v>709</v>
      </c>
      <c r="F69" s="2368"/>
      <c r="O69" s="2422" t="s">
        <v>2384</v>
      </c>
      <c r="P69" s="2428" t="s">
        <v>2398</v>
      </c>
      <c r="Q69" s="2421">
        <f ca="1">ROUND(Q70-Q71*Q72,0)</f>
        <v>1098</v>
      </c>
      <c r="R69" s="2424"/>
    </row>
    <row r="70" spans="1:18" ht="16.2" thickBot="1">
      <c r="A70" s="822" t="s">
        <v>1787</v>
      </c>
      <c r="B70" s="823" t="s">
        <v>1810</v>
      </c>
      <c r="C70" s="824">
        <f ca="1">ROUND(C67*10000/F70,0)</f>
        <v>-1166</v>
      </c>
      <c r="D70" s="825" t="s">
        <v>1811</v>
      </c>
      <c r="E70" s="826" t="s">
        <v>1812</v>
      </c>
      <c r="F70" s="827">
        <f ca="1">F43</f>
        <v>17600</v>
      </c>
      <c r="O70" s="2422" t="s">
        <v>2399</v>
      </c>
      <c r="P70" s="2428" t="s">
        <v>2400</v>
      </c>
      <c r="Q70" s="2421">
        <f ca="1">C39</f>
        <v>1749</v>
      </c>
      <c r="R70" s="2420" t="s">
        <v>2380</v>
      </c>
    </row>
    <row r="71" spans="1:18" ht="16.2" thickBot="1">
      <c r="O71" s="2422" t="s">
        <v>2401</v>
      </c>
      <c r="P71" s="2428" t="s">
        <v>2402</v>
      </c>
      <c r="Q71" s="2421">
        <f ca="1">C13</f>
        <v>7660</v>
      </c>
      <c r="R71" s="2420" t="s">
        <v>2380</v>
      </c>
    </row>
    <row r="72" spans="1:18" ht="16.2" thickBot="1">
      <c r="O72" s="2422" t="s">
        <v>2403</v>
      </c>
      <c r="P72" s="2428" t="s">
        <v>2404</v>
      </c>
      <c r="Q72" s="2423">
        <f ca="1">J36</f>
        <v>8.5000000000000006E-2</v>
      </c>
      <c r="R72" s="2424"/>
    </row>
    <row r="73" spans="1:18" ht="16.2" thickBot="1">
      <c r="O73" s="2422" t="s">
        <v>2386</v>
      </c>
      <c r="P73" s="2420" t="s">
        <v>2393</v>
      </c>
      <c r="Q73" s="2423">
        <f>L52</f>
        <v>0</v>
      </c>
      <c r="R73" s="2424"/>
    </row>
    <row r="74" spans="1:18" ht="19.2" thickBot="1">
      <c r="O74" s="2422" t="s">
        <v>2388</v>
      </c>
      <c r="P74" s="2420" t="s">
        <v>2394</v>
      </c>
      <c r="Q74" s="2421" t="e">
        <f ca="1">L58</f>
        <v>#DIV/0!</v>
      </c>
      <c r="R74" s="2424" t="s">
        <v>2395</v>
      </c>
    </row>
    <row r="75" spans="1:18" ht="16.2" thickBot="1">
      <c r="O75" s="2422" t="s">
        <v>2417</v>
      </c>
      <c r="P75" s="2420" t="str">
        <f>K59</f>
        <v>建设期及建筑物耐用年限下的土地年期修正系数Kn</v>
      </c>
      <c r="Q75" s="2421" t="e">
        <f ca="1">L59</f>
        <v>#DIV/0!</v>
      </c>
      <c r="R75" s="2424" t="s">
        <v>2397</v>
      </c>
    </row>
    <row r="76" spans="1:18" ht="16.2" thickBot="1">
      <c r="O76" s="2419" t="s">
        <v>2391</v>
      </c>
      <c r="P76" s="2420" t="s">
        <v>2408</v>
      </c>
      <c r="Q76" s="2421">
        <f ca="1">Q66+Q67</f>
        <v>41154</v>
      </c>
      <c r="R76" s="242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12" sqref="J12"/>
    </sheetView>
  </sheetViews>
  <sheetFormatPr defaultRowHeight="14.4"/>
  <cols>
    <col min="1" max="1" width="10.44140625" customWidth="1"/>
    <col min="2" max="2" width="12.88671875" customWidth="1"/>
    <col min="3" max="3" width="8.77734375" customWidth="1"/>
  </cols>
  <sheetData>
    <row r="1" spans="1:9" ht="15.6">
      <c r="A1" s="3485" t="s">
        <v>2470</v>
      </c>
      <c r="B1" s="3486"/>
      <c r="C1" s="3487"/>
      <c r="D1" s="3488">
        <f>SUM(I10,I15,I20,I21,I23)</f>
        <v>0</v>
      </c>
      <c r="E1" s="3488"/>
      <c r="F1" s="3488"/>
      <c r="G1" s="3488"/>
      <c r="H1" s="3488"/>
      <c r="I1" s="3489"/>
    </row>
    <row r="2" spans="1:9">
      <c r="A2" s="3490" t="s">
        <v>2471</v>
      </c>
      <c r="B2" s="3491" t="s">
        <v>2472</v>
      </c>
      <c r="C2" s="3491"/>
      <c r="D2" s="2528" t="s">
        <v>2473</v>
      </c>
      <c r="E2" s="2528" t="s">
        <v>2474</v>
      </c>
      <c r="F2" s="2528" t="s">
        <v>2475</v>
      </c>
      <c r="G2" s="2528" t="s">
        <v>2476</v>
      </c>
      <c r="H2" s="2528" t="s">
        <v>2477</v>
      </c>
      <c r="I2" s="2529" t="s">
        <v>2478</v>
      </c>
    </row>
    <row r="3" spans="1:9">
      <c r="A3" s="3490"/>
      <c r="B3" s="3491" t="s">
        <v>2479</v>
      </c>
      <c r="C3" s="3491"/>
      <c r="D3" s="2530"/>
      <c r="E3" s="2528"/>
      <c r="F3" s="2531"/>
      <c r="G3" s="2531"/>
      <c r="H3" s="2532"/>
      <c r="I3" s="2533">
        <f>ROUND(D3*E3*F3*G3*H3/10000,0)</f>
        <v>0</v>
      </c>
    </row>
    <row r="4" spans="1:9">
      <c r="A4" s="3490"/>
      <c r="B4" s="3491" t="s">
        <v>2480</v>
      </c>
      <c r="C4" s="3491"/>
      <c r="D4" s="2530"/>
      <c r="E4" s="2528"/>
      <c r="F4" s="2531"/>
      <c r="G4" s="2531"/>
      <c r="H4" s="2532"/>
      <c r="I4" s="2533">
        <f t="shared" ref="I4:I9" si="0">ROUND(D4*E4*F4*G4*H4/10000,0)</f>
        <v>0</v>
      </c>
    </row>
    <row r="5" spans="1:9">
      <c r="A5" s="3490"/>
      <c r="B5" s="3491" t="s">
        <v>2481</v>
      </c>
      <c r="C5" s="3491"/>
      <c r="D5" s="2530"/>
      <c r="E5" s="2528"/>
      <c r="F5" s="2531"/>
      <c r="G5" s="2531"/>
      <c r="H5" s="2532"/>
      <c r="I5" s="2533">
        <f t="shared" si="0"/>
        <v>0</v>
      </c>
    </row>
    <row r="6" spans="1:9">
      <c r="A6" s="3490"/>
      <c r="B6" s="3491" t="s">
        <v>2482</v>
      </c>
      <c r="C6" s="3491"/>
      <c r="D6" s="2530"/>
      <c r="E6" s="2528"/>
      <c r="F6" s="2531"/>
      <c r="G6" s="2531"/>
      <c r="H6" s="2532"/>
      <c r="I6" s="2533">
        <f t="shared" si="0"/>
        <v>0</v>
      </c>
    </row>
    <row r="7" spans="1:9">
      <c r="A7" s="3490"/>
      <c r="B7" s="3491" t="s">
        <v>2483</v>
      </c>
      <c r="C7" s="3491"/>
      <c r="D7" s="2530"/>
      <c r="E7" s="2528"/>
      <c r="F7" s="2531"/>
      <c r="G7" s="2531"/>
      <c r="H7" s="2532"/>
      <c r="I7" s="2533">
        <f t="shared" si="0"/>
        <v>0</v>
      </c>
    </row>
    <row r="8" spans="1:9">
      <c r="A8" s="3490"/>
      <c r="B8" s="3491" t="s">
        <v>2484</v>
      </c>
      <c r="C8" s="3491"/>
      <c r="D8" s="2530"/>
      <c r="E8" s="2528"/>
      <c r="F8" s="2531"/>
      <c r="G8" s="2531"/>
      <c r="H8" s="2532"/>
      <c r="I8" s="2533">
        <f t="shared" si="0"/>
        <v>0</v>
      </c>
    </row>
    <row r="9" spans="1:9">
      <c r="A9" s="3490"/>
      <c r="B9" s="3491" t="s">
        <v>2485</v>
      </c>
      <c r="C9" s="3491"/>
      <c r="D9" s="2530"/>
      <c r="E9" s="2528"/>
      <c r="F9" s="2531"/>
      <c r="G9" s="2531"/>
      <c r="H9" s="2532"/>
      <c r="I9" s="2533">
        <f t="shared" si="0"/>
        <v>0</v>
      </c>
    </row>
    <row r="10" spans="1:9">
      <c r="A10" s="3490"/>
      <c r="B10" s="3492" t="s">
        <v>2486</v>
      </c>
      <c r="C10" s="3492"/>
      <c r="D10" s="2534">
        <v>527</v>
      </c>
      <c r="E10" s="2534" t="e">
        <f>ROUND(D1*10000/D10/H9,0)</f>
        <v>#DIV/0!</v>
      </c>
      <c r="F10" s="2535"/>
      <c r="G10" s="2535"/>
      <c r="H10" s="2536"/>
      <c r="I10" s="2537">
        <f>SUM(I3:I9)</f>
        <v>0</v>
      </c>
    </row>
    <row r="11" spans="1:9" ht="15.6">
      <c r="A11" s="3490" t="s">
        <v>2487</v>
      </c>
      <c r="B11" s="3491" t="s">
        <v>2488</v>
      </c>
      <c r="C11" s="3491"/>
      <c r="D11" s="2530" t="s">
        <v>2489</v>
      </c>
      <c r="E11" s="2530" t="s">
        <v>2490</v>
      </c>
      <c r="F11" s="2531" t="s">
        <v>2491</v>
      </c>
      <c r="G11" s="2531" t="s">
        <v>2492</v>
      </c>
      <c r="H11" s="2538" t="s">
        <v>2493</v>
      </c>
      <c r="I11" s="2529" t="s">
        <v>2494</v>
      </c>
    </row>
    <row r="12" spans="1:9">
      <c r="A12" s="3490"/>
      <c r="B12" s="3491" t="s">
        <v>2495</v>
      </c>
      <c r="C12" s="3491"/>
      <c r="D12" s="2530"/>
      <c r="E12" s="2530"/>
      <c r="F12" s="2531"/>
      <c r="G12" s="2532"/>
      <c r="H12" s="2539"/>
      <c r="I12" s="2529">
        <f>ROUND(D12*E12*F12*G12/10000,0)</f>
        <v>0</v>
      </c>
    </row>
    <row r="13" spans="1:9">
      <c r="A13" s="3490"/>
      <c r="B13" s="3491" t="s">
        <v>2496</v>
      </c>
      <c r="C13" s="3491"/>
      <c r="D13" s="2530"/>
      <c r="E13" s="2530"/>
      <c r="F13" s="2531"/>
      <c r="G13" s="2532"/>
      <c r="H13" s="2539"/>
      <c r="I13" s="2529">
        <f>ROUND(D13*E13*F13*G13/10000,0)</f>
        <v>0</v>
      </c>
    </row>
    <row r="14" spans="1:9">
      <c r="A14" s="3490"/>
      <c r="B14" s="3491" t="s">
        <v>2497</v>
      </c>
      <c r="C14" s="3491"/>
      <c r="D14" s="2530"/>
      <c r="E14" s="2530"/>
      <c r="F14" s="2531"/>
      <c r="G14" s="2532"/>
      <c r="H14" s="2539"/>
      <c r="I14" s="2529">
        <f>ROUND(D14*E14*F14*G14/10000,0)</f>
        <v>0</v>
      </c>
    </row>
    <row r="15" spans="1:9">
      <c r="A15" s="3490"/>
      <c r="B15" s="3492" t="s">
        <v>2486</v>
      </c>
      <c r="C15" s="3492"/>
      <c r="D15" s="2534"/>
      <c r="E15" s="2534">
        <f>SUM(E12:E14)</f>
        <v>0</v>
      </c>
      <c r="F15" s="2535"/>
      <c r="G15" s="2532"/>
      <c r="H15" s="2539"/>
      <c r="I15" s="2540">
        <f>SUM(I12:I14)</f>
        <v>0</v>
      </c>
    </row>
    <row r="16" spans="1:9" ht="24">
      <c r="A16" s="3490" t="s">
        <v>2498</v>
      </c>
      <c r="B16" s="3491" t="s">
        <v>2499</v>
      </c>
      <c r="C16" s="3491"/>
      <c r="D16" s="2530" t="s">
        <v>2500</v>
      </c>
      <c r="E16" s="2541" t="s">
        <v>2501</v>
      </c>
      <c r="F16" s="2531" t="s">
        <v>2502</v>
      </c>
      <c r="G16" s="2532" t="s">
        <v>2492</v>
      </c>
      <c r="H16" s="2538" t="s">
        <v>2493</v>
      </c>
      <c r="I16" s="2529" t="s">
        <v>2494</v>
      </c>
    </row>
    <row r="17" spans="1:9" ht="15.6">
      <c r="A17" s="3490"/>
      <c r="B17" s="3491" t="s">
        <v>2503</v>
      </c>
      <c r="C17" s="3491"/>
      <c r="D17" s="2530"/>
      <c r="E17" s="2530"/>
      <c r="F17" s="2531"/>
      <c r="G17" s="2532"/>
      <c r="H17" s="2542"/>
      <c r="I17" s="2543">
        <f>ROUND(D17*E17*F17*G17/10000,0)</f>
        <v>0</v>
      </c>
    </row>
    <row r="18" spans="1:9" ht="15.6">
      <c r="A18" s="3490"/>
      <c r="B18" s="3491" t="s">
        <v>2504</v>
      </c>
      <c r="C18" s="3491"/>
      <c r="D18" s="2530"/>
      <c r="E18" s="2530"/>
      <c r="F18" s="2531"/>
      <c r="G18" s="2532"/>
      <c r="H18" s="2542"/>
      <c r="I18" s="2543">
        <f>ROUND(D18*E18*F18*G18/10000,0)</f>
        <v>0</v>
      </c>
    </row>
    <row r="19" spans="1:9" ht="15.6">
      <c r="A19" s="3490"/>
      <c r="B19" s="3491" t="s">
        <v>2505</v>
      </c>
      <c r="C19" s="3491"/>
      <c r="D19" s="2530"/>
      <c r="E19" s="2530"/>
      <c r="F19" s="2531"/>
      <c r="G19" s="2532"/>
      <c r="H19" s="2542"/>
      <c r="I19" s="2543">
        <f>ROUND(D19*E19*F19*G19/10000,0)</f>
        <v>0</v>
      </c>
    </row>
    <row r="20" spans="1:9">
      <c r="A20" s="3490"/>
      <c r="B20" s="3492" t="s">
        <v>2486</v>
      </c>
      <c r="C20" s="3492"/>
      <c r="D20" s="2534">
        <f>SUM(D17:D19)</f>
        <v>0</v>
      </c>
      <c r="E20" s="2534"/>
      <c r="F20" s="2535"/>
      <c r="G20" s="2532"/>
      <c r="H20" s="2539"/>
      <c r="I20" s="2540">
        <f>SUM(I17:I19)</f>
        <v>0</v>
      </c>
    </row>
    <row r="21" spans="1:9">
      <c r="A21" s="3490" t="s">
        <v>2506</v>
      </c>
      <c r="B21" s="3494"/>
      <c r="C21" s="3494"/>
      <c r="D21" s="3494"/>
      <c r="E21" s="3494"/>
      <c r="F21" s="3494"/>
      <c r="G21" s="3494"/>
      <c r="H21" s="2544">
        <v>0.1</v>
      </c>
      <c r="I21" s="2537">
        <f>ROUND(I10*H21,0)</f>
        <v>0</v>
      </c>
    </row>
    <row r="22" spans="1:9" ht="15.6">
      <c r="A22" s="3495" t="s">
        <v>2507</v>
      </c>
      <c r="B22" s="3496"/>
      <c r="C22" s="3497"/>
      <c r="D22" s="2545" t="s">
        <v>2508</v>
      </c>
      <c r="E22" s="2545" t="s">
        <v>2509</v>
      </c>
      <c r="F22" s="2546" t="s">
        <v>2510</v>
      </c>
      <c r="G22" s="2546" t="s">
        <v>2511</v>
      </c>
      <c r="H22" s="2538" t="s">
        <v>2512</v>
      </c>
      <c r="I22" s="2529" t="s">
        <v>2513</v>
      </c>
    </row>
    <row r="23" spans="1:9" ht="15" thickBot="1">
      <c r="A23" s="3498"/>
      <c r="B23" s="3499"/>
      <c r="C23" s="3500"/>
      <c r="D23" s="2547"/>
      <c r="E23" s="2547"/>
      <c r="F23" s="2547"/>
      <c r="G23" s="2548"/>
      <c r="H23" s="2549"/>
      <c r="I23" s="2550">
        <f>ROUND(E23*D23*F23*(1-G23)/10000,0)</f>
        <v>0</v>
      </c>
    </row>
    <row r="26" spans="1:9">
      <c r="A26" s="2551" t="s">
        <v>2514</v>
      </c>
      <c r="B26" s="2551"/>
      <c r="C26" s="2551"/>
      <c r="D26" s="2551"/>
      <c r="E26" s="3501">
        <f>C27-C30-C31-C32</f>
        <v>0</v>
      </c>
      <c r="F26" s="3501"/>
      <c r="G26" s="3501"/>
      <c r="H26" s="3065" t="s">
        <v>2841</v>
      </c>
    </row>
    <row r="27" spans="1:9">
      <c r="A27" s="2552">
        <v>1</v>
      </c>
      <c r="B27" s="2553" t="s">
        <v>2515</v>
      </c>
      <c r="C27" s="2553"/>
      <c r="D27" s="2553"/>
      <c r="E27" s="3502"/>
      <c r="F27" s="3502"/>
      <c r="G27" s="3502"/>
    </row>
    <row r="28" spans="1:9">
      <c r="A28" s="2554" t="s">
        <v>2516</v>
      </c>
      <c r="B28" s="2553" t="s">
        <v>2517</v>
      </c>
      <c r="C28" s="2553"/>
      <c r="D28" s="2553"/>
      <c r="E28" s="3502"/>
      <c r="F28" s="3502"/>
      <c r="G28" s="3502"/>
    </row>
    <row r="29" spans="1:9">
      <c r="A29" s="2554" t="s">
        <v>2518</v>
      </c>
      <c r="B29" s="2553" t="s">
        <v>2459</v>
      </c>
      <c r="C29" s="2553"/>
      <c r="D29" s="2553"/>
      <c r="E29" s="2553" t="s">
        <v>2519</v>
      </c>
      <c r="F29" s="2553"/>
      <c r="G29" s="2553"/>
    </row>
    <row r="30" spans="1:9">
      <c r="A30" s="2552">
        <v>2</v>
      </c>
      <c r="B30" s="2553" t="s">
        <v>2520</v>
      </c>
      <c r="C30" s="2553">
        <f>C27*D30</f>
        <v>0</v>
      </c>
      <c r="D30" s="2555">
        <v>0.2</v>
      </c>
      <c r="E30" s="2553" t="s">
        <v>2521</v>
      </c>
      <c r="F30" s="2553"/>
      <c r="G30" s="2553"/>
    </row>
    <row r="31" spans="1:9">
      <c r="A31" s="2552">
        <v>3</v>
      </c>
      <c r="B31" s="2553" t="s">
        <v>2522</v>
      </c>
      <c r="C31" s="2553">
        <f>C25*D31</f>
        <v>0</v>
      </c>
      <c r="D31" s="2555">
        <v>0.15</v>
      </c>
      <c r="E31" s="2553" t="s">
        <v>2523</v>
      </c>
      <c r="F31" s="2553"/>
      <c r="G31" s="2553"/>
    </row>
    <row r="32" spans="1:9">
      <c r="A32" s="2552">
        <v>4</v>
      </c>
      <c r="B32" s="2553" t="s">
        <v>2524</v>
      </c>
      <c r="C32" s="2553">
        <f>C27*D32</f>
        <v>0</v>
      </c>
      <c r="D32" s="2555">
        <v>0.05</v>
      </c>
      <c r="E32" s="3493"/>
      <c r="F32" s="3493"/>
      <c r="G32" s="3493"/>
    </row>
    <row r="33" spans="1:7" hidden="1">
      <c r="A33" s="3503" t="s">
        <v>2525</v>
      </c>
      <c r="B33" s="3504"/>
      <c r="C33" s="3504"/>
      <c r="D33" s="3505"/>
      <c r="E33" s="3501"/>
      <c r="F33" s="3501"/>
      <c r="G33" s="3501"/>
    </row>
    <row r="34" spans="1:7" hidden="1">
      <c r="A34" s="2556">
        <v>1</v>
      </c>
      <c r="B34" s="2553" t="s">
        <v>2526</v>
      </c>
      <c r="C34" s="2553"/>
      <c r="D34" s="2553"/>
      <c r="E34" s="3502"/>
      <c r="F34" s="3502"/>
      <c r="G34" s="3502"/>
    </row>
    <row r="35" spans="1:7" hidden="1">
      <c r="A35" s="2556">
        <v>2</v>
      </c>
      <c r="B35" s="2553" t="s">
        <v>2527</v>
      </c>
      <c r="C35" s="2553"/>
      <c r="D35" s="2553"/>
      <c r="E35" s="3502"/>
      <c r="F35" s="3502"/>
      <c r="G35" s="3502"/>
    </row>
    <row r="36" spans="1:7" hidden="1">
      <c r="A36" s="2556">
        <v>3</v>
      </c>
      <c r="B36" s="2553" t="s">
        <v>2528</v>
      </c>
      <c r="C36" s="2553"/>
      <c r="D36" s="2553"/>
      <c r="E36" s="3502"/>
      <c r="F36" s="3502"/>
      <c r="G36" s="3502"/>
    </row>
    <row r="37" spans="1:7" hidden="1">
      <c r="A37" s="2556">
        <v>4</v>
      </c>
      <c r="B37" s="2553" t="s">
        <v>2529</v>
      </c>
      <c r="C37" s="2553"/>
      <c r="D37" s="2553"/>
      <c r="E37" s="3502"/>
      <c r="F37" s="3502"/>
      <c r="G37" s="3502"/>
    </row>
    <row r="38" spans="1:7" hidden="1">
      <c r="A38" s="3503" t="s">
        <v>2530</v>
      </c>
      <c r="B38" s="3504"/>
      <c r="C38" s="3504"/>
      <c r="D38" s="3505"/>
      <c r="E38" s="3501"/>
      <c r="F38" s="3501"/>
      <c r="G38" s="35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12" sqref="J12"/>
    </sheetView>
  </sheetViews>
  <sheetFormatPr defaultColWidth="8.33203125" defaultRowHeight="13.2"/>
  <cols>
    <col min="1" max="1" width="9.33203125" style="2182" customWidth="1"/>
    <col min="2" max="2" width="26.6640625" style="2183" customWidth="1"/>
    <col min="3" max="3" width="11.109375" style="2183" customWidth="1"/>
    <col min="4" max="5" width="11.109375" style="2184" customWidth="1"/>
    <col min="6" max="6" width="9.44140625" style="2183" customWidth="1"/>
    <col min="7" max="7" width="31.88671875" style="2183" customWidth="1"/>
    <col min="8" max="25" width="9" style="2185" customWidth="1"/>
    <col min="26" max="254" width="9" style="2183" customWidth="1"/>
    <col min="255" max="16384" width="8.33203125" style="2183"/>
  </cols>
  <sheetData>
    <row r="1" spans="1:25" s="2056" customFormat="1" ht="21">
      <c r="A1" s="421" t="s">
        <v>602</v>
      </c>
      <c r="B1" s="741"/>
      <c r="C1" s="2179"/>
      <c r="D1" s="2179"/>
      <c r="E1" s="2179"/>
      <c r="F1" s="2179"/>
      <c r="G1" s="2105"/>
    </row>
    <row r="2" spans="1:25" s="2056" customFormat="1" ht="18" customHeight="1">
      <c r="A2" s="423" t="s">
        <v>466</v>
      </c>
      <c r="B2" s="425">
        <f ca="1">C23</f>
        <v>0</v>
      </c>
      <c r="C2" s="2105"/>
      <c r="D2" s="2105"/>
      <c r="E2" s="2105"/>
      <c r="F2" s="2105"/>
      <c r="G2" s="2105"/>
    </row>
    <row r="3" spans="1:25" s="2056" customFormat="1" ht="18" customHeight="1">
      <c r="A3" s="1376" t="s">
        <v>1685</v>
      </c>
      <c r="B3" s="425">
        <f ca="1">ROUND(B2*10000/'数据-汇总表'!E3,0)</f>
        <v>0</v>
      </c>
      <c r="C3" s="2105"/>
      <c r="D3" s="2105"/>
      <c r="E3" s="2105"/>
      <c r="F3" s="2105"/>
      <c r="G3" s="2105"/>
    </row>
    <row r="4" spans="1:25" s="2056" customFormat="1" ht="18" customHeight="1">
      <c r="A4" s="426" t="s">
        <v>467</v>
      </c>
      <c r="B4" s="427">
        <f ca="1">ROUND(B2*10000/'数据-汇总表'!D3,0)</f>
        <v>0</v>
      </c>
      <c r="C4" s="2058"/>
      <c r="D4" s="2105"/>
      <c r="E4" s="2105"/>
      <c r="F4" s="2105"/>
      <c r="G4" s="2105"/>
    </row>
    <row r="5" spans="1:25" s="2056" customFormat="1" ht="18" customHeight="1" thickBot="1">
      <c r="A5" s="429"/>
      <c r="B5" s="430">
        <f ca="1">ROUND(B2/('数据-汇总表'!D3/666.67),0)</f>
        <v>0</v>
      </c>
      <c r="C5" s="431" t="s">
        <v>468</v>
      </c>
      <c r="D5" s="2105"/>
      <c r="E5" s="2105"/>
      <c r="F5" s="2105"/>
      <c r="G5" s="2105"/>
    </row>
    <row r="6" spans="1:25" s="2180" customFormat="1" ht="13.5" customHeight="1">
      <c r="A6" s="742"/>
      <c r="B6" s="743" t="s">
        <v>603</v>
      </c>
      <c r="C6" s="744" t="s">
        <v>604</v>
      </c>
      <c r="D6" s="744" t="s">
        <v>605</v>
      </c>
      <c r="E6" s="745" t="s">
        <v>606</v>
      </c>
      <c r="F6" s="745" t="s">
        <v>607</v>
      </c>
      <c r="G6" s="746"/>
    </row>
    <row r="7" spans="1:25" s="2180" customFormat="1" ht="13.5" customHeight="1">
      <c r="A7" s="2490">
        <v>1</v>
      </c>
      <c r="B7" s="747" t="s">
        <v>608</v>
      </c>
      <c r="C7" s="748">
        <f>C8+C9</f>
        <v>0</v>
      </c>
      <c r="D7" s="748"/>
      <c r="E7" s="749"/>
      <c r="F7" s="749"/>
      <c r="G7" s="2500"/>
    </row>
    <row r="8" spans="1:25" s="2180" customFormat="1" ht="13.5" customHeight="1">
      <c r="A8" s="2490" t="s">
        <v>2440</v>
      </c>
      <c r="B8" s="2493" t="s">
        <v>2442</v>
      </c>
      <c r="C8" s="2494"/>
      <c r="D8" s="748"/>
      <c r="E8" s="749"/>
      <c r="F8" s="749"/>
      <c r="G8" s="750"/>
    </row>
    <row r="9" spans="1:25" s="2180" customFormat="1" ht="13.5" customHeight="1">
      <c r="A9" s="2490" t="s">
        <v>2441</v>
      </c>
      <c r="B9" s="2493" t="s">
        <v>2443</v>
      </c>
      <c r="C9" s="2494"/>
      <c r="D9" s="748"/>
      <c r="E9" s="749"/>
      <c r="F9" s="749"/>
      <c r="G9" s="750"/>
    </row>
    <row r="10" spans="1:25" s="2180" customFormat="1" ht="36">
      <c r="A10" s="2490">
        <v>2</v>
      </c>
      <c r="B10" s="747" t="s">
        <v>612</v>
      </c>
      <c r="C10" s="748">
        <f>C11+C14+C15</f>
        <v>0</v>
      </c>
      <c r="D10" s="759">
        <f>'数据-汇总表'!E3</f>
        <v>237470</v>
      </c>
      <c r="E10" s="748">
        <f>'数据-取费表'!B31</f>
        <v>80</v>
      </c>
      <c r="F10" s="760"/>
      <c r="G10" s="758" t="s">
        <v>613</v>
      </c>
    </row>
    <row r="11" spans="1:25" s="2180" customFormat="1" ht="13.5" customHeight="1">
      <c r="A11" s="2490" t="s">
        <v>2440</v>
      </c>
      <c r="B11" s="751" t="s">
        <v>609</v>
      </c>
      <c r="C11" s="752">
        <f>'数据-取费表'!B29</f>
        <v>0</v>
      </c>
      <c r="D11" s="753"/>
      <c r="E11" s="752"/>
      <c r="F11" s="754"/>
      <c r="G11" s="2499" t="s">
        <v>2451</v>
      </c>
    </row>
    <row r="12" spans="1:25" s="2180" customFormat="1" ht="13.5" customHeight="1">
      <c r="A12" s="2497" t="s">
        <v>2448</v>
      </c>
      <c r="B12" s="755" t="s">
        <v>610</v>
      </c>
      <c r="C12" s="756">
        <f>ROUND(D12*E12/10000,0)</f>
        <v>3866</v>
      </c>
      <c r="D12" s="757">
        <f>'数据-汇总表'!E5</f>
        <v>161068</v>
      </c>
      <c r="E12" s="756">
        <f>'数据-取费表'!B27</f>
        <v>240</v>
      </c>
      <c r="F12" s="754"/>
      <c r="G12" s="758"/>
    </row>
    <row r="13" spans="1:25" s="2180" customFormat="1" ht="13.5" customHeight="1">
      <c r="A13" s="2497" t="s">
        <v>2447</v>
      </c>
      <c r="B13" s="755" t="s">
        <v>611</v>
      </c>
      <c r="C13" s="756">
        <f>ROUND(D13*E13/10000,0)</f>
        <v>1834</v>
      </c>
      <c r="D13" s="757">
        <f>'数据-汇总表'!E6</f>
        <v>76402</v>
      </c>
      <c r="E13" s="756">
        <f>'数据-取费表'!B28</f>
        <v>240</v>
      </c>
      <c r="F13" s="754"/>
      <c r="G13" s="758"/>
    </row>
    <row r="14" spans="1:25" s="2180" customFormat="1" ht="13.5" customHeight="1">
      <c r="A14" s="2490" t="s">
        <v>2441</v>
      </c>
      <c r="B14" s="2496" t="s">
        <v>2444</v>
      </c>
      <c r="C14" s="2494"/>
      <c r="D14" s="757"/>
      <c r="E14" s="756"/>
      <c r="F14" s="2495"/>
      <c r="G14" s="2498" t="s">
        <v>2449</v>
      </c>
    </row>
    <row r="15" spans="1:25" s="2180" customFormat="1" ht="13.5" customHeight="1">
      <c r="A15" s="2490" t="s">
        <v>2446</v>
      </c>
      <c r="B15" s="2496" t="s">
        <v>2445</v>
      </c>
      <c r="C15" s="2494"/>
      <c r="D15" s="757"/>
      <c r="E15" s="756"/>
      <c r="F15" s="2495"/>
      <c r="G15" s="2498" t="s">
        <v>2450</v>
      </c>
    </row>
    <row r="16" spans="1:25" s="2181" customFormat="1" ht="48">
      <c r="A16" s="2490">
        <v>3</v>
      </c>
      <c r="B16" s="747" t="s">
        <v>614</v>
      </c>
      <c r="C16" s="2494"/>
      <c r="D16" s="759"/>
      <c r="E16" s="748"/>
      <c r="F16" s="760"/>
      <c r="G16" s="758"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6.4">
      <c r="A17" s="2491">
        <v>4</v>
      </c>
      <c r="B17" s="747" t="s">
        <v>615</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616</v>
      </c>
      <c r="C18" s="748">
        <f>ROUND((C7+C10+C16)*F18,0)</f>
        <v>0</v>
      </c>
      <c r="D18" s="761"/>
      <c r="E18" s="762"/>
      <c r="F18" s="760">
        <f>'数据-取费表'!Q16</f>
        <v>0.14000000000000001</v>
      </c>
      <c r="G18" s="764" t="s">
        <v>617</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618</v>
      </c>
      <c r="C19" s="748">
        <f ca="1">C7+C10+C16+C17+C18</f>
        <v>0</v>
      </c>
      <c r="D19" s="759"/>
      <c r="E19" s="748"/>
      <c r="F19" s="760"/>
      <c r="G19" s="764" t="s">
        <v>619</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5.2">
      <c r="A20" s="2490">
        <v>7</v>
      </c>
      <c r="B20" s="747" t="s">
        <v>620</v>
      </c>
      <c r="C20" s="748">
        <f ca="1">ROUND(C19*F20,0)</f>
        <v>0</v>
      </c>
      <c r="D20" s="759"/>
      <c r="E20" s="748"/>
      <c r="F20" s="1348"/>
      <c r="G20" s="764" t="s">
        <v>621</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622</v>
      </c>
      <c r="C21" s="748">
        <f ca="1">C19+C20</f>
        <v>0</v>
      </c>
      <c r="D21" s="759"/>
      <c r="E21" s="748"/>
      <c r="F21" s="760"/>
      <c r="G21" s="764" t="s">
        <v>623</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624</v>
      </c>
      <c r="C22" s="748">
        <f ca="1">ROUND(C21*F22,0)</f>
        <v>0</v>
      </c>
      <c r="D22" s="759"/>
      <c r="E22" s="748"/>
      <c r="F22" s="765">
        <f>'数据-取费表'!AP16</f>
        <v>0.91900000000000004</v>
      </c>
      <c r="G22" s="764" t="s">
        <v>625</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626</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M31" sqref="M31"/>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5.44140625" style="1336" customWidth="1"/>
    <col min="6" max="6" width="12.21875" style="1336" customWidth="1"/>
    <col min="7" max="7" width="16.21875" style="1336" customWidth="1"/>
    <col min="8" max="8" width="12.21875" style="1336" customWidth="1"/>
    <col min="9" max="9" width="15.8867187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2644" t="s">
        <v>718</v>
      </c>
      <c r="C1" s="2645" t="s">
        <v>719</v>
      </c>
      <c r="D1" s="2646" t="s">
        <v>3134</v>
      </c>
      <c r="E1" s="2647"/>
      <c r="F1" s="2828" t="s">
        <v>3099</v>
      </c>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3" t="s">
        <v>466</v>
      </c>
      <c r="B2" s="2643">
        <f>ROUND(B3*D3/10000,0)</f>
        <v>69083</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1" customFormat="1" ht="28.5" customHeight="1" thickBot="1">
      <c r="A3" s="509" t="s">
        <v>518</v>
      </c>
      <c r="B3" s="850">
        <f>C49</f>
        <v>18172</v>
      </c>
      <c r="C3" s="851" t="s">
        <v>721</v>
      </c>
      <c r="D3" s="850">
        <f>SUMIF('数据-汇总表'!$C19:$C33,D1,'数据-汇总表'!$E19:$E33)</f>
        <v>38016</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4.4">
      <c r="A4" s="512" t="s">
        <v>520</v>
      </c>
      <c r="B4" s="513"/>
      <c r="C4" s="3394" t="s">
        <v>521</v>
      </c>
      <c r="D4" s="3395"/>
      <c r="E4" s="3434" t="s">
        <v>522</v>
      </c>
      <c r="F4" s="3435"/>
      <c r="G4" s="3394" t="s">
        <v>523</v>
      </c>
      <c r="H4" s="3395"/>
      <c r="I4" s="3394" t="s">
        <v>524</v>
      </c>
      <c r="J4" s="3395"/>
      <c r="K4" s="852" t="s">
        <v>525</v>
      </c>
      <c r="L4" s="2130"/>
      <c r="M4" s="2131"/>
      <c r="N4" s="2131"/>
      <c r="O4" s="2131"/>
      <c r="P4" s="3396" t="s">
        <v>526</v>
      </c>
      <c r="Q4" s="3397"/>
      <c r="R4" s="3402" t="s">
        <v>522</v>
      </c>
      <c r="S4" s="3403"/>
      <c r="T4" s="3402" t="s">
        <v>523</v>
      </c>
      <c r="U4" s="3403"/>
      <c r="V4" s="3389" t="s">
        <v>524</v>
      </c>
      <c r="W4" s="3389"/>
      <c r="X4" s="3197"/>
      <c r="Y4" s="3402" t="s">
        <v>526</v>
      </c>
      <c r="Z4" s="3403"/>
      <c r="AA4" s="3391" t="s">
        <v>522</v>
      </c>
      <c r="AB4" s="3391" t="s">
        <v>523</v>
      </c>
      <c r="AC4" s="3391" t="s">
        <v>524</v>
      </c>
    </row>
    <row r="5" spans="1:29">
      <c r="A5" s="515"/>
      <c r="B5" s="516"/>
      <c r="C5" s="3412" t="str">
        <f>项目基本情况!F10</f>
        <v>新城区“东方宸院”项目</v>
      </c>
      <c r="D5" s="3411"/>
      <c r="E5" s="3506" t="s">
        <v>3518</v>
      </c>
      <c r="F5" s="3507"/>
      <c r="G5" s="3508" t="s">
        <v>3515</v>
      </c>
      <c r="H5" s="3411"/>
      <c r="I5" s="3508" t="s">
        <v>3511</v>
      </c>
      <c r="J5" s="3411"/>
      <c r="K5" s="853"/>
      <c r="L5" s="2130"/>
      <c r="M5" s="2131"/>
      <c r="N5" s="2131"/>
      <c r="O5" s="2131"/>
      <c r="P5" s="3398"/>
      <c r="Q5" s="3399"/>
      <c r="R5" s="3404"/>
      <c r="S5" s="3405"/>
      <c r="T5" s="3404"/>
      <c r="U5" s="3405"/>
      <c r="V5" s="3389"/>
      <c r="W5" s="3389"/>
      <c r="X5" s="3197"/>
      <c r="Y5" s="3404"/>
      <c r="Z5" s="3405"/>
      <c r="AA5" s="3392"/>
      <c r="AB5" s="3392"/>
      <c r="AC5" s="3392"/>
    </row>
    <row r="6" spans="1:29" ht="15" thickBot="1">
      <c r="A6" s="517"/>
      <c r="B6" s="518"/>
      <c r="C6" s="3509" t="s">
        <v>3361</v>
      </c>
      <c r="D6" s="3409"/>
      <c r="E6" s="3510" t="s">
        <v>3357</v>
      </c>
      <c r="F6" s="3409"/>
      <c r="G6" s="3510" t="s">
        <v>3357</v>
      </c>
      <c r="H6" s="3409"/>
      <c r="I6" s="3510" t="s">
        <v>3357</v>
      </c>
      <c r="J6" s="3409"/>
      <c r="K6" s="853" t="s">
        <v>527</v>
      </c>
      <c r="L6" s="2130"/>
      <c r="M6" s="2131"/>
      <c r="N6" s="2131"/>
      <c r="O6" s="2131"/>
      <c r="P6" s="3400"/>
      <c r="Q6" s="3401"/>
      <c r="R6" s="3404"/>
      <c r="S6" s="3405"/>
      <c r="T6" s="3406"/>
      <c r="U6" s="3407"/>
      <c r="V6" s="3389"/>
      <c r="W6" s="3389"/>
      <c r="X6" s="3197"/>
      <c r="Y6" s="3406"/>
      <c r="Z6" s="3407"/>
      <c r="AA6" s="3393"/>
      <c r="AB6" s="3393"/>
      <c r="AC6" s="3393"/>
    </row>
    <row r="7" spans="1:29" s="1219" customFormat="1" ht="15" thickBot="1">
      <c r="A7" s="2933"/>
      <c r="B7" s="2940" t="s">
        <v>528</v>
      </c>
      <c r="C7" s="519">
        <f>'数据-取费表'!B2</f>
        <v>43507</v>
      </c>
      <c r="D7" s="520">
        <v>100</v>
      </c>
      <c r="E7" s="521">
        <v>43374</v>
      </c>
      <c r="F7" s="522">
        <f>SUMIF(58:58,YEAR(E7)&amp;"-"&amp;MONTH(E7),59:59)</f>
        <v>99.5</v>
      </c>
      <c r="G7" s="523">
        <v>43497</v>
      </c>
      <c r="H7" s="520">
        <f>SUMIF(58:58,YEAR(G7)&amp;"-"&amp;MONTH(G7),59:59)</f>
        <v>100</v>
      </c>
      <c r="I7" s="523">
        <v>43492</v>
      </c>
      <c r="J7" s="520">
        <f>SUMIF(58:58,YEAR(I7)&amp;"-"&amp;MONTH(I7),59:59)</f>
        <v>100</v>
      </c>
      <c r="K7" s="854"/>
      <c r="L7" s="2132"/>
      <c r="M7" s="2133"/>
      <c r="N7" s="2133"/>
      <c r="O7" s="2133"/>
      <c r="P7" s="3421" t="s">
        <v>529</v>
      </c>
      <c r="Q7" s="3423"/>
      <c r="R7" s="1565" t="s">
        <v>13</v>
      </c>
      <c r="S7" s="1566">
        <f t="shared" ref="S7:S15" si="0">F7</f>
        <v>99.5</v>
      </c>
      <c r="T7" s="1565" t="s">
        <v>13</v>
      </c>
      <c r="U7" s="1566">
        <f t="shared" ref="U7:U15" si="1">H7</f>
        <v>100</v>
      </c>
      <c r="V7" s="1565" t="s">
        <v>13</v>
      </c>
      <c r="W7" s="1566">
        <f t="shared" ref="W7:W15" si="2">J7</f>
        <v>100</v>
      </c>
      <c r="X7" s="1567"/>
      <c r="Y7" s="3421" t="s">
        <v>529</v>
      </c>
      <c r="Z7" s="3422"/>
      <c r="AA7" s="1568">
        <f>D7/F7</f>
        <v>1.0050251256281406</v>
      </c>
      <c r="AB7" s="1568">
        <f>D7/H7</f>
        <v>1</v>
      </c>
      <c r="AC7" s="1568">
        <f>D7/J7</f>
        <v>1</v>
      </c>
    </row>
    <row r="8" spans="1:29" s="1219" customFormat="1" ht="15" thickBot="1">
      <c r="A8" s="2934"/>
      <c r="B8" s="2941"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4"/>
      <c r="L8" s="2132"/>
      <c r="M8" s="2133"/>
      <c r="N8" s="2133"/>
      <c r="O8" s="2133"/>
      <c r="P8" s="3421" t="s">
        <v>532</v>
      </c>
      <c r="Q8" s="3422"/>
      <c r="R8" s="1565" t="s">
        <v>13</v>
      </c>
      <c r="S8" s="1566">
        <f t="shared" si="0"/>
        <v>100</v>
      </c>
      <c r="T8" s="1565" t="s">
        <v>13</v>
      </c>
      <c r="U8" s="1566">
        <f t="shared" si="1"/>
        <v>100</v>
      </c>
      <c r="V8" s="1565" t="s">
        <v>13</v>
      </c>
      <c r="W8" s="1566">
        <f t="shared" si="2"/>
        <v>100</v>
      </c>
      <c r="X8" s="1567"/>
      <c r="Y8" s="3421" t="s">
        <v>532</v>
      </c>
      <c r="Z8" s="3422"/>
      <c r="AA8" s="1568">
        <f t="shared" ref="AA8:AA46" si="3">D8/F8</f>
        <v>1</v>
      </c>
      <c r="AB8" s="1568">
        <f t="shared" ref="AB8:AB46" si="4">D8/H8</f>
        <v>1</v>
      </c>
      <c r="AC8" s="1568">
        <f t="shared" ref="AC8:AC46" si="5">D8/J8</f>
        <v>1</v>
      </c>
    </row>
    <row r="9" spans="1:29" s="1219" customFormat="1" ht="14.4">
      <c r="A9" s="2935"/>
      <c r="B9" s="2942" t="s">
        <v>2754</v>
      </c>
      <c r="C9" s="3186" t="s">
        <v>3104</v>
      </c>
      <c r="D9" s="254">
        <v>100</v>
      </c>
      <c r="E9" s="857" t="s">
        <v>922</v>
      </c>
      <c r="F9" s="858">
        <f>SUMIF(63:63,E9,64:64)-SUMIF(63:63,C9,64:64)+100</f>
        <v>100</v>
      </c>
      <c r="G9" s="857" t="s">
        <v>922</v>
      </c>
      <c r="H9" s="254">
        <f>SUMIF(63:63,G9,64:64)-SUMIF(63:63,C9,64:64)+100</f>
        <v>100</v>
      </c>
      <c r="I9" s="857" t="s">
        <v>922</v>
      </c>
      <c r="J9" s="254">
        <f>SUMIF(63:63,I9,64:64)-SUMIF(63:63,C9,64:64)+100</f>
        <v>100</v>
      </c>
      <c r="K9" s="854"/>
      <c r="L9" s="2132"/>
      <c r="M9" s="2133"/>
      <c r="N9" s="2133"/>
      <c r="O9" s="2134"/>
      <c r="P9" s="3388" t="s">
        <v>534</v>
      </c>
      <c r="Q9" s="3192" t="str">
        <f t="shared" ref="Q9:Q15" si="6">B9</f>
        <v>用途</v>
      </c>
      <c r="R9" s="1565" t="s">
        <v>8</v>
      </c>
      <c r="S9" s="1566">
        <f t="shared" si="0"/>
        <v>100</v>
      </c>
      <c r="T9" s="1565" t="s">
        <v>8</v>
      </c>
      <c r="U9" s="1566">
        <f t="shared" si="1"/>
        <v>100</v>
      </c>
      <c r="V9" s="1565" t="s">
        <v>8</v>
      </c>
      <c r="W9" s="1566">
        <f t="shared" si="2"/>
        <v>100</v>
      </c>
      <c r="X9" s="1567"/>
      <c r="Y9" s="3334" t="s">
        <v>535</v>
      </c>
      <c r="Z9" s="3190" t="str">
        <f t="shared" ref="Z9:Z15" si="7">Q9</f>
        <v>用途</v>
      </c>
      <c r="AA9" s="1568">
        <f t="shared" si="3"/>
        <v>1</v>
      </c>
      <c r="AB9" s="1568">
        <f t="shared" si="4"/>
        <v>1</v>
      </c>
      <c r="AC9" s="1568">
        <f t="shared" si="5"/>
        <v>1</v>
      </c>
    </row>
    <row r="10" spans="1:29" s="1337" customFormat="1" ht="28.8">
      <c r="A10" s="2936"/>
      <c r="B10" s="2941" t="s">
        <v>2755</v>
      </c>
      <c r="C10" s="860" t="s">
        <v>3118</v>
      </c>
      <c r="D10" s="255">
        <v>100</v>
      </c>
      <c r="E10" s="860" t="s">
        <v>3118</v>
      </c>
      <c r="F10" s="862">
        <f>SUMIF(65:65,E10,66:66)-SUMIF(65:65,C10,66:66)+100</f>
        <v>100</v>
      </c>
      <c r="G10" s="860" t="s">
        <v>3118</v>
      </c>
      <c r="H10" s="255">
        <f>SUMIF(65:65,G10,66:66)-SUMIF(65:65,C10,66:66)+100</f>
        <v>100</v>
      </c>
      <c r="I10" s="860" t="s">
        <v>3118</v>
      </c>
      <c r="J10" s="255">
        <f>SUMIF(65:65,I10,66:66)-SUMIF(65:65,C10,66:66)+100</f>
        <v>100</v>
      </c>
      <c r="K10" s="863">
        <v>0.5</v>
      </c>
      <c r="L10" s="2135"/>
      <c r="M10" s="2175"/>
      <c r="N10" s="2175"/>
      <c r="O10" s="2136"/>
      <c r="P10" s="3388"/>
      <c r="Q10" s="3192" t="str">
        <f t="shared" si="6"/>
        <v>土地使用年限（年）</v>
      </c>
      <c r="R10" s="1565" t="s">
        <v>8</v>
      </c>
      <c r="S10" s="1566">
        <f t="shared" si="0"/>
        <v>100</v>
      </c>
      <c r="T10" s="1565" t="s">
        <v>8</v>
      </c>
      <c r="U10" s="1566">
        <f t="shared" si="1"/>
        <v>100</v>
      </c>
      <c r="V10" s="1565" t="s">
        <v>8</v>
      </c>
      <c r="W10" s="1566">
        <f t="shared" si="2"/>
        <v>100</v>
      </c>
      <c r="X10" s="1567"/>
      <c r="Y10" s="3334"/>
      <c r="Z10" s="3190" t="str">
        <f t="shared" si="7"/>
        <v>土地使用年限（年）</v>
      </c>
      <c r="AA10" s="1568">
        <f t="shared" si="3"/>
        <v>1</v>
      </c>
      <c r="AB10" s="1568">
        <f t="shared" si="4"/>
        <v>1</v>
      </c>
      <c r="AC10" s="1568">
        <f t="shared" si="5"/>
        <v>1</v>
      </c>
    </row>
    <row r="11" spans="1:29" ht="15">
      <c r="A11" s="2937"/>
      <c r="B11" s="2941" t="s">
        <v>2756</v>
      </c>
      <c r="C11" s="532">
        <f>'比较法-住宅、综合'!C13</f>
        <v>2.78</v>
      </c>
      <c r="D11" s="255">
        <v>100</v>
      </c>
      <c r="E11" s="533">
        <v>1.6</v>
      </c>
      <c r="F11" s="862">
        <f>LOOKUP(E11,68:68,69:69)-LOOKUP(C11,68:68,69:69)+100</f>
        <v>102</v>
      </c>
      <c r="G11" s="532">
        <v>2</v>
      </c>
      <c r="H11" s="255">
        <f>LOOKUP(G11,68:68,69:69)-LOOKUP(C11,68:68,69:69)+100</f>
        <v>101</v>
      </c>
      <c r="I11" s="532">
        <v>1.6</v>
      </c>
      <c r="J11" s="255">
        <f>LOOKUP(I11,68:68,69:69)-LOOKUP(C11,68:68,69:69)+100</f>
        <v>102</v>
      </c>
      <c r="K11" s="863">
        <v>1</v>
      </c>
      <c r="L11" s="2137"/>
      <c r="M11" s="2131"/>
      <c r="N11" s="2131"/>
      <c r="O11" s="2138"/>
      <c r="P11" s="3388"/>
      <c r="Q11" s="3192" t="str">
        <f t="shared" si="6"/>
        <v>容积率</v>
      </c>
      <c r="R11" s="1565" t="s">
        <v>11</v>
      </c>
      <c r="S11" s="1566">
        <f t="shared" si="0"/>
        <v>102</v>
      </c>
      <c r="T11" s="1565" t="s">
        <v>11</v>
      </c>
      <c r="U11" s="1566">
        <f t="shared" si="1"/>
        <v>101</v>
      </c>
      <c r="V11" s="1565" t="s">
        <v>11</v>
      </c>
      <c r="W11" s="1566">
        <f t="shared" si="2"/>
        <v>102</v>
      </c>
      <c r="X11" s="1567"/>
      <c r="Y11" s="3334"/>
      <c r="Z11" s="3190" t="str">
        <f t="shared" si="7"/>
        <v>容积率</v>
      </c>
      <c r="AA11" s="1568">
        <f t="shared" si="3"/>
        <v>0.98039215686274506</v>
      </c>
      <c r="AB11" s="1568">
        <f t="shared" si="4"/>
        <v>0.99009900990099009</v>
      </c>
      <c r="AC11" s="1568">
        <f t="shared" si="5"/>
        <v>0.98039215686274506</v>
      </c>
    </row>
    <row r="12" spans="1:29" s="1219" customFormat="1" ht="15">
      <c r="A12" s="2938"/>
      <c r="B12" s="2944">
        <v>111</v>
      </c>
      <c r="C12" s="528"/>
      <c r="D12" s="537">
        <v>100</v>
      </c>
      <c r="E12" s="528"/>
      <c r="F12" s="862">
        <f>SUMIF(70:70,E12,71:71)-SUMIF(70:70,C12,71:71)+100</f>
        <v>100</v>
      </c>
      <c r="G12" s="528"/>
      <c r="H12" s="255">
        <f>SUMIF(70:70,G12,71:71)-SUMIF(70:70,C12,71:71)+100</f>
        <v>100</v>
      </c>
      <c r="I12" s="528"/>
      <c r="J12" s="255">
        <f>SUMIF(70:70,I12,71:71)-SUMIF(70:70,C12,71:71)+100</f>
        <v>100</v>
      </c>
      <c r="K12" s="864"/>
      <c r="L12" s="2132"/>
      <c r="M12" s="2133"/>
      <c r="N12" s="2133"/>
      <c r="O12" s="2134"/>
      <c r="P12" s="3388"/>
      <c r="Q12" s="3192">
        <f t="shared" si="6"/>
        <v>111</v>
      </c>
      <c r="R12" s="1565" t="s">
        <v>11</v>
      </c>
      <c r="S12" s="1566">
        <f t="shared" si="0"/>
        <v>100</v>
      </c>
      <c r="T12" s="1565" t="s">
        <v>11</v>
      </c>
      <c r="U12" s="1566">
        <f t="shared" si="1"/>
        <v>100</v>
      </c>
      <c r="V12" s="1565" t="s">
        <v>11</v>
      </c>
      <c r="W12" s="1566">
        <f t="shared" si="2"/>
        <v>100</v>
      </c>
      <c r="X12" s="1567"/>
      <c r="Y12" s="3334"/>
      <c r="Z12" s="3190">
        <f t="shared" si="7"/>
        <v>111</v>
      </c>
      <c r="AA12" s="1568">
        <f>D12/F12</f>
        <v>1</v>
      </c>
      <c r="AB12" s="1568">
        <f>D12/H12</f>
        <v>1</v>
      </c>
      <c r="AC12" s="1568">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388"/>
      <c r="Q13" s="3192">
        <f t="shared" si="6"/>
        <v>111</v>
      </c>
      <c r="R13" s="1565" t="s">
        <v>11</v>
      </c>
      <c r="S13" s="1566">
        <f t="shared" si="0"/>
        <v>100</v>
      </c>
      <c r="T13" s="1565" t="s">
        <v>11</v>
      </c>
      <c r="U13" s="1566">
        <f t="shared" si="1"/>
        <v>100</v>
      </c>
      <c r="V13" s="1565" t="s">
        <v>11</v>
      </c>
      <c r="W13" s="1566">
        <f t="shared" si="2"/>
        <v>100</v>
      </c>
      <c r="X13" s="1567"/>
      <c r="Y13" s="3334"/>
      <c r="Z13" s="3190">
        <f t="shared" si="7"/>
        <v>111</v>
      </c>
      <c r="AA13" s="1568">
        <f t="shared" si="3"/>
        <v>1</v>
      </c>
      <c r="AB13" s="1568">
        <f t="shared" si="4"/>
        <v>1</v>
      </c>
      <c r="AC13" s="1568">
        <f t="shared" si="5"/>
        <v>1</v>
      </c>
    </row>
    <row r="14" spans="1:29" ht="15.6"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388"/>
      <c r="Q14" s="3192">
        <f t="shared" si="6"/>
        <v>111</v>
      </c>
      <c r="R14" s="1565" t="s">
        <v>11</v>
      </c>
      <c r="S14" s="1566">
        <f t="shared" si="0"/>
        <v>100</v>
      </c>
      <c r="T14" s="1565" t="s">
        <v>11</v>
      </c>
      <c r="U14" s="1566">
        <f t="shared" si="1"/>
        <v>100</v>
      </c>
      <c r="V14" s="1565" t="s">
        <v>11</v>
      </c>
      <c r="W14" s="1566">
        <f t="shared" si="2"/>
        <v>100</v>
      </c>
      <c r="X14" s="1567"/>
      <c r="Y14" s="3334"/>
      <c r="Z14" s="3190">
        <f t="shared" si="7"/>
        <v>111</v>
      </c>
      <c r="AA14" s="1568">
        <f t="shared" si="3"/>
        <v>1</v>
      </c>
      <c r="AB14" s="1568">
        <f t="shared" si="4"/>
        <v>1</v>
      </c>
      <c r="AC14" s="1568">
        <f t="shared" si="5"/>
        <v>1</v>
      </c>
    </row>
    <row r="15" spans="1:29" ht="96.6">
      <c r="A15" s="2931" t="s">
        <v>2752</v>
      </c>
      <c r="B15" s="166" t="s">
        <v>295</v>
      </c>
      <c r="C15" s="866" t="str">
        <f>估价对象房地状况!C3</f>
        <v>估价对象周边居住用地比例、居住小区规模和社区发展完善程度，综合评价居住社区成熟度较好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v>5</v>
      </c>
      <c r="L15" s="2139"/>
      <c r="M15" s="2131"/>
      <c r="N15" s="2131"/>
      <c r="O15" s="2138"/>
      <c r="P15" s="3424" t="s">
        <v>539</v>
      </c>
      <c r="Q15" s="3198" t="str">
        <f t="shared" si="6"/>
        <v>居住社区成熟度</v>
      </c>
      <c r="R15" s="1570" t="s">
        <v>11</v>
      </c>
      <c r="S15" s="1571">
        <f t="shared" si="0"/>
        <v>100</v>
      </c>
      <c r="T15" s="1570" t="s">
        <v>11</v>
      </c>
      <c r="U15" s="1571">
        <f t="shared" si="1"/>
        <v>100</v>
      </c>
      <c r="V15" s="1570" t="s">
        <v>11</v>
      </c>
      <c r="W15" s="1571">
        <f t="shared" si="2"/>
        <v>100</v>
      </c>
      <c r="X15" s="3197"/>
      <c r="Y15" s="3424" t="s">
        <v>539</v>
      </c>
      <c r="Z15" s="3199" t="str">
        <f t="shared" si="7"/>
        <v>居住社区成熟度</v>
      </c>
      <c r="AA15" s="3200">
        <f t="shared" si="3"/>
        <v>1</v>
      </c>
      <c r="AB15" s="3200">
        <f t="shared" si="4"/>
        <v>1</v>
      </c>
      <c r="AC15" s="3200">
        <f t="shared" si="5"/>
        <v>1</v>
      </c>
    </row>
    <row r="16" spans="1:29" ht="15">
      <c r="A16" s="531"/>
      <c r="B16" s="868"/>
      <c r="C16" s="575" t="s">
        <v>3087</v>
      </c>
      <c r="D16" s="554"/>
      <c r="E16" s="575" t="s">
        <v>3087</v>
      </c>
      <c r="F16" s="556"/>
      <c r="G16" s="575" t="s">
        <v>3087</v>
      </c>
      <c r="H16" s="558"/>
      <c r="I16" s="575" t="s">
        <v>3087</v>
      </c>
      <c r="J16" s="554"/>
      <c r="K16" s="869"/>
      <c r="L16" s="2139"/>
      <c r="M16" s="2131"/>
      <c r="N16" s="2131"/>
      <c r="O16" s="2138"/>
      <c r="P16" s="3425"/>
      <c r="Q16" s="3198"/>
      <c r="R16" s="1570"/>
      <c r="S16" s="1571"/>
      <c r="T16" s="1570"/>
      <c r="U16" s="1571"/>
      <c r="V16" s="1570"/>
      <c r="W16" s="1571"/>
      <c r="X16" s="3197"/>
      <c r="Y16" s="3425"/>
      <c r="Z16" s="3199"/>
      <c r="AA16" s="3200">
        <v>1</v>
      </c>
      <c r="AB16" s="3200">
        <v>1</v>
      </c>
      <c r="AC16" s="3200">
        <v>1</v>
      </c>
    </row>
    <row r="17" spans="1:29" ht="82.8">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39"/>
      <c r="M17" s="2131"/>
      <c r="N17" s="2131"/>
      <c r="O17" s="2138"/>
      <c r="P17" s="3425"/>
      <c r="Q17" s="3198" t="str">
        <f>B17</f>
        <v>交通便捷度</v>
      </c>
      <c r="R17" s="1570" t="s">
        <v>11</v>
      </c>
      <c r="S17" s="1571">
        <f>F17</f>
        <v>100</v>
      </c>
      <c r="T17" s="1570" t="s">
        <v>11</v>
      </c>
      <c r="U17" s="1571">
        <f>H17</f>
        <v>100</v>
      </c>
      <c r="V17" s="1570" t="s">
        <v>11</v>
      </c>
      <c r="W17" s="1571">
        <f>J17</f>
        <v>100</v>
      </c>
      <c r="X17" s="3197"/>
      <c r="Y17" s="3425"/>
      <c r="Z17" s="3199" t="str">
        <f>Q17</f>
        <v>交通便捷度</v>
      </c>
      <c r="AA17" s="3200">
        <f t="shared" si="3"/>
        <v>1</v>
      </c>
      <c r="AB17" s="3200">
        <f t="shared" si="4"/>
        <v>1</v>
      </c>
      <c r="AC17" s="3200">
        <f t="shared" si="5"/>
        <v>1</v>
      </c>
    </row>
    <row r="18" spans="1:29" ht="15">
      <c r="A18" s="531"/>
      <c r="B18" s="594"/>
      <c r="C18" s="872" t="s">
        <v>3089</v>
      </c>
      <c r="D18" s="558"/>
      <c r="E18" s="872" t="s">
        <v>3089</v>
      </c>
      <c r="F18" s="562"/>
      <c r="G18" s="872" t="s">
        <v>3089</v>
      </c>
      <c r="H18" s="554"/>
      <c r="I18" s="872" t="s">
        <v>3089</v>
      </c>
      <c r="J18" s="554"/>
      <c r="K18" s="869"/>
      <c r="L18" s="2139"/>
      <c r="M18" s="2131"/>
      <c r="N18" s="2131"/>
      <c r="O18" s="2138"/>
      <c r="P18" s="3425"/>
      <c r="Q18" s="3198"/>
      <c r="R18" s="1570"/>
      <c r="S18" s="1571"/>
      <c r="T18" s="1570"/>
      <c r="U18" s="1571"/>
      <c r="V18" s="1570"/>
      <c r="W18" s="1571"/>
      <c r="X18" s="3197"/>
      <c r="Y18" s="3425"/>
      <c r="Z18" s="3199"/>
      <c r="AA18" s="3200">
        <v>1</v>
      </c>
      <c r="AB18" s="3200">
        <v>1</v>
      </c>
      <c r="AC18" s="3200">
        <v>1</v>
      </c>
    </row>
    <row r="19" spans="1:29" ht="41.4">
      <c r="A19" s="531"/>
      <c r="B19" s="2621"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39"/>
      <c r="M19" s="2131"/>
      <c r="N19" s="2131"/>
      <c r="O19" s="2138"/>
      <c r="P19" s="3425"/>
      <c r="Q19" s="3198" t="str">
        <f>B19</f>
        <v>公共配套设施</v>
      </c>
      <c r="R19" s="1570" t="s">
        <v>11</v>
      </c>
      <c r="S19" s="1571">
        <f>F19</f>
        <v>100</v>
      </c>
      <c r="T19" s="1570" t="s">
        <v>11</v>
      </c>
      <c r="U19" s="1571">
        <f>H19</f>
        <v>100</v>
      </c>
      <c r="V19" s="1570" t="s">
        <v>11</v>
      </c>
      <c r="W19" s="1571">
        <f>J19</f>
        <v>100</v>
      </c>
      <c r="X19" s="3197"/>
      <c r="Y19" s="3425"/>
      <c r="Z19" s="3199" t="str">
        <f>Q19</f>
        <v>公共配套设施</v>
      </c>
      <c r="AA19" s="3200">
        <f t="shared" si="3"/>
        <v>1</v>
      </c>
      <c r="AB19" s="3200">
        <f t="shared" si="4"/>
        <v>1</v>
      </c>
      <c r="AC19" s="3200">
        <f t="shared" si="5"/>
        <v>1</v>
      </c>
    </row>
    <row r="20" spans="1:29" ht="15">
      <c r="A20" s="531"/>
      <c r="B20" s="594"/>
      <c r="C20" s="575" t="s">
        <v>3087</v>
      </c>
      <c r="D20" s="554"/>
      <c r="E20" s="575" t="s">
        <v>3087</v>
      </c>
      <c r="F20" s="556"/>
      <c r="G20" s="575" t="s">
        <v>3087</v>
      </c>
      <c r="H20" s="554"/>
      <c r="I20" s="575" t="s">
        <v>3087</v>
      </c>
      <c r="J20" s="554"/>
      <c r="K20" s="869"/>
      <c r="L20" s="2139"/>
      <c r="M20" s="2131"/>
      <c r="N20" s="2131"/>
      <c r="O20" s="2138"/>
      <c r="P20" s="3425"/>
      <c r="Q20" s="3198"/>
      <c r="R20" s="1570"/>
      <c r="S20" s="1571"/>
      <c r="T20" s="1570"/>
      <c r="U20" s="1571"/>
      <c r="V20" s="1570"/>
      <c r="W20" s="1571"/>
      <c r="X20" s="3197"/>
      <c r="Y20" s="3425"/>
      <c r="Z20" s="3199"/>
      <c r="AA20" s="3200">
        <v>1</v>
      </c>
      <c r="AB20" s="3200">
        <v>1</v>
      </c>
      <c r="AC20" s="3200">
        <v>1</v>
      </c>
    </row>
    <row r="21" spans="1:29" ht="27.6">
      <c r="A21" s="531"/>
      <c r="B21" s="2614" t="s">
        <v>2546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39"/>
      <c r="M21" s="2131"/>
      <c r="N21" s="2131"/>
      <c r="O21" s="2138"/>
      <c r="P21" s="3425"/>
      <c r="Q21" s="3198" t="str">
        <f>B21</f>
        <v>基础设施水平</v>
      </c>
      <c r="R21" s="1570" t="s">
        <v>11</v>
      </c>
      <c r="S21" s="1571">
        <f>F21</f>
        <v>100</v>
      </c>
      <c r="T21" s="1570" t="s">
        <v>11</v>
      </c>
      <c r="U21" s="1571">
        <f>H21</f>
        <v>100</v>
      </c>
      <c r="V21" s="1570" t="s">
        <v>11</v>
      </c>
      <c r="W21" s="1571">
        <f>J21</f>
        <v>100</v>
      </c>
      <c r="X21" s="3197"/>
      <c r="Y21" s="3425"/>
      <c r="Z21" s="3199" t="str">
        <f>Q21</f>
        <v>基础设施水平</v>
      </c>
      <c r="AA21" s="3200">
        <f t="shared" ref="AA21" si="8">D21/F21</f>
        <v>1</v>
      </c>
      <c r="AB21" s="3200">
        <f t="shared" ref="AB21" si="9">D21/H21</f>
        <v>1</v>
      </c>
      <c r="AC21" s="3200">
        <f t="shared" ref="AC21" si="10">D21/J21</f>
        <v>1</v>
      </c>
    </row>
    <row r="22" spans="1:29" ht="15">
      <c r="A22" s="531"/>
      <c r="B22" s="921"/>
      <c r="C22" s="872" t="s">
        <v>3121</v>
      </c>
      <c r="D22" s="554"/>
      <c r="E22" s="872" t="s">
        <v>3121</v>
      </c>
      <c r="F22" s="556"/>
      <c r="G22" s="872" t="s">
        <v>3121</v>
      </c>
      <c r="H22" s="554"/>
      <c r="I22" s="872" t="s">
        <v>3121</v>
      </c>
      <c r="J22" s="554"/>
      <c r="K22" s="2620"/>
      <c r="L22" s="2139"/>
      <c r="M22" s="2131"/>
      <c r="N22" s="2131"/>
      <c r="O22" s="2138"/>
      <c r="P22" s="3425"/>
      <c r="Q22" s="3198"/>
      <c r="R22" s="1570"/>
      <c r="S22" s="1571"/>
      <c r="T22" s="1570"/>
      <c r="U22" s="1571"/>
      <c r="V22" s="1570"/>
      <c r="W22" s="1571"/>
      <c r="X22" s="3197"/>
      <c r="Y22" s="3425"/>
      <c r="Z22" s="3199"/>
      <c r="AA22" s="3200">
        <v>1</v>
      </c>
      <c r="AB22" s="3200">
        <v>1</v>
      </c>
      <c r="AC22" s="3200">
        <v>1</v>
      </c>
    </row>
    <row r="23" spans="1:29" ht="41.4">
      <c r="A23" s="531"/>
      <c r="B23" s="870" t="s">
        <v>297</v>
      </c>
      <c r="C23" s="871" t="str">
        <f>估价对象房地状况!C9</f>
        <v>区域自然环境：；人文环境；综合评价好</v>
      </c>
      <c r="D23" s="558">
        <v>100</v>
      </c>
      <c r="E23" s="561"/>
      <c r="F23" s="562">
        <f>SUMIF(84:84,E24,85:85)-SUMIF(84:84,C24,85:85)+100</f>
        <v>96</v>
      </c>
      <c r="G23" s="563"/>
      <c r="H23" s="558">
        <f>SUMIF(84:84,G24,85:85)-SUMIF(84:84,C24,85:85)+100</f>
        <v>96</v>
      </c>
      <c r="I23" s="561"/>
      <c r="J23" s="558">
        <f>SUMIF(84:84,I24,85:85)-SUMIF(84:84,C24,85:85)+100</f>
        <v>96</v>
      </c>
      <c r="K23" s="867">
        <v>2</v>
      </c>
      <c r="L23" s="2139"/>
      <c r="M23" s="2131"/>
      <c r="N23" s="2131"/>
      <c r="O23" s="2138"/>
      <c r="P23" s="3425"/>
      <c r="Q23" s="3198" t="str">
        <f>B23</f>
        <v>自然及人文环境</v>
      </c>
      <c r="R23" s="1570" t="s">
        <v>11</v>
      </c>
      <c r="S23" s="1571">
        <f>F23</f>
        <v>96</v>
      </c>
      <c r="T23" s="1570" t="s">
        <v>11</v>
      </c>
      <c r="U23" s="1571">
        <f>H23</f>
        <v>96</v>
      </c>
      <c r="V23" s="1570" t="s">
        <v>11</v>
      </c>
      <c r="W23" s="1571">
        <f>J23</f>
        <v>96</v>
      </c>
      <c r="X23" s="3197"/>
      <c r="Y23" s="3425"/>
      <c r="Z23" s="3199" t="str">
        <f>Q23</f>
        <v>自然及人文环境</v>
      </c>
      <c r="AA23" s="3200">
        <f t="shared" si="3"/>
        <v>1.0416666666666667</v>
      </c>
      <c r="AB23" s="3200">
        <f t="shared" si="4"/>
        <v>1.0416666666666667</v>
      </c>
      <c r="AC23" s="3200">
        <f t="shared" si="5"/>
        <v>1.0416666666666667</v>
      </c>
    </row>
    <row r="24" spans="1:29" ht="15">
      <c r="A24" s="531"/>
      <c r="B24" s="594"/>
      <c r="C24" s="575" t="s">
        <v>3351</v>
      </c>
      <c r="D24" s="554"/>
      <c r="E24" s="555" t="s">
        <v>3089</v>
      </c>
      <c r="F24" s="556"/>
      <c r="G24" s="555" t="s">
        <v>3089</v>
      </c>
      <c r="H24" s="554"/>
      <c r="I24" s="555" t="s">
        <v>3089</v>
      </c>
      <c r="J24" s="554"/>
      <c r="K24" s="869"/>
      <c r="L24" s="2139"/>
      <c r="M24" s="2131"/>
      <c r="N24" s="2131"/>
      <c r="O24" s="2138"/>
      <c r="P24" s="3425"/>
      <c r="Q24" s="3198"/>
      <c r="R24" s="1570"/>
      <c r="S24" s="1571"/>
      <c r="T24" s="1570"/>
      <c r="U24" s="1571"/>
      <c r="V24" s="1570"/>
      <c r="W24" s="1571"/>
      <c r="X24" s="3197"/>
      <c r="Y24" s="3425"/>
      <c r="Z24" s="3199"/>
      <c r="AA24" s="3200">
        <v>1</v>
      </c>
      <c r="AB24" s="3200">
        <v>1</v>
      </c>
      <c r="AC24" s="3200">
        <v>1</v>
      </c>
    </row>
    <row r="25" spans="1:29" ht="15">
      <c r="A25" s="531"/>
      <c r="B25" s="1892" t="s">
        <v>2257</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25"/>
      <c r="Q25" s="3198" t="str">
        <f t="shared" ref="Q25:Q46" si="11">B25</f>
        <v>楼层-1</v>
      </c>
      <c r="R25" s="1570" t="s">
        <v>11</v>
      </c>
      <c r="S25" s="1571">
        <f>F25</f>
        <v>100</v>
      </c>
      <c r="T25" s="1570" t="s">
        <v>11</v>
      </c>
      <c r="U25" s="1571">
        <f>H25</f>
        <v>100</v>
      </c>
      <c r="V25" s="1570" t="s">
        <v>11</v>
      </c>
      <c r="W25" s="1571">
        <f>J25</f>
        <v>100</v>
      </c>
      <c r="X25" s="3197"/>
      <c r="Y25" s="3425"/>
      <c r="Z25" s="3199" t="str">
        <f>Q25</f>
        <v>楼层-1</v>
      </c>
      <c r="AA25" s="3200">
        <f t="shared" si="3"/>
        <v>1</v>
      </c>
      <c r="AB25" s="3200">
        <f t="shared" si="4"/>
        <v>1</v>
      </c>
      <c r="AC25" s="3200">
        <f t="shared" si="5"/>
        <v>1</v>
      </c>
    </row>
    <row r="26" spans="1:29" ht="15">
      <c r="A26" s="531"/>
      <c r="B26" s="527" t="s">
        <v>722</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25"/>
      <c r="Q26" s="3198" t="str">
        <f t="shared" si="11"/>
        <v>朝向</v>
      </c>
      <c r="R26" s="1570" t="s">
        <v>11</v>
      </c>
      <c r="S26" s="1571">
        <f>F26</f>
        <v>100</v>
      </c>
      <c r="T26" s="1570" t="s">
        <v>11</v>
      </c>
      <c r="U26" s="1571">
        <f>H26</f>
        <v>100</v>
      </c>
      <c r="V26" s="1570" t="s">
        <v>11</v>
      </c>
      <c r="W26" s="1571">
        <f>J26</f>
        <v>100</v>
      </c>
      <c r="X26" s="3197"/>
      <c r="Y26" s="3425"/>
      <c r="Z26" s="3199" t="str">
        <f>Q26</f>
        <v>朝向</v>
      </c>
      <c r="AA26" s="3200">
        <f t="shared" si="3"/>
        <v>1</v>
      </c>
      <c r="AB26" s="3200">
        <f t="shared" si="4"/>
        <v>1</v>
      </c>
      <c r="AC26" s="3200">
        <f t="shared" si="5"/>
        <v>1</v>
      </c>
    </row>
    <row r="27" spans="1:29" s="1219" customFormat="1" ht="15">
      <c r="A27" s="535"/>
      <c r="B27" s="536" t="s">
        <v>723</v>
      </c>
      <c r="C27" s="3187" t="s">
        <v>3119</v>
      </c>
      <c r="D27" s="874">
        <v>100</v>
      </c>
      <c r="E27" s="3187" t="s">
        <v>3119</v>
      </c>
      <c r="F27" s="875">
        <f>SUMIF(90:90,E27,91:91)-SUMIF(90:90,C27,91:91)+100</f>
        <v>100</v>
      </c>
      <c r="G27" s="3187" t="s">
        <v>3119</v>
      </c>
      <c r="H27" s="874">
        <f>SUMIF(90:90,G27,91:91)-SUMIF(90:90,C27,91:91)+100</f>
        <v>100</v>
      </c>
      <c r="I27" s="3187" t="s">
        <v>3119</v>
      </c>
      <c r="J27" s="874">
        <f>SUMIF(90:90,I27,91:91)-SUMIF(90:90,C27,91:91)+100</f>
        <v>100</v>
      </c>
      <c r="K27" s="864"/>
      <c r="L27" s="2132"/>
      <c r="M27" s="2133"/>
      <c r="N27" s="2133"/>
      <c r="O27" s="2134"/>
      <c r="P27" s="3425"/>
      <c r="Q27" s="3192" t="str">
        <f t="shared" si="11"/>
        <v>道路级别</v>
      </c>
      <c r="R27" s="1565" t="s">
        <v>11</v>
      </c>
      <c r="S27" s="1566">
        <f>F27</f>
        <v>100</v>
      </c>
      <c r="T27" s="1565" t="s">
        <v>11</v>
      </c>
      <c r="U27" s="1566">
        <f>H27</f>
        <v>100</v>
      </c>
      <c r="V27" s="1565" t="s">
        <v>11</v>
      </c>
      <c r="W27" s="1566">
        <f>J27</f>
        <v>100</v>
      </c>
      <c r="X27" s="1567"/>
      <c r="Y27" s="3425"/>
      <c r="Z27" s="3190" t="str">
        <f>Q27</f>
        <v>道路级别</v>
      </c>
      <c r="AA27" s="3200">
        <f>D27/F27</f>
        <v>1</v>
      </c>
      <c r="AB27" s="3200">
        <f>D27/H27</f>
        <v>1</v>
      </c>
      <c r="AC27" s="3200">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25"/>
      <c r="Q28" s="3198">
        <f t="shared" si="11"/>
        <v>111</v>
      </c>
      <c r="R28" s="1570" t="s">
        <v>11</v>
      </c>
      <c r="S28" s="1571">
        <f t="shared" ref="S28:S46" si="12">F28</f>
        <v>100</v>
      </c>
      <c r="T28" s="1570" t="s">
        <v>11</v>
      </c>
      <c r="U28" s="1571">
        <f t="shared" ref="U28:U46" si="13">H28</f>
        <v>100</v>
      </c>
      <c r="V28" s="1570" t="s">
        <v>11</v>
      </c>
      <c r="W28" s="1571">
        <f t="shared" ref="W28:W46" si="14">J28</f>
        <v>100</v>
      </c>
      <c r="X28" s="3197"/>
      <c r="Y28" s="3425"/>
      <c r="Z28" s="3199">
        <f t="shared" ref="Z28:Z46" si="15">Q28</f>
        <v>111</v>
      </c>
      <c r="AA28" s="3200">
        <f t="shared" si="3"/>
        <v>1</v>
      </c>
      <c r="AB28" s="3200">
        <f t="shared" si="4"/>
        <v>1</v>
      </c>
      <c r="AC28" s="320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25"/>
      <c r="Q29" s="3198">
        <f t="shared" si="11"/>
        <v>111</v>
      </c>
      <c r="R29" s="1570" t="s">
        <v>11</v>
      </c>
      <c r="S29" s="1571">
        <f t="shared" si="12"/>
        <v>100</v>
      </c>
      <c r="T29" s="1570" t="s">
        <v>11</v>
      </c>
      <c r="U29" s="1571">
        <f t="shared" si="13"/>
        <v>100</v>
      </c>
      <c r="V29" s="1570" t="s">
        <v>11</v>
      </c>
      <c r="W29" s="1571">
        <f t="shared" si="14"/>
        <v>100</v>
      </c>
      <c r="X29" s="3197"/>
      <c r="Y29" s="3425"/>
      <c r="Z29" s="3199">
        <f t="shared" si="15"/>
        <v>111</v>
      </c>
      <c r="AA29" s="3200">
        <f t="shared" si="3"/>
        <v>1</v>
      </c>
      <c r="AB29" s="3200">
        <f t="shared" si="4"/>
        <v>1</v>
      </c>
      <c r="AC29" s="320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25"/>
      <c r="Q30" s="3198">
        <f t="shared" si="11"/>
        <v>111</v>
      </c>
      <c r="R30" s="1570" t="s">
        <v>11</v>
      </c>
      <c r="S30" s="1571">
        <f t="shared" si="12"/>
        <v>100</v>
      </c>
      <c r="T30" s="1570" t="s">
        <v>11</v>
      </c>
      <c r="U30" s="1571">
        <f t="shared" si="13"/>
        <v>100</v>
      </c>
      <c r="V30" s="1570" t="s">
        <v>11</v>
      </c>
      <c r="W30" s="1571">
        <f t="shared" si="14"/>
        <v>100</v>
      </c>
      <c r="X30" s="3197"/>
      <c r="Y30" s="3425"/>
      <c r="Z30" s="3199">
        <f t="shared" si="15"/>
        <v>111</v>
      </c>
      <c r="AA30" s="3200">
        <f t="shared" si="3"/>
        <v>1</v>
      </c>
      <c r="AB30" s="3200">
        <f t="shared" si="4"/>
        <v>1</v>
      </c>
      <c r="AC30" s="3200">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25"/>
      <c r="Q31" s="3198">
        <f t="shared" si="11"/>
        <v>111</v>
      </c>
      <c r="R31" s="1570" t="s">
        <v>11</v>
      </c>
      <c r="S31" s="1571">
        <f t="shared" si="12"/>
        <v>100</v>
      </c>
      <c r="T31" s="1570" t="s">
        <v>11</v>
      </c>
      <c r="U31" s="1571">
        <f t="shared" si="13"/>
        <v>100</v>
      </c>
      <c r="V31" s="1570" t="s">
        <v>11</v>
      </c>
      <c r="W31" s="1571">
        <f t="shared" si="14"/>
        <v>100</v>
      </c>
      <c r="X31" s="3197"/>
      <c r="Y31" s="3425"/>
      <c r="Z31" s="3199">
        <f t="shared" si="15"/>
        <v>111</v>
      </c>
      <c r="AA31" s="3200">
        <f t="shared" si="3"/>
        <v>1</v>
      </c>
      <c r="AB31" s="3200">
        <f t="shared" si="4"/>
        <v>1</v>
      </c>
      <c r="AC31" s="3200">
        <f t="shared" si="5"/>
        <v>1</v>
      </c>
    </row>
    <row r="32" spans="1:29" ht="15">
      <c r="A32" s="2928" t="s">
        <v>2753</v>
      </c>
      <c r="B32" s="172" t="s">
        <v>724</v>
      </c>
      <c r="C32" s="877" t="s">
        <v>3134</v>
      </c>
      <c r="D32" s="596">
        <v>100</v>
      </c>
      <c r="E32" s="878" t="s">
        <v>3516</v>
      </c>
      <c r="F32" s="574">
        <f>SUMIF(100:100,E32,101:101)-SUMIF(100:100,C32,101:101)+100</f>
        <v>114</v>
      </c>
      <c r="G32" s="878" t="s">
        <v>3512</v>
      </c>
      <c r="H32" s="596">
        <f>SUMIF(100:100,G32,101:101)-SUMIF(100:100,C32,101:101)+100</f>
        <v>107</v>
      </c>
      <c r="I32" s="878" t="s">
        <v>3134</v>
      </c>
      <c r="J32" s="539">
        <f>SUMIF(100:100,I32,101:101)-SUMIF(100:100,C32,101:101)+100</f>
        <v>100</v>
      </c>
      <c r="K32" s="863">
        <v>7</v>
      </c>
      <c r="L32" s="2139"/>
      <c r="M32" s="2131"/>
      <c r="N32" s="2131"/>
      <c r="O32" s="2138"/>
      <c r="P32" s="3426" t="s">
        <v>549</v>
      </c>
      <c r="Q32" s="3198" t="str">
        <f t="shared" si="11"/>
        <v>建筑类型</v>
      </c>
      <c r="R32" s="1570" t="s">
        <v>11</v>
      </c>
      <c r="S32" s="1571">
        <f t="shared" si="12"/>
        <v>114</v>
      </c>
      <c r="T32" s="1570" t="s">
        <v>11</v>
      </c>
      <c r="U32" s="1571">
        <f t="shared" si="13"/>
        <v>107</v>
      </c>
      <c r="V32" s="1570" t="s">
        <v>11</v>
      </c>
      <c r="W32" s="1571">
        <f t="shared" si="14"/>
        <v>100</v>
      </c>
      <c r="X32" s="3197"/>
      <c r="Y32" s="3427" t="s">
        <v>549</v>
      </c>
      <c r="Z32" s="3199" t="str">
        <f t="shared" si="15"/>
        <v>建筑类型</v>
      </c>
      <c r="AA32" s="3200">
        <f t="shared" si="3"/>
        <v>0.8771929824561403</v>
      </c>
      <c r="AB32" s="3200">
        <f t="shared" si="4"/>
        <v>0.93457943925233644</v>
      </c>
      <c r="AC32" s="3200">
        <f t="shared" si="5"/>
        <v>1</v>
      </c>
    </row>
    <row r="33" spans="1:29" s="1338" customFormat="1" ht="15">
      <c r="A33" s="602"/>
      <c r="B33" s="527" t="s">
        <v>725</v>
      </c>
      <c r="C33" s="879">
        <f>'数据-汇总表'!E3</f>
        <v>237470</v>
      </c>
      <c r="D33" s="255">
        <v>100</v>
      </c>
      <c r="E33" s="533">
        <v>87394</v>
      </c>
      <c r="F33" s="862">
        <f>LOOKUP(E33,103:103,104:104)-LOOKUP(C33,103:103,104:104)+100</f>
        <v>98</v>
      </c>
      <c r="G33" s="532">
        <v>315862</v>
      </c>
      <c r="H33" s="255">
        <f>LOOKUP(G33,103:103,104:104)-LOOKUP(C33,103:103,104:104)+100</f>
        <v>101</v>
      </c>
      <c r="I33" s="533">
        <v>339099</v>
      </c>
      <c r="J33" s="255">
        <f>LOOKUP(I33,103:103,104:104)-LOOKUP(C33,103:103,104:104)+100</f>
        <v>101</v>
      </c>
      <c r="K33" s="864"/>
      <c r="L33" s="2137"/>
      <c r="M33" s="2168"/>
      <c r="N33" s="2168"/>
      <c r="O33" s="2140"/>
      <c r="P33" s="3427"/>
      <c r="Q33" s="1602" t="str">
        <f t="shared" si="11"/>
        <v>项目建筑规模</v>
      </c>
      <c r="R33" s="1574" t="s">
        <v>11</v>
      </c>
      <c r="S33" s="1575">
        <f t="shared" si="12"/>
        <v>98</v>
      </c>
      <c r="T33" s="1574" t="s">
        <v>11</v>
      </c>
      <c r="U33" s="1575">
        <f t="shared" si="13"/>
        <v>101</v>
      </c>
      <c r="V33" s="1574" t="s">
        <v>11</v>
      </c>
      <c r="W33" s="1575">
        <f t="shared" si="14"/>
        <v>101</v>
      </c>
      <c r="X33" s="1576"/>
      <c r="Y33" s="3427"/>
      <c r="Z33" s="1577" t="str">
        <f t="shared" si="15"/>
        <v>项目建筑规模</v>
      </c>
      <c r="AA33" s="3200">
        <f t="shared" si="3"/>
        <v>1.0204081632653061</v>
      </c>
      <c r="AB33" s="3200">
        <f t="shared" si="4"/>
        <v>0.99009900990099009</v>
      </c>
      <c r="AC33" s="3200">
        <f t="shared" si="5"/>
        <v>0.99009900990099009</v>
      </c>
    </row>
    <row r="34" spans="1:29" ht="15">
      <c r="A34" s="593"/>
      <c r="B34" s="527" t="s">
        <v>726</v>
      </c>
      <c r="C34" s="880" t="s">
        <v>2999</v>
      </c>
      <c r="D34" s="539">
        <v>100</v>
      </c>
      <c r="E34" s="880" t="s">
        <v>2999</v>
      </c>
      <c r="F34" s="574">
        <f>SUMIF(105:105,E34,106:106)-SUMIF(105:105,C34,106:106)+100</f>
        <v>100</v>
      </c>
      <c r="G34" s="880" t="s">
        <v>2999</v>
      </c>
      <c r="H34" s="539">
        <f>SUMIF(105:105,G34,106:106)-SUMIF(105:105,C34,106:106)+100</f>
        <v>100</v>
      </c>
      <c r="I34" s="880" t="s">
        <v>2999</v>
      </c>
      <c r="J34" s="539">
        <f>SUMIF(105:105,I34,106:106)-SUMIF(105:105,C34,106:106)+100</f>
        <v>100</v>
      </c>
      <c r="K34" s="863">
        <v>1</v>
      </c>
      <c r="L34" s="2139"/>
      <c r="M34" s="2131"/>
      <c r="N34" s="2131"/>
      <c r="O34" s="2138"/>
      <c r="P34" s="3427"/>
      <c r="Q34" s="3198" t="str">
        <f t="shared" si="11"/>
        <v>建筑结构</v>
      </c>
      <c r="R34" s="1570" t="s">
        <v>11</v>
      </c>
      <c r="S34" s="1571">
        <f t="shared" si="12"/>
        <v>100</v>
      </c>
      <c r="T34" s="1570" t="s">
        <v>11</v>
      </c>
      <c r="U34" s="1571">
        <f t="shared" si="13"/>
        <v>100</v>
      </c>
      <c r="V34" s="1570" t="s">
        <v>11</v>
      </c>
      <c r="W34" s="1571">
        <f t="shared" si="14"/>
        <v>100</v>
      </c>
      <c r="X34" s="3197"/>
      <c r="Y34" s="3427"/>
      <c r="Z34" s="3199" t="str">
        <f t="shared" si="15"/>
        <v>建筑结构</v>
      </c>
      <c r="AA34" s="3200">
        <f t="shared" si="3"/>
        <v>1</v>
      </c>
      <c r="AB34" s="3200">
        <f t="shared" si="4"/>
        <v>1</v>
      </c>
      <c r="AC34" s="3200">
        <f t="shared" si="5"/>
        <v>1</v>
      </c>
    </row>
    <row r="35" spans="1:29" ht="15">
      <c r="A35" s="593"/>
      <c r="B35" s="527" t="s">
        <v>727</v>
      </c>
      <c r="C35" s="598" t="s">
        <v>3087</v>
      </c>
      <c r="D35" s="539">
        <v>100</v>
      </c>
      <c r="E35" s="598" t="s">
        <v>3087</v>
      </c>
      <c r="F35" s="574">
        <f>SUMIF(107:107,E35,108:108)-SUMIF(107:107,C35,108:108)+100</f>
        <v>100</v>
      </c>
      <c r="G35" s="598" t="s">
        <v>3087</v>
      </c>
      <c r="H35" s="539">
        <f>SUMIF(107:107,G35,108:108)-SUMIF(107:107,C35,108:108)+100</f>
        <v>100</v>
      </c>
      <c r="I35" s="598" t="s">
        <v>3087</v>
      </c>
      <c r="J35" s="539">
        <f>SUMIF(107:107,I35,108:108)-SUMIF(107:107,C35,108:108)+100</f>
        <v>100</v>
      </c>
      <c r="K35" s="863">
        <v>2</v>
      </c>
      <c r="L35" s="2139"/>
      <c r="M35" s="2131"/>
      <c r="N35" s="2131"/>
      <c r="O35" s="2138"/>
      <c r="P35" s="3427"/>
      <c r="Q35" s="3198" t="str">
        <f t="shared" si="11"/>
        <v>建筑品质</v>
      </c>
      <c r="R35" s="1570" t="s">
        <v>11</v>
      </c>
      <c r="S35" s="1571">
        <f t="shared" si="12"/>
        <v>100</v>
      </c>
      <c r="T35" s="1570" t="s">
        <v>11</v>
      </c>
      <c r="U35" s="1571">
        <f t="shared" si="13"/>
        <v>100</v>
      </c>
      <c r="V35" s="1570" t="s">
        <v>11</v>
      </c>
      <c r="W35" s="1571">
        <f t="shared" si="14"/>
        <v>100</v>
      </c>
      <c r="X35" s="3197"/>
      <c r="Y35" s="3427"/>
      <c r="Z35" s="3199" t="str">
        <f t="shared" si="15"/>
        <v>建筑品质</v>
      </c>
      <c r="AA35" s="3200">
        <f t="shared" si="3"/>
        <v>1</v>
      </c>
      <c r="AB35" s="3200">
        <f t="shared" si="4"/>
        <v>1</v>
      </c>
      <c r="AC35" s="3200">
        <f t="shared" si="5"/>
        <v>1</v>
      </c>
    </row>
    <row r="36" spans="1:29" ht="15">
      <c r="A36" s="593"/>
      <c r="B36" s="527" t="s">
        <v>728</v>
      </c>
      <c r="C36" s="598" t="s">
        <v>3122</v>
      </c>
      <c r="D36" s="539">
        <v>100</v>
      </c>
      <c r="E36" s="598" t="s">
        <v>3122</v>
      </c>
      <c r="F36" s="574">
        <f>SUMIF(109:109,E36,110:110)-SUMIF(109:109,C36,110:110)+100</f>
        <v>100</v>
      </c>
      <c r="G36" s="598" t="s">
        <v>3122</v>
      </c>
      <c r="H36" s="539">
        <f>SUMIF(109:109,G36,110:110)-SUMIF(109:109,C36,110:110)+100</f>
        <v>100</v>
      </c>
      <c r="I36" s="598" t="s">
        <v>3122</v>
      </c>
      <c r="J36" s="539">
        <f>SUMIF(109:109,I36,110:110)-SUMIF(109:109,C36,110:110)+100</f>
        <v>100</v>
      </c>
      <c r="K36" s="863">
        <v>2</v>
      </c>
      <c r="L36" s="2139"/>
      <c r="M36" s="2131"/>
      <c r="N36" s="2131"/>
      <c r="O36" s="2138"/>
      <c r="P36" s="3427"/>
      <c r="Q36" s="3198" t="str">
        <f t="shared" si="11"/>
        <v>公共部分装修</v>
      </c>
      <c r="R36" s="1570" t="s">
        <v>11</v>
      </c>
      <c r="S36" s="1571">
        <f t="shared" si="12"/>
        <v>100</v>
      </c>
      <c r="T36" s="1570" t="s">
        <v>11</v>
      </c>
      <c r="U36" s="1571">
        <f t="shared" si="13"/>
        <v>100</v>
      </c>
      <c r="V36" s="1570" t="s">
        <v>11</v>
      </c>
      <c r="W36" s="1571">
        <f t="shared" si="14"/>
        <v>100</v>
      </c>
      <c r="X36" s="3197"/>
      <c r="Y36" s="3427"/>
      <c r="Z36" s="3199" t="str">
        <f t="shared" si="15"/>
        <v>公共部分装修</v>
      </c>
      <c r="AA36" s="3200">
        <f t="shared" si="3"/>
        <v>1</v>
      </c>
      <c r="AB36" s="3200">
        <f t="shared" si="4"/>
        <v>1</v>
      </c>
      <c r="AC36" s="3200">
        <f t="shared" si="5"/>
        <v>1</v>
      </c>
    </row>
    <row r="37" spans="1:29" s="1219" customFormat="1" ht="15">
      <c r="A37" s="599"/>
      <c r="B37" s="527" t="s">
        <v>729</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v>1</v>
      </c>
      <c r="L37" s="2132"/>
      <c r="M37" s="2133"/>
      <c r="N37" s="2133"/>
      <c r="O37" s="2134"/>
      <c r="P37" s="3427"/>
      <c r="Q37" s="3192" t="str">
        <f t="shared" si="11"/>
        <v>成新度</v>
      </c>
      <c r="R37" s="1565" t="s">
        <v>11</v>
      </c>
      <c r="S37" s="1566">
        <f t="shared" si="12"/>
        <v>100</v>
      </c>
      <c r="T37" s="1565" t="s">
        <v>11</v>
      </c>
      <c r="U37" s="1566">
        <f t="shared" si="13"/>
        <v>100</v>
      </c>
      <c r="V37" s="1565" t="s">
        <v>11</v>
      </c>
      <c r="W37" s="1566">
        <f t="shared" si="14"/>
        <v>100</v>
      </c>
      <c r="X37" s="1567"/>
      <c r="Y37" s="3427"/>
      <c r="Z37" s="3190" t="str">
        <f t="shared" si="15"/>
        <v>成新度</v>
      </c>
      <c r="AA37" s="1568">
        <f t="shared" si="3"/>
        <v>1</v>
      </c>
      <c r="AB37" s="1568">
        <f t="shared" si="4"/>
        <v>1</v>
      </c>
      <c r="AC37" s="1568">
        <f t="shared" si="5"/>
        <v>1</v>
      </c>
    </row>
    <row r="38" spans="1:29" ht="15">
      <c r="A38" s="593"/>
      <c r="B38" s="527" t="s">
        <v>730</v>
      </c>
      <c r="C38" s="598" t="s">
        <v>3087</v>
      </c>
      <c r="D38" s="539">
        <v>100</v>
      </c>
      <c r="E38" s="598" t="s">
        <v>3087</v>
      </c>
      <c r="F38" s="574">
        <f>SUMIF(114:114,E38,115:115)-SUMIF(114:114,C38,115:115)+100</f>
        <v>100</v>
      </c>
      <c r="G38" s="598" t="s">
        <v>3087</v>
      </c>
      <c r="H38" s="539">
        <f>SUMIF(114:114,G38,115:115)-SUMIF(114:114,C38,115:115)+100</f>
        <v>100</v>
      </c>
      <c r="I38" s="598" t="s">
        <v>3087</v>
      </c>
      <c r="J38" s="539">
        <f>SUMIF(114:114,I38,115:115)-SUMIF(114:114,C38,115:115)+100</f>
        <v>100</v>
      </c>
      <c r="K38" s="863">
        <v>1</v>
      </c>
      <c r="L38" s="2139"/>
      <c r="M38" s="2131"/>
      <c r="N38" s="2131"/>
      <c r="O38" s="2138"/>
      <c r="P38" s="3427" t="s">
        <v>549</v>
      </c>
      <c r="Q38" s="3198" t="str">
        <f t="shared" si="11"/>
        <v>物业管理</v>
      </c>
      <c r="R38" s="1570" t="s">
        <v>11</v>
      </c>
      <c r="S38" s="1571">
        <f t="shared" si="12"/>
        <v>100</v>
      </c>
      <c r="T38" s="1570" t="s">
        <v>11</v>
      </c>
      <c r="U38" s="1571">
        <f t="shared" si="13"/>
        <v>100</v>
      </c>
      <c r="V38" s="1570" t="s">
        <v>11</v>
      </c>
      <c r="W38" s="1571">
        <f t="shared" si="14"/>
        <v>100</v>
      </c>
      <c r="X38" s="3197"/>
      <c r="Y38" s="3427" t="s">
        <v>549</v>
      </c>
      <c r="Z38" s="3199" t="str">
        <f t="shared" si="15"/>
        <v>物业管理</v>
      </c>
      <c r="AA38" s="3200">
        <f t="shared" si="3"/>
        <v>1</v>
      </c>
      <c r="AB38" s="3200">
        <f t="shared" si="4"/>
        <v>1</v>
      </c>
      <c r="AC38" s="3200">
        <f t="shared" si="5"/>
        <v>1</v>
      </c>
    </row>
    <row r="39" spans="1:29" ht="15">
      <c r="A39" s="593"/>
      <c r="B39" s="1892" t="s">
        <v>2563</v>
      </c>
      <c r="C39" s="598" t="s">
        <v>3121</v>
      </c>
      <c r="D39" s="539">
        <v>100</v>
      </c>
      <c r="E39" s="598" t="s">
        <v>3121</v>
      </c>
      <c r="F39" s="574">
        <f>SUMIF(116:116,E39,117:117)-SUMIF(116:116,C39,117:117)+100</f>
        <v>100</v>
      </c>
      <c r="G39" s="598" t="s">
        <v>3121</v>
      </c>
      <c r="H39" s="539">
        <f>SUMIF(116:116,G39,117:117)-SUMIF(116:116,C39,117:117)+100</f>
        <v>100</v>
      </c>
      <c r="I39" s="598" t="s">
        <v>3121</v>
      </c>
      <c r="J39" s="539">
        <f>SUMIF(116:116,I39,117:117)-SUMIF(116:116,C39,117:117)+100</f>
        <v>100</v>
      </c>
      <c r="K39" s="863">
        <v>1</v>
      </c>
      <c r="L39" s="2139"/>
      <c r="M39" s="2131"/>
      <c r="N39" s="2131"/>
      <c r="O39" s="2138"/>
      <c r="P39" s="3427"/>
      <c r="Q39" s="3198" t="str">
        <f t="shared" si="11"/>
        <v>市政基础设施</v>
      </c>
      <c r="R39" s="1570" t="s">
        <v>11</v>
      </c>
      <c r="S39" s="1571">
        <f t="shared" si="12"/>
        <v>100</v>
      </c>
      <c r="T39" s="1570" t="s">
        <v>11</v>
      </c>
      <c r="U39" s="1571">
        <f t="shared" si="13"/>
        <v>100</v>
      </c>
      <c r="V39" s="1570" t="s">
        <v>11</v>
      </c>
      <c r="W39" s="1571">
        <f t="shared" si="14"/>
        <v>100</v>
      </c>
      <c r="X39" s="3197"/>
      <c r="Y39" s="3427"/>
      <c r="Z39" s="3199" t="str">
        <f t="shared" si="15"/>
        <v>市政基础设施</v>
      </c>
      <c r="AA39" s="3200">
        <f t="shared" si="3"/>
        <v>1</v>
      </c>
      <c r="AB39" s="3200">
        <f t="shared" si="4"/>
        <v>1</v>
      </c>
      <c r="AC39" s="3200">
        <f t="shared" si="5"/>
        <v>1</v>
      </c>
    </row>
    <row r="40" spans="1:29" ht="15">
      <c r="A40" s="593"/>
      <c r="B40" s="527" t="s">
        <v>731</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v>1</v>
      </c>
      <c r="L40" s="2139"/>
      <c r="M40" s="2131"/>
      <c r="N40" s="2131"/>
      <c r="O40" s="2138"/>
      <c r="P40" s="3427"/>
      <c r="Q40" s="3198" t="str">
        <f t="shared" si="11"/>
        <v>房型</v>
      </c>
      <c r="R40" s="1570" t="s">
        <v>11</v>
      </c>
      <c r="S40" s="1571">
        <f t="shared" si="12"/>
        <v>100</v>
      </c>
      <c r="T40" s="1570" t="s">
        <v>11</v>
      </c>
      <c r="U40" s="1571">
        <f t="shared" si="13"/>
        <v>100</v>
      </c>
      <c r="V40" s="1570" t="s">
        <v>11</v>
      </c>
      <c r="W40" s="1571">
        <f t="shared" si="14"/>
        <v>100</v>
      </c>
      <c r="X40" s="3197"/>
      <c r="Y40" s="3427"/>
      <c r="Z40" s="3199" t="str">
        <f t="shared" si="15"/>
        <v>房型</v>
      </c>
      <c r="AA40" s="3200">
        <f t="shared" si="3"/>
        <v>1</v>
      </c>
      <c r="AB40" s="3200">
        <f t="shared" si="4"/>
        <v>1</v>
      </c>
      <c r="AC40" s="3200">
        <f t="shared" si="5"/>
        <v>1</v>
      </c>
    </row>
    <row r="41" spans="1:29" s="1338" customFormat="1" ht="28.8">
      <c r="A41" s="602"/>
      <c r="B41" s="527" t="s">
        <v>732</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37"/>
      <c r="M41" s="2168"/>
      <c r="N41" s="2168"/>
      <c r="O41" s="2140"/>
      <c r="P41" s="3427"/>
      <c r="Q41" s="1602" t="str">
        <f t="shared" si="11"/>
        <v>单套/主力户型建筑面积</v>
      </c>
      <c r="R41" s="1574" t="s">
        <v>11</v>
      </c>
      <c r="S41" s="1575">
        <f t="shared" si="12"/>
        <v>100</v>
      </c>
      <c r="T41" s="1574" t="s">
        <v>11</v>
      </c>
      <c r="U41" s="1575">
        <f t="shared" si="13"/>
        <v>100</v>
      </c>
      <c r="V41" s="1574" t="s">
        <v>11</v>
      </c>
      <c r="W41" s="1575">
        <f t="shared" si="14"/>
        <v>100</v>
      </c>
      <c r="X41" s="1576"/>
      <c r="Y41" s="3427"/>
      <c r="Z41" s="1577" t="str">
        <f t="shared" si="15"/>
        <v>单套/主力户型建筑面积</v>
      </c>
      <c r="AA41" s="3200">
        <f t="shared" si="3"/>
        <v>1</v>
      </c>
      <c r="AB41" s="3200">
        <f t="shared" si="4"/>
        <v>1</v>
      </c>
      <c r="AC41" s="3200">
        <f t="shared" si="5"/>
        <v>1</v>
      </c>
    </row>
    <row r="42" spans="1:29" ht="15">
      <c r="A42" s="593"/>
      <c r="B42" s="527" t="s">
        <v>733</v>
      </c>
      <c r="C42" s="3212" t="s">
        <v>3122</v>
      </c>
      <c r="D42" s="539">
        <v>100</v>
      </c>
      <c r="E42" s="873" t="s">
        <v>3108</v>
      </c>
      <c r="F42" s="574">
        <f>SUMIF(122:122,E42,123:123)-SUMIF(122:122,C42,123:123)+100</f>
        <v>92.5</v>
      </c>
      <c r="G42" s="598" t="s">
        <v>3108</v>
      </c>
      <c r="H42" s="539">
        <f>SUMIF(122:122,G42,123:123)-SUMIF(122:122,C42,123:123)+100</f>
        <v>92.5</v>
      </c>
      <c r="I42" s="873" t="s">
        <v>3108</v>
      </c>
      <c r="J42" s="539">
        <f>SUMIF(122:122,I42,123:123)-SUMIF(122:122,C42,123:123)+100</f>
        <v>92.5</v>
      </c>
      <c r="K42" s="863">
        <v>2.5</v>
      </c>
      <c r="L42" s="2139"/>
      <c r="M42" s="2131"/>
      <c r="N42" s="2131"/>
      <c r="O42" s="2138"/>
      <c r="P42" s="3427"/>
      <c r="Q42" s="3198" t="str">
        <f t="shared" si="11"/>
        <v>内部装修</v>
      </c>
      <c r="R42" s="1570" t="s">
        <v>11</v>
      </c>
      <c r="S42" s="1571">
        <f t="shared" si="12"/>
        <v>92.5</v>
      </c>
      <c r="T42" s="1570" t="s">
        <v>11</v>
      </c>
      <c r="U42" s="1571">
        <f t="shared" si="13"/>
        <v>92.5</v>
      </c>
      <c r="V42" s="1570" t="s">
        <v>11</v>
      </c>
      <c r="W42" s="1571">
        <f t="shared" si="14"/>
        <v>92.5</v>
      </c>
      <c r="X42" s="3197"/>
      <c r="Y42" s="3427"/>
      <c r="Z42" s="3199" t="str">
        <f t="shared" si="15"/>
        <v>内部装修</v>
      </c>
      <c r="AA42" s="3200">
        <f t="shared" si="3"/>
        <v>1.0810810810810811</v>
      </c>
      <c r="AB42" s="3200">
        <f t="shared" si="4"/>
        <v>1.0810810810810811</v>
      </c>
      <c r="AC42" s="3200">
        <f t="shared" si="5"/>
        <v>1.0810810810810811</v>
      </c>
    </row>
    <row r="43" spans="1:29" ht="28.8">
      <c r="A43" s="593"/>
      <c r="B43" s="527"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27"/>
      <c r="Q43" s="3198" t="str">
        <f t="shared" si="11"/>
        <v>内部装修维护情况</v>
      </c>
      <c r="R43" s="1570" t="s">
        <v>11</v>
      </c>
      <c r="S43" s="1571">
        <f t="shared" si="12"/>
        <v>100</v>
      </c>
      <c r="T43" s="1570" t="s">
        <v>11</v>
      </c>
      <c r="U43" s="1571">
        <f t="shared" si="13"/>
        <v>100</v>
      </c>
      <c r="V43" s="1570" t="s">
        <v>11</v>
      </c>
      <c r="W43" s="1571">
        <f t="shared" si="14"/>
        <v>100</v>
      </c>
      <c r="X43" s="3197"/>
      <c r="Y43" s="3427"/>
      <c r="Z43" s="3199" t="str">
        <f t="shared" si="15"/>
        <v>内部装修维护情况</v>
      </c>
      <c r="AA43" s="3200">
        <f t="shared" si="3"/>
        <v>1</v>
      </c>
      <c r="AB43" s="3200">
        <f t="shared" si="4"/>
        <v>1</v>
      </c>
      <c r="AC43" s="3200">
        <f t="shared" si="5"/>
        <v>1</v>
      </c>
    </row>
    <row r="44" spans="1:29" s="1219" customFormat="1" ht="15">
      <c r="A44" s="599"/>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2"/>
      <c r="M44" s="2133"/>
      <c r="N44" s="2133"/>
      <c r="O44" s="2134"/>
      <c r="P44" s="3427"/>
      <c r="Q44" s="3192">
        <f t="shared" si="11"/>
        <v>111</v>
      </c>
      <c r="R44" s="1565" t="s">
        <v>11</v>
      </c>
      <c r="S44" s="1566">
        <f t="shared" si="12"/>
        <v>100</v>
      </c>
      <c r="T44" s="1565" t="s">
        <v>11</v>
      </c>
      <c r="U44" s="1566">
        <f t="shared" si="13"/>
        <v>100</v>
      </c>
      <c r="V44" s="1565" t="s">
        <v>11</v>
      </c>
      <c r="W44" s="1566">
        <f t="shared" si="14"/>
        <v>100</v>
      </c>
      <c r="X44" s="1567"/>
      <c r="Y44" s="3427"/>
      <c r="Z44" s="3190">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27"/>
      <c r="Q45" s="3198">
        <f t="shared" si="11"/>
        <v>111</v>
      </c>
      <c r="R45" s="1570" t="s">
        <v>11</v>
      </c>
      <c r="S45" s="1571">
        <f t="shared" si="12"/>
        <v>100</v>
      </c>
      <c r="T45" s="1570" t="s">
        <v>11</v>
      </c>
      <c r="U45" s="1571">
        <f t="shared" si="13"/>
        <v>100</v>
      </c>
      <c r="V45" s="1570" t="s">
        <v>11</v>
      </c>
      <c r="W45" s="1571">
        <f t="shared" si="14"/>
        <v>100</v>
      </c>
      <c r="X45" s="3197"/>
      <c r="Y45" s="3427"/>
      <c r="Z45" s="3199">
        <f t="shared" si="15"/>
        <v>111</v>
      </c>
      <c r="AA45" s="3200">
        <f t="shared" si="3"/>
        <v>1</v>
      </c>
      <c r="AB45" s="3200">
        <f t="shared" si="4"/>
        <v>1</v>
      </c>
      <c r="AC45" s="3200">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1"/>
      <c r="Q46" s="3198">
        <f t="shared" si="11"/>
        <v>111</v>
      </c>
      <c r="R46" s="1570" t="s">
        <v>10</v>
      </c>
      <c r="S46" s="1571">
        <f t="shared" si="12"/>
        <v>100</v>
      </c>
      <c r="T46" s="1570" t="s">
        <v>10</v>
      </c>
      <c r="U46" s="1571">
        <f t="shared" si="13"/>
        <v>100</v>
      </c>
      <c r="V46" s="1570" t="s">
        <v>10</v>
      </c>
      <c r="W46" s="1571">
        <f t="shared" si="14"/>
        <v>100</v>
      </c>
      <c r="X46" s="3197"/>
      <c r="Y46" s="3511"/>
      <c r="Z46" s="3199">
        <f t="shared" si="15"/>
        <v>111</v>
      </c>
      <c r="AA46" s="3200">
        <f t="shared" si="3"/>
        <v>1</v>
      </c>
      <c r="AB46" s="3200">
        <f t="shared" si="4"/>
        <v>1</v>
      </c>
      <c r="AC46" s="3200">
        <f t="shared" si="5"/>
        <v>1</v>
      </c>
    </row>
    <row r="47" spans="1:29" ht="14.4">
      <c r="A47" s="606" t="s">
        <v>735</v>
      </c>
      <c r="B47" s="886"/>
      <c r="C47" s="2648" t="s">
        <v>9</v>
      </c>
      <c r="D47" s="2649"/>
      <c r="E47" s="2650">
        <v>19512</v>
      </c>
      <c r="F47" s="2651"/>
      <c r="G47" s="2652">
        <v>17500</v>
      </c>
      <c r="H47" s="2653"/>
      <c r="I47" s="2650">
        <v>15628</v>
      </c>
      <c r="J47" s="2653"/>
      <c r="K47" s="1603"/>
      <c r="L47" s="2141"/>
      <c r="M47" s="2142"/>
      <c r="N47" s="2131"/>
      <c r="O47" s="2142"/>
      <c r="P47" s="3388" t="str">
        <f>A47</f>
        <v>成交单价（元/平方米）</v>
      </c>
      <c r="Q47" s="3388"/>
      <c r="R47" s="3512">
        <f>E47</f>
        <v>19512</v>
      </c>
      <c r="S47" s="3512"/>
      <c r="T47" s="3512">
        <f>G47</f>
        <v>17500</v>
      </c>
      <c r="U47" s="3512"/>
      <c r="V47" s="3512">
        <f>I47</f>
        <v>15628</v>
      </c>
      <c r="W47" s="3512"/>
      <c r="X47" s="1556"/>
      <c r="Y47" s="1578"/>
      <c r="Z47" s="1556"/>
      <c r="AA47" s="1556"/>
      <c r="AB47" s="1556"/>
      <c r="AC47" s="1556"/>
    </row>
    <row r="48" spans="1:29" ht="15" thickBot="1">
      <c r="A48" s="614" t="s">
        <v>2691</v>
      </c>
      <c r="B48" s="887"/>
      <c r="C48" s="2654">
        <f>R49</f>
        <v>18172</v>
      </c>
      <c r="D48" s="2655"/>
      <c r="E48" s="2656">
        <f>R48</f>
        <v>19379</v>
      </c>
      <c r="F48" s="2656"/>
      <c r="G48" s="2654">
        <f>T48</f>
        <v>18055</v>
      </c>
      <c r="H48" s="2655"/>
      <c r="I48" s="2656">
        <f>V48</f>
        <v>17083</v>
      </c>
      <c r="J48" s="2655"/>
      <c r="K48" s="1604"/>
      <c r="L48" s="2141"/>
      <c r="M48" s="2142"/>
      <c r="N48" s="2142"/>
      <c r="O48" s="2142"/>
      <c r="P48" s="3388" t="str">
        <f>A48</f>
        <v>比较价格（元/平方米）</v>
      </c>
      <c r="Q48" s="3388"/>
      <c r="R48" s="3512">
        <f>IF(F1="售价",ROUND(PRODUCT(R47,AA7:AA46),0),ROUND(PRODUCT(R47,AA7:AA46),1))</f>
        <v>19379</v>
      </c>
      <c r="S48" s="3512"/>
      <c r="T48" s="3512">
        <f>IF(F1="售价",ROUND(PRODUCT(T47,AB7:AB46),0),ROUND(PRODUCT(T47,AB7:AB46),1))</f>
        <v>18055</v>
      </c>
      <c r="U48" s="3512"/>
      <c r="V48" s="3512">
        <f>IF(F1="售价",ROUND(PRODUCT(V47,AC7:AC46),0),ROUND(PRODUCT(V47,AC7:AC46),1))</f>
        <v>17083</v>
      </c>
      <c r="W48" s="3512"/>
      <c r="X48" s="1556"/>
      <c r="Y48" s="1556"/>
      <c r="Z48" s="1556"/>
      <c r="AA48" s="1556"/>
      <c r="AB48" s="1556"/>
      <c r="AC48" s="1556"/>
    </row>
    <row r="49" spans="1:29" ht="15" thickBot="1">
      <c r="A49" s="620" t="s">
        <v>2931</v>
      </c>
      <c r="B49" s="621"/>
      <c r="C49" s="2657">
        <f>R49</f>
        <v>18172</v>
      </c>
      <c r="D49" s="2657"/>
      <c r="E49" s="2657"/>
      <c r="F49" s="2657"/>
      <c r="G49" s="2657"/>
      <c r="H49" s="2657"/>
      <c r="I49" s="2657"/>
      <c r="J49" s="2657"/>
      <c r="K49" s="1605"/>
      <c r="L49" s="2141"/>
      <c r="M49" s="2142"/>
      <c r="N49" s="2142"/>
      <c r="O49" s="2142"/>
      <c r="P49" s="3385" t="str">
        <f>A49</f>
        <v>估价对象XX用房的比较价格（楼面单价，元/平方米）</v>
      </c>
      <c r="Q49" s="3386"/>
      <c r="R49" s="3513">
        <f>IF(F1="售价",ROUND(AVERAGE(R48:V48),0),ROUND(AVERAGE(R48:V48),1))</f>
        <v>18172</v>
      </c>
      <c r="S49" s="3513"/>
      <c r="T49" s="3513"/>
      <c r="U49" s="3513"/>
      <c r="V49" s="3513"/>
      <c r="W49" s="3513"/>
      <c r="X49" s="1556"/>
      <c r="Y49" s="1556"/>
      <c r="Z49" s="1556"/>
      <c r="AA49" s="1556"/>
      <c r="AB49" s="1556"/>
      <c r="AC49" s="1556"/>
    </row>
    <row r="50" spans="1:29">
      <c r="A50" s="2142"/>
      <c r="B50" s="2142"/>
      <c r="C50" s="2142"/>
      <c r="D50" s="2142"/>
      <c r="E50" s="2142" t="s">
        <v>3100</v>
      </c>
      <c r="F50" s="2142"/>
      <c r="G50" s="2145" t="s">
        <v>3101</v>
      </c>
      <c r="H50" s="2142"/>
      <c r="I50" s="2142" t="s">
        <v>3102</v>
      </c>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f>IF(E47&lt;E48,E48/E47-1,E47/E48-1)</f>
        <v>6.8630992311264905E-3</v>
      </c>
      <c r="F52" s="626" t="str">
        <f>IF(OR(E52&gt;=0.3,E52&lt;=-0.3),"超过30%","")</f>
        <v/>
      </c>
      <c r="G52" s="625">
        <f>IF(G47&lt;G48,G48/G47-1,G47/G48-1)</f>
        <v>3.1714285714285806E-2</v>
      </c>
      <c r="H52" s="626" t="str">
        <f>IF(OR(G52&gt;=0.3,G52&lt;=-0.3),"超过30%","")</f>
        <v/>
      </c>
      <c r="I52" s="625">
        <f>IF(I47&lt;I48,I48/I47-1,I47/I48-1)</f>
        <v>9.3102124392116625E-2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f>IF(E48&lt;G48,G48/E48-1,E48/G48-1)</f>
        <v>7.3331487122680672E-2</v>
      </c>
      <c r="F53" s="626" t="str">
        <f>IF(OR(E53&gt;=0.2,E53&lt;=-0.2),"超过20%","")</f>
        <v/>
      </c>
      <c r="G53" s="625">
        <f>IF(G48&lt;I48,I48/G48-1,G48/I48-1)</f>
        <v>5.689867119358416E-2</v>
      </c>
      <c r="H53" s="626" t="str">
        <f>IF(OR(G53&gt;=0.2,G53&lt;=-0.2),"超过20%","")</f>
        <v/>
      </c>
      <c r="I53" s="625">
        <f>IF(I48&lt;E48,E48/I48-1,I48/E48-1)</f>
        <v>0.13440262249019486</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f>IF(E47&lt;G47,G47/E47-1,E47/G47-1)</f>
        <v>0.1149714285714285</v>
      </c>
      <c r="F54" s="626" t="str">
        <f>IF(OR(E54&gt;=0.3,E54&lt;=-0.3),"超过30%","")</f>
        <v/>
      </c>
      <c r="G54" s="625">
        <f>IF(G47&lt;I47,I47/G47-1,G47/I47-1)</f>
        <v>0.11978500127975433</v>
      </c>
      <c r="H54" s="626" t="str">
        <f>IF(OR(G54&gt;=0.3,G54&lt;=-0.3),"超过30%","")</f>
        <v/>
      </c>
      <c r="I54" s="625">
        <f>IF(I47&lt;E47,E47/I47-1,I47/E47-1)</f>
        <v>0.24852828256974657</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4.4">
      <c r="A58" s="644" t="s">
        <v>528</v>
      </c>
      <c r="B58" s="645"/>
      <c r="C58" s="2825" t="str">
        <f>YEAR(C7)&amp;"-"&amp;MONTH(C7)</f>
        <v>2019-2</v>
      </c>
      <c r="D58" s="2825">
        <f>EDATE(C58,-1)</f>
        <v>43466</v>
      </c>
      <c r="E58" s="2825">
        <f t="shared" ref="E58:O58" si="16">EDATE(D58,-1)</f>
        <v>43435</v>
      </c>
      <c r="F58" s="2825">
        <f t="shared" si="16"/>
        <v>43405</v>
      </c>
      <c r="G58" s="2825">
        <f t="shared" si="16"/>
        <v>43374</v>
      </c>
      <c r="H58" s="2825">
        <f t="shared" si="16"/>
        <v>43344</v>
      </c>
      <c r="I58" s="2825">
        <f t="shared" si="16"/>
        <v>43313</v>
      </c>
      <c r="J58" s="2825">
        <f t="shared" si="16"/>
        <v>43282</v>
      </c>
      <c r="K58" s="2825">
        <f t="shared" si="16"/>
        <v>43252</v>
      </c>
      <c r="L58" s="2825">
        <f t="shared" si="16"/>
        <v>43221</v>
      </c>
      <c r="M58" s="2825">
        <f t="shared" si="16"/>
        <v>43191</v>
      </c>
      <c r="N58" s="2825">
        <f t="shared" si="16"/>
        <v>43160</v>
      </c>
      <c r="O58" s="2825">
        <f t="shared" si="16"/>
        <v>43132</v>
      </c>
      <c r="P58" s="2157"/>
      <c r="Q58" s="2158"/>
      <c r="R58" s="2158"/>
      <c r="S58" s="2158"/>
      <c r="T58" s="2158"/>
      <c r="U58" s="2158"/>
      <c r="V58" s="2158"/>
      <c r="W58" s="2158"/>
      <c r="X58" s="2158"/>
      <c r="Y58" s="2158"/>
      <c r="Z58" s="2158"/>
      <c r="AA58" s="2158"/>
      <c r="AB58" s="2158"/>
      <c r="AC58" s="2158"/>
    </row>
    <row r="59" spans="1:29" s="1219" customFormat="1">
      <c r="A59" s="646"/>
      <c r="B59" s="647"/>
      <c r="C59" s="648">
        <v>100</v>
      </c>
      <c r="D59" s="649">
        <v>100</v>
      </c>
      <c r="E59" s="649">
        <v>100</v>
      </c>
      <c r="F59" s="649">
        <v>99.5</v>
      </c>
      <c r="G59" s="649">
        <v>99.5</v>
      </c>
      <c r="H59" s="649">
        <v>99.5</v>
      </c>
      <c r="I59" s="649">
        <v>99</v>
      </c>
      <c r="J59" s="649">
        <f t="shared" ref="J59" si="17">I59-$C$60</f>
        <v>98.5</v>
      </c>
      <c r="K59" s="649">
        <v>99</v>
      </c>
      <c r="L59" s="649">
        <v>99</v>
      </c>
      <c r="M59" s="649"/>
      <c r="N59" s="649"/>
      <c r="O59" s="649"/>
      <c r="P59" s="2155"/>
      <c r="Q59" s="1990"/>
      <c r="R59" s="1990"/>
      <c r="S59" s="1990"/>
      <c r="T59" s="1990"/>
      <c r="U59" s="1990"/>
      <c r="V59" s="1990"/>
      <c r="W59" s="1990"/>
      <c r="X59" s="1990"/>
      <c r="Y59" s="1990"/>
      <c r="Z59" s="1990"/>
      <c r="AA59" s="1990"/>
      <c r="AB59" s="1990"/>
      <c r="AC59" s="1990"/>
    </row>
    <row r="60" spans="1:29" s="1219" customFormat="1" ht="15" thickBot="1">
      <c r="A60" s="652" t="s">
        <v>574</v>
      </c>
      <c r="B60" s="653"/>
      <c r="C60" s="654">
        <v>0.5</v>
      </c>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4.4">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4.4"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576</v>
      </c>
      <c r="B63" s="664" t="s">
        <v>533</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v>100</v>
      </c>
      <c r="D64" s="670"/>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8">C66-$K10</f>
        <v>99.5</v>
      </c>
      <c r="E66" s="678">
        <f t="shared" si="18"/>
        <v>99</v>
      </c>
      <c r="F66" s="678">
        <f t="shared" si="18"/>
        <v>98.5</v>
      </c>
      <c r="G66" s="678">
        <f t="shared" si="18"/>
        <v>98</v>
      </c>
      <c r="H66" s="678">
        <f t="shared" si="18"/>
        <v>97.5</v>
      </c>
      <c r="I66" s="678">
        <f t="shared" si="18"/>
        <v>97</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537</v>
      </c>
      <c r="C67" s="681" t="str">
        <f>C68&amp;"（含）"&amp;"-"&amp;D68</f>
        <v>0（含）-0.5</v>
      </c>
      <c r="D67" s="681" t="str">
        <f t="shared" ref="D67:L67" si="19">D68&amp;"（含）"&amp;"-"&amp;E68</f>
        <v>0.5（含）-1</v>
      </c>
      <c r="E67" s="681" t="str">
        <f t="shared" si="19"/>
        <v>1（含）-1.5</v>
      </c>
      <c r="F67" s="681" t="str">
        <f t="shared" si="19"/>
        <v>1.5（含）-2</v>
      </c>
      <c r="G67" s="681" t="str">
        <f t="shared" si="19"/>
        <v>2（含）-2.5</v>
      </c>
      <c r="H67" s="681" t="str">
        <f t="shared" si="19"/>
        <v>2.5（含）-3</v>
      </c>
      <c r="I67" s="681" t="str">
        <f t="shared" si="19"/>
        <v>3（含）-</v>
      </c>
      <c r="J67" s="681" t="str">
        <f t="shared" si="19"/>
        <v>（含）-</v>
      </c>
      <c r="K67" s="681" t="str">
        <f t="shared" si="19"/>
        <v>（含）-</v>
      </c>
      <c r="L67" s="681" t="str">
        <f t="shared" si="19"/>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0.5</v>
      </c>
      <c r="E68" s="540">
        <v>1</v>
      </c>
      <c r="F68" s="540">
        <v>1.5</v>
      </c>
      <c r="G68" s="540">
        <v>2</v>
      </c>
      <c r="H68" s="540">
        <v>2.5</v>
      </c>
      <c r="I68" s="540">
        <v>3</v>
      </c>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63"/>
      <c r="O69" s="2163"/>
      <c r="P69" s="2162"/>
      <c r="Q69" s="2155"/>
      <c r="R69" s="2142"/>
      <c r="S69" s="2142"/>
      <c r="T69" s="2142"/>
      <c r="U69" s="2142"/>
      <c r="V69" s="2142"/>
      <c r="W69" s="2142"/>
      <c r="X69" s="2142"/>
      <c r="Y69" s="2142"/>
      <c r="Z69" s="2142"/>
      <c r="AA69" s="2142"/>
      <c r="AB69" s="2142"/>
      <c r="AC69" s="2142"/>
    </row>
    <row r="70" spans="1:29" s="1338"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95</v>
      </c>
      <c r="E77" s="678">
        <f>D77-$K15</f>
        <v>90</v>
      </c>
      <c r="F77" s="678">
        <f>E77-$K15</f>
        <v>85</v>
      </c>
      <c r="G77" s="678">
        <f>F77-$K15</f>
        <v>80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2318</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2546</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 thickTop="1">
      <c r="A86" s="708"/>
      <c r="B86" s="1893" t="s">
        <v>2258</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4.4"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3"/>
      <c r="O87" s="2163"/>
      <c r="P87" s="2162"/>
      <c r="Q87" s="2155"/>
      <c r="R87" s="1990"/>
      <c r="S87" s="1990"/>
      <c r="T87" s="1990"/>
      <c r="U87" s="1990"/>
      <c r="V87" s="1990"/>
      <c r="W87" s="1990"/>
      <c r="X87" s="1990"/>
      <c r="Y87" s="1990"/>
      <c r="Z87" s="1990"/>
      <c r="AA87" s="1990"/>
      <c r="AB87" s="1990"/>
      <c r="AC87" s="1990"/>
    </row>
    <row r="88" spans="1:29" s="1219" customFormat="1" ht="15" thickTop="1">
      <c r="A88" s="708"/>
      <c r="B88" s="672" t="s">
        <v>745</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4.4"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3"/>
      <c r="O89" s="2163"/>
      <c r="P89" s="2162"/>
      <c r="Q89" s="2155"/>
      <c r="R89" s="1990"/>
      <c r="S89" s="1990"/>
      <c r="T89" s="1990"/>
      <c r="U89" s="1990"/>
      <c r="V89" s="1990"/>
      <c r="W89" s="1990"/>
      <c r="X89" s="1990"/>
      <c r="Y89" s="1990"/>
      <c r="Z89" s="1990"/>
      <c r="AA89" s="1990"/>
      <c r="AB89" s="1990"/>
      <c r="AC89" s="1990"/>
    </row>
    <row r="90" spans="1:29" s="1338" customFormat="1" ht="15" thickTop="1">
      <c r="A90" s="686"/>
      <c r="B90" s="672" t="str">
        <f>B27</f>
        <v>道路级别</v>
      </c>
      <c r="C90" s="3180" t="s">
        <v>3067</v>
      </c>
      <c r="D90" s="3180" t="s">
        <v>3068</v>
      </c>
      <c r="E90" s="3180" t="s">
        <v>3069</v>
      </c>
      <c r="F90" s="3180" t="s">
        <v>3070</v>
      </c>
      <c r="G90" s="3180" t="s">
        <v>3071</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4.4"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550</v>
      </c>
      <c r="B100" s="664" t="s">
        <v>746</v>
      </c>
      <c r="C100" s="3179" t="s">
        <v>3517</v>
      </c>
      <c r="D100" s="3179" t="s">
        <v>3513</v>
      </c>
      <c r="E100" s="3179" t="s">
        <v>3359</v>
      </c>
      <c r="F100" s="3179" t="s">
        <v>3514</v>
      </c>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3">C101-$K32</f>
        <v>93</v>
      </c>
      <c r="E101" s="678">
        <f t="shared" si="23"/>
        <v>86</v>
      </c>
      <c r="F101" s="678">
        <f t="shared" si="23"/>
        <v>79</v>
      </c>
      <c r="G101" s="678">
        <f t="shared" si="23"/>
        <v>72</v>
      </c>
      <c r="H101" s="678">
        <f t="shared" si="23"/>
        <v>65</v>
      </c>
      <c r="I101" s="678">
        <f t="shared" si="23"/>
        <v>58</v>
      </c>
      <c r="J101" s="678">
        <f t="shared" si="23"/>
        <v>51</v>
      </c>
      <c r="K101" s="678">
        <f t="shared" si="23"/>
        <v>44</v>
      </c>
      <c r="L101" s="678">
        <f t="shared" si="23"/>
        <v>37</v>
      </c>
      <c r="M101" s="678">
        <f t="shared" si="23"/>
        <v>30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747</v>
      </c>
      <c r="C102" s="707" t="str">
        <f>C103&amp;"(含)"&amp;"-"&amp;D103</f>
        <v>0(含)-100000</v>
      </c>
      <c r="D102" s="707" t="str">
        <f t="shared" ref="D102:L102" si="24">D103&amp;"(含)"&amp;"-"&amp;E103</f>
        <v>100000(含)-200000</v>
      </c>
      <c r="E102" s="707" t="str">
        <f t="shared" si="24"/>
        <v>200000(含)-300000</v>
      </c>
      <c r="F102" s="707" t="str">
        <f t="shared" si="24"/>
        <v>300000(含)-400000</v>
      </c>
      <c r="G102" s="707" t="str">
        <f t="shared" si="24"/>
        <v>400000(含)-500000</v>
      </c>
      <c r="H102" s="707" t="str">
        <f t="shared" si="24"/>
        <v>500000(含)-600000</v>
      </c>
      <c r="I102" s="707" t="str">
        <f t="shared" si="24"/>
        <v>600000(含)-700000</v>
      </c>
      <c r="J102" s="707" t="str">
        <f t="shared" si="24"/>
        <v>700000(含)-</v>
      </c>
      <c r="K102" s="707" t="str">
        <f t="shared" si="24"/>
        <v>(含)-</v>
      </c>
      <c r="L102" s="707" t="str">
        <f t="shared" si="24"/>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v>0</v>
      </c>
      <c r="D103" s="729">
        <v>100000</v>
      </c>
      <c r="E103" s="729">
        <v>200000</v>
      </c>
      <c r="F103" s="729">
        <v>300000</v>
      </c>
      <c r="G103" s="729">
        <v>400000</v>
      </c>
      <c r="H103" s="729">
        <v>500000</v>
      </c>
      <c r="I103" s="729">
        <v>600000</v>
      </c>
      <c r="J103" s="730">
        <v>700000</v>
      </c>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4.4" thickBot="1">
      <c r="A104" s="686"/>
      <c r="B104" s="677"/>
      <c r="C104" s="691">
        <v>100</v>
      </c>
      <c r="D104" s="670">
        <v>101</v>
      </c>
      <c r="E104" s="670">
        <v>102</v>
      </c>
      <c r="F104" s="691">
        <v>103</v>
      </c>
      <c r="G104" s="670">
        <v>104</v>
      </c>
      <c r="H104" s="670">
        <v>105</v>
      </c>
      <c r="I104" s="691">
        <v>106</v>
      </c>
      <c r="J104" s="670">
        <v>107</v>
      </c>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3180" t="s">
        <v>3117</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749</v>
      </c>
      <c r="C107" s="3180" t="s">
        <v>3112</v>
      </c>
      <c r="D107" s="3180" t="s">
        <v>3113</v>
      </c>
      <c r="E107" s="3183" t="s">
        <v>3114</v>
      </c>
      <c r="F107" s="3183" t="s">
        <v>3115</v>
      </c>
      <c r="G107" s="3183" t="s">
        <v>3116</v>
      </c>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750</v>
      </c>
      <c r="C109" s="3180" t="s">
        <v>3105</v>
      </c>
      <c r="D109" s="3180" t="s">
        <v>3106</v>
      </c>
      <c r="E109" s="3180" t="s">
        <v>3107</v>
      </c>
      <c r="F109" s="3183" t="s">
        <v>3109</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3"/>
      <c r="O110" s="2163"/>
      <c r="P110" s="2162"/>
      <c r="Q110" s="2155"/>
      <c r="R110" s="2142"/>
      <c r="S110" s="2142"/>
      <c r="T110" s="2142"/>
      <c r="U110" s="2142"/>
      <c r="V110" s="2142"/>
      <c r="W110" s="2142"/>
      <c r="X110" s="2142"/>
      <c r="Y110" s="2142"/>
      <c r="Z110" s="2142"/>
      <c r="AA110" s="2142"/>
      <c r="AB110" s="2142"/>
      <c r="AC110" s="2142"/>
    </row>
    <row r="111" spans="1:29" s="1338"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8"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8"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752</v>
      </c>
      <c r="C114" s="3180" t="s">
        <v>3112</v>
      </c>
      <c r="D114" s="3180" t="s">
        <v>3113</v>
      </c>
      <c r="E114" s="3183" t="s">
        <v>3114</v>
      </c>
      <c r="F114" s="3183" t="s">
        <v>3115</v>
      </c>
      <c r="G114" s="3183" t="s">
        <v>3116</v>
      </c>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2555</v>
      </c>
      <c r="C116" s="3180" t="s">
        <v>3123</v>
      </c>
      <c r="D116" s="3180" t="s">
        <v>2559</v>
      </c>
      <c r="E116" s="3180" t="s">
        <v>2560</v>
      </c>
      <c r="F116" s="3180" t="s">
        <v>2561</v>
      </c>
      <c r="G116" s="3180" t="s">
        <v>3127</v>
      </c>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753</v>
      </c>
      <c r="C118" s="3183" t="s">
        <v>3110</v>
      </c>
      <c r="D118" s="3183" t="s">
        <v>3111</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29">C119-$K40</f>
        <v>99</v>
      </c>
      <c r="E119" s="678">
        <f t="shared" si="29"/>
        <v>98</v>
      </c>
      <c r="F119" s="678">
        <f t="shared" si="29"/>
        <v>97</v>
      </c>
      <c r="G119" s="678">
        <f t="shared" si="29"/>
        <v>96</v>
      </c>
      <c r="H119" s="678">
        <f t="shared" si="29"/>
        <v>95</v>
      </c>
      <c r="I119" s="678">
        <f t="shared" si="29"/>
        <v>94</v>
      </c>
      <c r="J119" s="678">
        <f t="shared" si="29"/>
        <v>93</v>
      </c>
      <c r="K119" s="678">
        <f t="shared" si="29"/>
        <v>92</v>
      </c>
      <c r="L119" s="678">
        <f t="shared" si="29"/>
        <v>91</v>
      </c>
      <c r="M119" s="678">
        <f t="shared" si="29"/>
        <v>90</v>
      </c>
      <c r="N119" s="2163"/>
      <c r="O119" s="2163"/>
      <c r="P119" s="2162"/>
      <c r="Q119" s="2155"/>
      <c r="R119" s="2142"/>
      <c r="S119" s="2142"/>
      <c r="T119" s="2142"/>
      <c r="U119" s="2142"/>
      <c r="V119" s="2142"/>
      <c r="W119" s="2142"/>
      <c r="X119" s="2142"/>
      <c r="Y119" s="2142"/>
      <c r="Z119" s="2142"/>
      <c r="AA119" s="2142"/>
      <c r="AB119" s="2142"/>
      <c r="AC119" s="2142"/>
    </row>
    <row r="120" spans="1:29" s="1338" customFormat="1" ht="29.4" thickTop="1">
      <c r="A120" s="727"/>
      <c r="B120" s="672" t="s">
        <v>732</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8"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3180" t="s">
        <v>3105</v>
      </c>
      <c r="D122" s="3180" t="s">
        <v>3106</v>
      </c>
      <c r="E122" s="3180" t="s">
        <v>3107</v>
      </c>
      <c r="F122" s="3183" t="s">
        <v>3109</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30">C123-$K42</f>
        <v>97.5</v>
      </c>
      <c r="E123" s="678">
        <f t="shared" si="30"/>
        <v>95</v>
      </c>
      <c r="F123" s="678">
        <f t="shared" si="30"/>
        <v>92.5</v>
      </c>
      <c r="G123" s="678">
        <f t="shared" si="30"/>
        <v>90</v>
      </c>
      <c r="H123" s="678">
        <f t="shared" si="30"/>
        <v>87.5</v>
      </c>
      <c r="I123" s="678">
        <f t="shared" si="30"/>
        <v>85</v>
      </c>
      <c r="J123" s="678">
        <f t="shared" si="30"/>
        <v>82.5</v>
      </c>
      <c r="K123" s="678">
        <f t="shared" si="30"/>
        <v>80</v>
      </c>
      <c r="L123" s="678">
        <f t="shared" si="30"/>
        <v>77.5</v>
      </c>
      <c r="M123" s="678">
        <f t="shared" si="30"/>
        <v>75</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2270</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2273</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2274</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2275</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N22" sqref="N22"/>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5.44140625" style="1336" customWidth="1"/>
    <col min="6" max="6" width="12.21875" style="1336" customWidth="1"/>
    <col min="7" max="7" width="16.21875" style="1336" customWidth="1"/>
    <col min="8" max="8" width="12.21875" style="1336" customWidth="1"/>
    <col min="9" max="9" width="15.8867187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2644" t="s">
        <v>718</v>
      </c>
      <c r="C1" s="2645" t="s">
        <v>719</v>
      </c>
      <c r="D1" s="2646" t="s">
        <v>3130</v>
      </c>
      <c r="E1" s="2647"/>
      <c r="F1" s="2828" t="s">
        <v>3099</v>
      </c>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3" t="s">
        <v>466</v>
      </c>
      <c r="B2" s="2643">
        <f>ROUND(B3*D3/10000,0)</f>
        <v>180616</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1" customFormat="1" ht="28.5" customHeight="1" thickBot="1">
      <c r="A3" s="509" t="s">
        <v>518</v>
      </c>
      <c r="B3" s="850">
        <f>C49</f>
        <v>14678</v>
      </c>
      <c r="C3" s="851" t="s">
        <v>721</v>
      </c>
      <c r="D3" s="850">
        <f>SUMIF('数据-汇总表'!$C19:$C33,D1,'数据-汇总表'!$E19:$E33)</f>
        <v>123052</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4.4">
      <c r="A4" s="512" t="s">
        <v>520</v>
      </c>
      <c r="B4" s="513"/>
      <c r="C4" s="3394" t="s">
        <v>521</v>
      </c>
      <c r="D4" s="3395"/>
      <c r="E4" s="3434" t="s">
        <v>522</v>
      </c>
      <c r="F4" s="3435"/>
      <c r="G4" s="3394" t="s">
        <v>523</v>
      </c>
      <c r="H4" s="3395"/>
      <c r="I4" s="3394" t="s">
        <v>524</v>
      </c>
      <c r="J4" s="3395"/>
      <c r="K4" s="852" t="s">
        <v>525</v>
      </c>
      <c r="L4" s="2130"/>
      <c r="M4" s="2131"/>
      <c r="N4" s="2131"/>
      <c r="O4" s="2131"/>
      <c r="P4" s="3396" t="s">
        <v>526</v>
      </c>
      <c r="Q4" s="3397"/>
      <c r="R4" s="3402" t="s">
        <v>522</v>
      </c>
      <c r="S4" s="3403"/>
      <c r="T4" s="3402" t="s">
        <v>523</v>
      </c>
      <c r="U4" s="3403"/>
      <c r="V4" s="3389" t="s">
        <v>524</v>
      </c>
      <c r="W4" s="3389"/>
      <c r="X4" s="1564"/>
      <c r="Y4" s="3402" t="s">
        <v>526</v>
      </c>
      <c r="Z4" s="3403"/>
      <c r="AA4" s="3391" t="s">
        <v>522</v>
      </c>
      <c r="AB4" s="3391" t="s">
        <v>523</v>
      </c>
      <c r="AC4" s="3391" t="s">
        <v>524</v>
      </c>
    </row>
    <row r="5" spans="1:29">
      <c r="A5" s="515"/>
      <c r="B5" s="516"/>
      <c r="C5" s="3412" t="str">
        <f>项目基本情况!F10</f>
        <v>新城区“东方宸院”项目</v>
      </c>
      <c r="D5" s="3411"/>
      <c r="E5" s="3506" t="s">
        <v>3524</v>
      </c>
      <c r="F5" s="3507"/>
      <c r="G5" s="3508" t="s">
        <v>3520</v>
      </c>
      <c r="H5" s="3411"/>
      <c r="I5" s="3508" t="str">
        <f>'不动产比较法-洋房'!I5:J5</f>
        <v>中建锦绣天地</v>
      </c>
      <c r="J5" s="3411"/>
      <c r="K5" s="853"/>
      <c r="L5" s="2130"/>
      <c r="M5" s="2131"/>
      <c r="N5" s="2131"/>
      <c r="O5" s="2131"/>
      <c r="P5" s="3398"/>
      <c r="Q5" s="3399"/>
      <c r="R5" s="3404"/>
      <c r="S5" s="3405"/>
      <c r="T5" s="3404"/>
      <c r="U5" s="3405"/>
      <c r="V5" s="3389"/>
      <c r="W5" s="3389"/>
      <c r="X5" s="1564"/>
      <c r="Y5" s="3404"/>
      <c r="Z5" s="3405"/>
      <c r="AA5" s="3392"/>
      <c r="AB5" s="3392"/>
      <c r="AC5" s="3392"/>
    </row>
    <row r="6" spans="1:29" ht="15" thickBot="1">
      <c r="A6" s="517"/>
      <c r="B6" s="518"/>
      <c r="C6" s="3509" t="s">
        <v>3361</v>
      </c>
      <c r="D6" s="3409"/>
      <c r="E6" s="3510" t="s">
        <v>3519</v>
      </c>
      <c r="F6" s="3409"/>
      <c r="G6" s="3510" t="s">
        <v>3521</v>
      </c>
      <c r="H6" s="3409"/>
      <c r="I6" s="3510" t="s">
        <v>3522</v>
      </c>
      <c r="J6" s="3409"/>
      <c r="K6" s="853" t="s">
        <v>527</v>
      </c>
      <c r="L6" s="2130"/>
      <c r="M6" s="2131"/>
      <c r="N6" s="2131"/>
      <c r="O6" s="2131"/>
      <c r="P6" s="3400"/>
      <c r="Q6" s="3401"/>
      <c r="R6" s="3404"/>
      <c r="S6" s="3405"/>
      <c r="T6" s="3406"/>
      <c r="U6" s="3407"/>
      <c r="V6" s="3389"/>
      <c r="W6" s="3389"/>
      <c r="X6" s="1564"/>
      <c r="Y6" s="3406"/>
      <c r="Z6" s="3407"/>
      <c r="AA6" s="3393"/>
      <c r="AB6" s="3393"/>
      <c r="AC6" s="3393"/>
    </row>
    <row r="7" spans="1:29" s="1219" customFormat="1" ht="15" thickBot="1">
      <c r="A7" s="2933"/>
      <c r="B7" s="2940" t="s">
        <v>528</v>
      </c>
      <c r="C7" s="519">
        <f>'数据-取费表'!B2</f>
        <v>43507</v>
      </c>
      <c r="D7" s="520">
        <v>100</v>
      </c>
      <c r="E7" s="521">
        <v>43497</v>
      </c>
      <c r="F7" s="522">
        <f>SUMIF(58:58,YEAR(E7)&amp;"-"&amp;MONTH(E7),59:59)</f>
        <v>100</v>
      </c>
      <c r="G7" s="523">
        <v>43494</v>
      </c>
      <c r="H7" s="520">
        <f>SUMIF(58:58,YEAR(G7)&amp;"-"&amp;MONTH(G7),59:59)</f>
        <v>100</v>
      </c>
      <c r="I7" s="523">
        <v>43496</v>
      </c>
      <c r="J7" s="520">
        <f>SUMIF(58:58,YEAR(I7)&amp;"-"&amp;MONTH(I7),59:59)</f>
        <v>100</v>
      </c>
      <c r="K7" s="854"/>
      <c r="L7" s="2132"/>
      <c r="M7" s="2133"/>
      <c r="N7" s="2133"/>
      <c r="O7" s="2133"/>
      <c r="P7" s="3421" t="s">
        <v>529</v>
      </c>
      <c r="Q7" s="3423"/>
      <c r="R7" s="1565" t="s">
        <v>13</v>
      </c>
      <c r="S7" s="1566">
        <f t="shared" ref="S7:S15" si="0">F7</f>
        <v>100</v>
      </c>
      <c r="T7" s="1565" t="s">
        <v>13</v>
      </c>
      <c r="U7" s="1566">
        <f t="shared" ref="U7:U15" si="1">H7</f>
        <v>100</v>
      </c>
      <c r="V7" s="1565" t="s">
        <v>13</v>
      </c>
      <c r="W7" s="1566">
        <f t="shared" ref="W7:W15" si="2">J7</f>
        <v>100</v>
      </c>
      <c r="X7" s="1567"/>
      <c r="Y7" s="3421" t="s">
        <v>529</v>
      </c>
      <c r="Z7" s="3422"/>
      <c r="AA7" s="1568">
        <f>D7/F7</f>
        <v>1</v>
      </c>
      <c r="AB7" s="1568">
        <f>D7/H7</f>
        <v>1</v>
      </c>
      <c r="AC7" s="1568">
        <f>D7/J7</f>
        <v>1</v>
      </c>
    </row>
    <row r="8" spans="1:29" s="1219" customFormat="1" ht="15" thickBot="1">
      <c r="A8" s="2934"/>
      <c r="B8" s="2941"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4"/>
      <c r="L8" s="2132"/>
      <c r="M8" s="2133"/>
      <c r="N8" s="2133"/>
      <c r="O8" s="2133"/>
      <c r="P8" s="3421" t="s">
        <v>532</v>
      </c>
      <c r="Q8" s="3422"/>
      <c r="R8" s="1565" t="s">
        <v>13</v>
      </c>
      <c r="S8" s="1566">
        <f t="shared" si="0"/>
        <v>100</v>
      </c>
      <c r="T8" s="1565" t="s">
        <v>13</v>
      </c>
      <c r="U8" s="1566">
        <f t="shared" si="1"/>
        <v>100</v>
      </c>
      <c r="V8" s="1565" t="s">
        <v>13</v>
      </c>
      <c r="W8" s="1566">
        <f t="shared" si="2"/>
        <v>100</v>
      </c>
      <c r="X8" s="1567"/>
      <c r="Y8" s="3421" t="s">
        <v>532</v>
      </c>
      <c r="Z8" s="3422"/>
      <c r="AA8" s="1568">
        <f t="shared" ref="AA8:AA46" si="3">D8/F8</f>
        <v>1</v>
      </c>
      <c r="AB8" s="1568">
        <f t="shared" ref="AB8:AB46" si="4">D8/H8</f>
        <v>1</v>
      </c>
      <c r="AC8" s="1568">
        <f t="shared" ref="AC8:AC46" si="5">D8/J8</f>
        <v>1</v>
      </c>
    </row>
    <row r="9" spans="1:29" s="1219" customFormat="1" ht="14.4">
      <c r="A9" s="2935"/>
      <c r="B9" s="2942" t="s">
        <v>2754</v>
      </c>
      <c r="C9" s="3186" t="s">
        <v>3104</v>
      </c>
      <c r="D9" s="254">
        <v>100</v>
      </c>
      <c r="E9" s="857" t="s">
        <v>922</v>
      </c>
      <c r="F9" s="858">
        <f>SUMIF(63:63,E9,64:64)-SUMIF(63:63,C9,64:64)+100</f>
        <v>100</v>
      </c>
      <c r="G9" s="857" t="s">
        <v>922</v>
      </c>
      <c r="H9" s="254">
        <f>SUMIF(63:63,G9,64:64)-SUMIF(63:63,C9,64:64)+100</f>
        <v>100</v>
      </c>
      <c r="I9" s="857" t="s">
        <v>922</v>
      </c>
      <c r="J9" s="254">
        <f>SUMIF(63:63,I9,64:64)-SUMIF(63:63,C9,64:64)+100</f>
        <v>100</v>
      </c>
      <c r="K9" s="854"/>
      <c r="L9" s="2132"/>
      <c r="M9" s="2133"/>
      <c r="N9" s="2133"/>
      <c r="O9" s="2134"/>
      <c r="P9" s="3388" t="s">
        <v>534</v>
      </c>
      <c r="Q9" s="1150" t="str">
        <f t="shared" ref="Q9:Q15" si="6">B9</f>
        <v>用途</v>
      </c>
      <c r="R9" s="1565" t="s">
        <v>8</v>
      </c>
      <c r="S9" s="1566">
        <f t="shared" si="0"/>
        <v>100</v>
      </c>
      <c r="T9" s="1565" t="s">
        <v>8</v>
      </c>
      <c r="U9" s="1566">
        <f t="shared" si="1"/>
        <v>100</v>
      </c>
      <c r="V9" s="1565" t="s">
        <v>8</v>
      </c>
      <c r="W9" s="1566">
        <f t="shared" si="2"/>
        <v>100</v>
      </c>
      <c r="X9" s="1567"/>
      <c r="Y9" s="3334" t="s">
        <v>535</v>
      </c>
      <c r="Z9" s="1149" t="str">
        <f t="shared" ref="Z9:Z15" si="7">Q9</f>
        <v>用途</v>
      </c>
      <c r="AA9" s="1568">
        <f t="shared" si="3"/>
        <v>1</v>
      </c>
      <c r="AB9" s="1568">
        <f t="shared" si="4"/>
        <v>1</v>
      </c>
      <c r="AC9" s="1568">
        <f t="shared" si="5"/>
        <v>1</v>
      </c>
    </row>
    <row r="10" spans="1:29" s="1337" customFormat="1" ht="28.8">
      <c r="A10" s="2936"/>
      <c r="B10" s="2941" t="s">
        <v>2755</v>
      </c>
      <c r="C10" s="860" t="s">
        <v>3118</v>
      </c>
      <c r="D10" s="255">
        <v>100</v>
      </c>
      <c r="E10" s="860" t="s">
        <v>3118</v>
      </c>
      <c r="F10" s="862">
        <f>SUMIF(65:65,E10,66:66)-SUMIF(65:65,C10,66:66)+100</f>
        <v>100</v>
      </c>
      <c r="G10" s="860" t="s">
        <v>3118</v>
      </c>
      <c r="H10" s="255">
        <f>SUMIF(65:65,G10,66:66)-SUMIF(65:65,C10,66:66)+100</f>
        <v>100</v>
      </c>
      <c r="I10" s="860" t="s">
        <v>3118</v>
      </c>
      <c r="J10" s="255">
        <f>SUMIF(65:65,I10,66:66)-SUMIF(65:65,C10,66:66)+100</f>
        <v>100</v>
      </c>
      <c r="K10" s="863">
        <v>0.5</v>
      </c>
      <c r="L10" s="2135"/>
      <c r="M10" s="2175"/>
      <c r="N10" s="2175"/>
      <c r="O10" s="2136"/>
      <c r="P10" s="3388"/>
      <c r="Q10" s="1150" t="str">
        <f t="shared" si="6"/>
        <v>土地使用年限（年）</v>
      </c>
      <c r="R10" s="1565" t="s">
        <v>8</v>
      </c>
      <c r="S10" s="1566">
        <f t="shared" si="0"/>
        <v>100</v>
      </c>
      <c r="T10" s="1565" t="s">
        <v>8</v>
      </c>
      <c r="U10" s="1566">
        <f t="shared" si="1"/>
        <v>100</v>
      </c>
      <c r="V10" s="1565" t="s">
        <v>8</v>
      </c>
      <c r="W10" s="1566">
        <f t="shared" si="2"/>
        <v>100</v>
      </c>
      <c r="X10" s="1567"/>
      <c r="Y10" s="3334"/>
      <c r="Z10" s="1149" t="str">
        <f t="shared" si="7"/>
        <v>土地使用年限（年）</v>
      </c>
      <c r="AA10" s="1568">
        <f t="shared" si="3"/>
        <v>1</v>
      </c>
      <c r="AB10" s="1568">
        <f t="shared" si="4"/>
        <v>1</v>
      </c>
      <c r="AC10" s="1568">
        <f t="shared" si="5"/>
        <v>1</v>
      </c>
    </row>
    <row r="11" spans="1:29" ht="15">
      <c r="A11" s="2937"/>
      <c r="B11" s="2941" t="s">
        <v>2756</v>
      </c>
      <c r="C11" s="532">
        <f>'比较法-住宅、综合'!C13</f>
        <v>2.78</v>
      </c>
      <c r="D11" s="255">
        <v>100</v>
      </c>
      <c r="E11" s="533">
        <v>2.8</v>
      </c>
      <c r="F11" s="862">
        <f>LOOKUP(E11,68:68,69:69)-LOOKUP(C11,68:68,69:69)+100</f>
        <v>100</v>
      </c>
      <c r="G11" s="532">
        <v>3.5</v>
      </c>
      <c r="H11" s="255">
        <f>LOOKUP(G11,68:68,69:69)-LOOKUP(C11,68:68,69:69)+100</f>
        <v>98</v>
      </c>
      <c r="I11" s="532">
        <f>'不动产比较法-洋房'!I11</f>
        <v>1.6</v>
      </c>
      <c r="J11" s="255">
        <f>LOOKUP(I11,68:68,69:69)-LOOKUP(C11,68:68,69:69)+100</f>
        <v>102</v>
      </c>
      <c r="K11" s="863">
        <v>1</v>
      </c>
      <c r="L11" s="2137"/>
      <c r="M11" s="2131"/>
      <c r="N11" s="2131"/>
      <c r="O11" s="2138"/>
      <c r="P11" s="3388"/>
      <c r="Q11" s="1150" t="str">
        <f t="shared" si="6"/>
        <v>容积率</v>
      </c>
      <c r="R11" s="1565" t="s">
        <v>11</v>
      </c>
      <c r="S11" s="1566">
        <f t="shared" si="0"/>
        <v>100</v>
      </c>
      <c r="T11" s="1565" t="s">
        <v>11</v>
      </c>
      <c r="U11" s="1566">
        <f t="shared" si="1"/>
        <v>98</v>
      </c>
      <c r="V11" s="1565" t="s">
        <v>11</v>
      </c>
      <c r="W11" s="1566">
        <f t="shared" si="2"/>
        <v>102</v>
      </c>
      <c r="X11" s="1567"/>
      <c r="Y11" s="3334"/>
      <c r="Z11" s="1149" t="str">
        <f t="shared" si="7"/>
        <v>容积率</v>
      </c>
      <c r="AA11" s="1568">
        <f t="shared" si="3"/>
        <v>1</v>
      </c>
      <c r="AB11" s="1568">
        <f t="shared" si="4"/>
        <v>1.0204081632653061</v>
      </c>
      <c r="AC11" s="1568">
        <f t="shared" si="5"/>
        <v>0.98039215686274506</v>
      </c>
    </row>
    <row r="12" spans="1:29" s="1219" customFormat="1" ht="15">
      <c r="A12" s="2938"/>
      <c r="B12" s="2944">
        <v>111</v>
      </c>
      <c r="C12" s="528"/>
      <c r="D12" s="537">
        <v>100</v>
      </c>
      <c r="E12" s="528"/>
      <c r="F12" s="862">
        <f>SUMIF(70:70,E12,71:71)-SUMIF(70:70,C12,71:71)+100</f>
        <v>100</v>
      </c>
      <c r="G12" s="528"/>
      <c r="H12" s="255">
        <f>SUMIF(70:70,G12,71:71)-SUMIF(70:70,C12,71:71)+100</f>
        <v>100</v>
      </c>
      <c r="I12" s="528"/>
      <c r="J12" s="255">
        <f>SUMIF(70:70,I12,71:71)-SUMIF(70:70,C12,71:71)+100</f>
        <v>100</v>
      </c>
      <c r="K12" s="864"/>
      <c r="L12" s="2132"/>
      <c r="M12" s="2133"/>
      <c r="N12" s="2133"/>
      <c r="O12" s="2134"/>
      <c r="P12" s="3388"/>
      <c r="Q12" s="1150">
        <f t="shared" si="6"/>
        <v>111</v>
      </c>
      <c r="R12" s="1565" t="s">
        <v>11</v>
      </c>
      <c r="S12" s="1566">
        <f t="shared" si="0"/>
        <v>100</v>
      </c>
      <c r="T12" s="1565" t="s">
        <v>11</v>
      </c>
      <c r="U12" s="1566">
        <f t="shared" si="1"/>
        <v>100</v>
      </c>
      <c r="V12" s="1565" t="s">
        <v>11</v>
      </c>
      <c r="W12" s="1566">
        <f t="shared" si="2"/>
        <v>100</v>
      </c>
      <c r="X12" s="1567"/>
      <c r="Y12" s="3334"/>
      <c r="Z12" s="1149">
        <f t="shared" si="7"/>
        <v>111</v>
      </c>
      <c r="AA12" s="1568">
        <f>D12/F12</f>
        <v>1</v>
      </c>
      <c r="AB12" s="1568">
        <f>D12/H12</f>
        <v>1</v>
      </c>
      <c r="AC12" s="1568">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388"/>
      <c r="Q13" s="1150">
        <f t="shared" si="6"/>
        <v>111</v>
      </c>
      <c r="R13" s="1565" t="s">
        <v>11</v>
      </c>
      <c r="S13" s="1566">
        <f t="shared" si="0"/>
        <v>100</v>
      </c>
      <c r="T13" s="1565" t="s">
        <v>11</v>
      </c>
      <c r="U13" s="1566">
        <f t="shared" si="1"/>
        <v>100</v>
      </c>
      <c r="V13" s="1565" t="s">
        <v>11</v>
      </c>
      <c r="W13" s="1566">
        <f t="shared" si="2"/>
        <v>100</v>
      </c>
      <c r="X13" s="1567"/>
      <c r="Y13" s="3334"/>
      <c r="Z13" s="1149">
        <f t="shared" si="7"/>
        <v>111</v>
      </c>
      <c r="AA13" s="1568">
        <f t="shared" si="3"/>
        <v>1</v>
      </c>
      <c r="AB13" s="1568">
        <f t="shared" si="4"/>
        <v>1</v>
      </c>
      <c r="AC13" s="1568">
        <f t="shared" si="5"/>
        <v>1</v>
      </c>
    </row>
    <row r="14" spans="1:29" ht="15.6"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388"/>
      <c r="Q14" s="1150">
        <f t="shared" si="6"/>
        <v>111</v>
      </c>
      <c r="R14" s="1565" t="s">
        <v>11</v>
      </c>
      <c r="S14" s="1566">
        <f t="shared" si="0"/>
        <v>100</v>
      </c>
      <c r="T14" s="1565" t="s">
        <v>11</v>
      </c>
      <c r="U14" s="1566">
        <f t="shared" si="1"/>
        <v>100</v>
      </c>
      <c r="V14" s="1565" t="s">
        <v>11</v>
      </c>
      <c r="W14" s="1566">
        <f t="shared" si="2"/>
        <v>100</v>
      </c>
      <c r="X14" s="1567"/>
      <c r="Y14" s="3334"/>
      <c r="Z14" s="1149">
        <f t="shared" si="7"/>
        <v>111</v>
      </c>
      <c r="AA14" s="1568">
        <f t="shared" si="3"/>
        <v>1</v>
      </c>
      <c r="AB14" s="1568">
        <f t="shared" si="4"/>
        <v>1</v>
      </c>
      <c r="AC14" s="1568">
        <f t="shared" si="5"/>
        <v>1</v>
      </c>
    </row>
    <row r="15" spans="1:29" ht="96.6">
      <c r="A15" s="2931" t="s">
        <v>2752</v>
      </c>
      <c r="B15" s="166" t="s">
        <v>295</v>
      </c>
      <c r="C15" s="866" t="str">
        <f>估价对象房地状况!C3</f>
        <v>估价对象周边居住用地比例、居住小区规模和社区发展完善程度，综合评价居住社区成熟度较好</v>
      </c>
      <c r="D15" s="548">
        <v>100</v>
      </c>
      <c r="E15" s="549"/>
      <c r="F15" s="550">
        <f>SUMIF(76:76,E16,77:77)-SUMIF(76:76,C16,77:77)+100</f>
        <v>100</v>
      </c>
      <c r="G15" s="551"/>
      <c r="H15" s="548">
        <f>SUMIF(76:76,G16,77:77)-SUMIF(76:76,C16,77:77)+100</f>
        <v>95</v>
      </c>
      <c r="I15" s="549"/>
      <c r="J15" s="548">
        <f>SUMIF(76:76,I16,77:77)-SUMIF(76:76,C16,77:77)+100</f>
        <v>100</v>
      </c>
      <c r="K15" s="867">
        <v>5</v>
      </c>
      <c r="L15" s="2139"/>
      <c r="M15" s="2131"/>
      <c r="N15" s="2131"/>
      <c r="O15" s="2138"/>
      <c r="P15" s="3424" t="s">
        <v>539</v>
      </c>
      <c r="Q15" s="1569" t="str">
        <f t="shared" si="6"/>
        <v>居住社区成熟度</v>
      </c>
      <c r="R15" s="1570" t="s">
        <v>11</v>
      </c>
      <c r="S15" s="1571">
        <f t="shared" si="0"/>
        <v>100</v>
      </c>
      <c r="T15" s="1570" t="s">
        <v>11</v>
      </c>
      <c r="U15" s="1571">
        <f t="shared" si="1"/>
        <v>95</v>
      </c>
      <c r="V15" s="1570" t="s">
        <v>11</v>
      </c>
      <c r="W15" s="1571">
        <f t="shared" si="2"/>
        <v>100</v>
      </c>
      <c r="X15" s="1564"/>
      <c r="Y15" s="3424" t="s">
        <v>539</v>
      </c>
      <c r="Z15" s="1572" t="str">
        <f t="shared" si="7"/>
        <v>居住社区成熟度</v>
      </c>
      <c r="AA15" s="1573">
        <f t="shared" si="3"/>
        <v>1</v>
      </c>
      <c r="AB15" s="1573">
        <f t="shared" si="4"/>
        <v>1.0526315789473684</v>
      </c>
      <c r="AC15" s="1573">
        <f t="shared" si="5"/>
        <v>1</v>
      </c>
    </row>
    <row r="16" spans="1:29" ht="15">
      <c r="A16" s="531"/>
      <c r="B16" s="868"/>
      <c r="C16" s="575" t="s">
        <v>3087</v>
      </c>
      <c r="D16" s="554"/>
      <c r="E16" s="575" t="s">
        <v>3087</v>
      </c>
      <c r="F16" s="556"/>
      <c r="G16" s="575" t="s">
        <v>3089</v>
      </c>
      <c r="H16" s="558"/>
      <c r="I16" s="575" t="s">
        <v>3087</v>
      </c>
      <c r="J16" s="554"/>
      <c r="K16" s="869"/>
      <c r="L16" s="2139"/>
      <c r="M16" s="2131"/>
      <c r="N16" s="2131"/>
      <c r="O16" s="2138"/>
      <c r="P16" s="3425"/>
      <c r="Q16" s="1569"/>
      <c r="R16" s="1570"/>
      <c r="S16" s="1571"/>
      <c r="T16" s="1570"/>
      <c r="U16" s="1571"/>
      <c r="V16" s="1570"/>
      <c r="W16" s="1571"/>
      <c r="X16" s="1564"/>
      <c r="Y16" s="3425"/>
      <c r="Z16" s="1572"/>
      <c r="AA16" s="1573">
        <v>1</v>
      </c>
      <c r="AB16" s="1573">
        <v>1</v>
      </c>
      <c r="AC16" s="1573">
        <v>1</v>
      </c>
    </row>
    <row r="17" spans="1:29" ht="82.8">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39"/>
      <c r="M17" s="2131"/>
      <c r="N17" s="2131"/>
      <c r="O17" s="2138"/>
      <c r="P17" s="3425"/>
      <c r="Q17" s="1569" t="str">
        <f>B17</f>
        <v>交通便捷度</v>
      </c>
      <c r="R17" s="1570" t="s">
        <v>11</v>
      </c>
      <c r="S17" s="1571">
        <f>F17</f>
        <v>100</v>
      </c>
      <c r="T17" s="1570" t="s">
        <v>11</v>
      </c>
      <c r="U17" s="1571">
        <f>H17</f>
        <v>100</v>
      </c>
      <c r="V17" s="1570" t="s">
        <v>11</v>
      </c>
      <c r="W17" s="1571">
        <f>J17</f>
        <v>100</v>
      </c>
      <c r="X17" s="1564"/>
      <c r="Y17" s="3425"/>
      <c r="Z17" s="1572" t="str">
        <f>Q17</f>
        <v>交通便捷度</v>
      </c>
      <c r="AA17" s="1573">
        <f t="shared" si="3"/>
        <v>1</v>
      </c>
      <c r="AB17" s="1573">
        <f t="shared" si="4"/>
        <v>1</v>
      </c>
      <c r="AC17" s="1573">
        <f t="shared" si="5"/>
        <v>1</v>
      </c>
    </row>
    <row r="18" spans="1:29" ht="15">
      <c r="A18" s="531"/>
      <c r="B18" s="594"/>
      <c r="C18" s="872" t="s">
        <v>3089</v>
      </c>
      <c r="D18" s="558"/>
      <c r="E18" s="872" t="s">
        <v>3089</v>
      </c>
      <c r="F18" s="562"/>
      <c r="G18" s="575" t="s">
        <v>3089</v>
      </c>
      <c r="H18" s="554"/>
      <c r="I18" s="575" t="s">
        <v>3089</v>
      </c>
      <c r="J18" s="554"/>
      <c r="K18" s="869"/>
      <c r="L18" s="2139"/>
      <c r="M18" s="2131"/>
      <c r="N18" s="2131"/>
      <c r="O18" s="2138"/>
      <c r="P18" s="3425"/>
      <c r="Q18" s="1569"/>
      <c r="R18" s="1570"/>
      <c r="S18" s="1571"/>
      <c r="T18" s="1570"/>
      <c r="U18" s="1571"/>
      <c r="V18" s="1570"/>
      <c r="W18" s="1571"/>
      <c r="X18" s="1564"/>
      <c r="Y18" s="3425"/>
      <c r="Z18" s="1572"/>
      <c r="AA18" s="1573">
        <v>1</v>
      </c>
      <c r="AB18" s="1573">
        <v>1</v>
      </c>
      <c r="AC18" s="1573">
        <v>1</v>
      </c>
    </row>
    <row r="19" spans="1:29" ht="41.4">
      <c r="A19" s="531"/>
      <c r="B19" s="2621" t="s">
        <v>2545</v>
      </c>
      <c r="C19" s="871" t="str">
        <f>估价对象房地状况!C7</f>
        <v>估价对象所在区域公共配套设施齐备情况</v>
      </c>
      <c r="D19" s="564">
        <v>100</v>
      </c>
      <c r="E19" s="569"/>
      <c r="F19" s="570">
        <f>SUMIF(80:80,E20,81:81)-SUMIF(80:80,C20,81:81)+100</f>
        <v>98</v>
      </c>
      <c r="G19" s="571"/>
      <c r="H19" s="558">
        <f>SUMIF(80:80,G20,81:81)-SUMIF(80:80,C20,81:81)+100</f>
        <v>98</v>
      </c>
      <c r="I19" s="569"/>
      <c r="J19" s="558">
        <f>SUMIF(80:80,I20,81:81)-SUMIF(80:80,C20,81:81)+100</f>
        <v>100</v>
      </c>
      <c r="K19" s="867">
        <v>2</v>
      </c>
      <c r="L19" s="2139"/>
      <c r="M19" s="2131"/>
      <c r="N19" s="2131"/>
      <c r="O19" s="2138"/>
      <c r="P19" s="3425"/>
      <c r="Q19" s="1569" t="str">
        <f>B19</f>
        <v>公共配套设施</v>
      </c>
      <c r="R19" s="1570" t="s">
        <v>11</v>
      </c>
      <c r="S19" s="1571">
        <f>F19</f>
        <v>98</v>
      </c>
      <c r="T19" s="1570" t="s">
        <v>11</v>
      </c>
      <c r="U19" s="1571">
        <f>H19</f>
        <v>98</v>
      </c>
      <c r="V19" s="1570" t="s">
        <v>11</v>
      </c>
      <c r="W19" s="1571">
        <f>J19</f>
        <v>100</v>
      </c>
      <c r="X19" s="1564"/>
      <c r="Y19" s="3425"/>
      <c r="Z19" s="1572" t="str">
        <f>Q19</f>
        <v>公共配套设施</v>
      </c>
      <c r="AA19" s="1573">
        <f t="shared" si="3"/>
        <v>1.0204081632653061</v>
      </c>
      <c r="AB19" s="1573">
        <f t="shared" si="4"/>
        <v>1.0204081632653061</v>
      </c>
      <c r="AC19" s="1573">
        <f t="shared" si="5"/>
        <v>1</v>
      </c>
    </row>
    <row r="20" spans="1:29" ht="15">
      <c r="A20" s="531"/>
      <c r="B20" s="594"/>
      <c r="C20" s="575" t="s">
        <v>3087</v>
      </c>
      <c r="D20" s="554"/>
      <c r="E20" s="575" t="s">
        <v>3089</v>
      </c>
      <c r="F20" s="556"/>
      <c r="G20" s="575" t="s">
        <v>3089</v>
      </c>
      <c r="H20" s="554"/>
      <c r="I20" s="575" t="s">
        <v>3087</v>
      </c>
      <c r="J20" s="554"/>
      <c r="K20" s="869"/>
      <c r="L20" s="2139"/>
      <c r="M20" s="2131"/>
      <c r="N20" s="2131"/>
      <c r="O20" s="2138"/>
      <c r="P20" s="3425"/>
      <c r="Q20" s="1569"/>
      <c r="R20" s="1570"/>
      <c r="S20" s="1571"/>
      <c r="T20" s="1570"/>
      <c r="U20" s="1571"/>
      <c r="V20" s="1570"/>
      <c r="W20" s="1571"/>
      <c r="X20" s="1564"/>
      <c r="Y20" s="3425"/>
      <c r="Z20" s="1572"/>
      <c r="AA20" s="1573">
        <v>1</v>
      </c>
      <c r="AB20" s="1573">
        <v>1</v>
      </c>
      <c r="AC20" s="1573">
        <v>1</v>
      </c>
    </row>
    <row r="21" spans="1:29" ht="27.6">
      <c r="A21" s="531"/>
      <c r="B21" s="2614"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39"/>
      <c r="M21" s="2131"/>
      <c r="N21" s="2131"/>
      <c r="O21" s="2138"/>
      <c r="P21" s="3425"/>
      <c r="Q21" s="2600" t="str">
        <f>B21</f>
        <v>基础设施水平</v>
      </c>
      <c r="R21" s="1570" t="s">
        <v>11</v>
      </c>
      <c r="S21" s="1571">
        <f>F21</f>
        <v>100</v>
      </c>
      <c r="T21" s="1570" t="s">
        <v>11</v>
      </c>
      <c r="U21" s="1571">
        <f>H21</f>
        <v>100</v>
      </c>
      <c r="V21" s="1570" t="s">
        <v>11</v>
      </c>
      <c r="W21" s="1571">
        <f>J21</f>
        <v>100</v>
      </c>
      <c r="X21" s="2602"/>
      <c r="Y21" s="3425"/>
      <c r="Z21" s="2601" t="str">
        <f>Q21</f>
        <v>基础设施水平</v>
      </c>
      <c r="AA21" s="1573">
        <f t="shared" ref="AA21" si="8">D21/F21</f>
        <v>1</v>
      </c>
      <c r="AB21" s="1573">
        <f t="shared" ref="AB21" si="9">D21/H21</f>
        <v>1</v>
      </c>
      <c r="AC21" s="1573">
        <f t="shared" ref="AC21" si="10">D21/J21</f>
        <v>1</v>
      </c>
    </row>
    <row r="22" spans="1:29" ht="15">
      <c r="A22" s="531"/>
      <c r="B22" s="921"/>
      <c r="C22" s="872" t="s">
        <v>3121</v>
      </c>
      <c r="D22" s="554"/>
      <c r="E22" s="872" t="s">
        <v>3121</v>
      </c>
      <c r="F22" s="556"/>
      <c r="G22" s="872" t="s">
        <v>3121</v>
      </c>
      <c r="H22" s="554"/>
      <c r="I22" s="872" t="s">
        <v>3121</v>
      </c>
      <c r="J22" s="554"/>
      <c r="K22" s="2620"/>
      <c r="L22" s="2139"/>
      <c r="M22" s="2131"/>
      <c r="N22" s="2131"/>
      <c r="O22" s="2138"/>
      <c r="P22" s="3425"/>
      <c r="Q22" s="2600"/>
      <c r="R22" s="1570"/>
      <c r="S22" s="1571"/>
      <c r="T22" s="1570"/>
      <c r="U22" s="1571"/>
      <c r="V22" s="1570"/>
      <c r="W22" s="1571"/>
      <c r="X22" s="2602"/>
      <c r="Y22" s="3425"/>
      <c r="Z22" s="2601"/>
      <c r="AA22" s="1573">
        <v>1</v>
      </c>
      <c r="AB22" s="1573">
        <v>1</v>
      </c>
      <c r="AC22" s="1573">
        <v>1</v>
      </c>
    </row>
    <row r="23" spans="1:29" ht="41.4">
      <c r="A23" s="531"/>
      <c r="B23" s="870" t="s">
        <v>297</v>
      </c>
      <c r="C23" s="871" t="str">
        <f>估价对象房地状况!C9</f>
        <v>区域自然环境：；人文环境；综合评价好</v>
      </c>
      <c r="D23" s="558">
        <v>100</v>
      </c>
      <c r="E23" s="561"/>
      <c r="F23" s="562">
        <f>SUMIF(84:84,E24,85:85)-SUMIF(84:84,C24,85:85)+100</f>
        <v>96</v>
      </c>
      <c r="G23" s="563"/>
      <c r="H23" s="558">
        <f>SUMIF(84:84,G24,85:85)-SUMIF(84:84,C24,85:85)+100</f>
        <v>98</v>
      </c>
      <c r="I23" s="561"/>
      <c r="J23" s="558">
        <f>SUMIF(84:84,I24,85:85)-SUMIF(84:84,C24,85:85)+100</f>
        <v>96</v>
      </c>
      <c r="K23" s="867">
        <v>2</v>
      </c>
      <c r="L23" s="2139"/>
      <c r="M23" s="2131"/>
      <c r="N23" s="2131"/>
      <c r="O23" s="2138"/>
      <c r="P23" s="3425"/>
      <c r="Q23" s="1569" t="str">
        <f>B23</f>
        <v>自然及人文环境</v>
      </c>
      <c r="R23" s="1570" t="s">
        <v>11</v>
      </c>
      <c r="S23" s="1571">
        <f>F23</f>
        <v>96</v>
      </c>
      <c r="T23" s="1570" t="s">
        <v>11</v>
      </c>
      <c r="U23" s="1571">
        <f>H23</f>
        <v>98</v>
      </c>
      <c r="V23" s="1570" t="s">
        <v>11</v>
      </c>
      <c r="W23" s="1571">
        <f>J23</f>
        <v>96</v>
      </c>
      <c r="X23" s="1564"/>
      <c r="Y23" s="3425"/>
      <c r="Z23" s="1572" t="str">
        <f>Q23</f>
        <v>自然及人文环境</v>
      </c>
      <c r="AA23" s="1573">
        <f t="shared" si="3"/>
        <v>1.0416666666666667</v>
      </c>
      <c r="AB23" s="1573">
        <f t="shared" si="4"/>
        <v>1.0204081632653061</v>
      </c>
      <c r="AC23" s="1573">
        <f t="shared" si="5"/>
        <v>1.0416666666666667</v>
      </c>
    </row>
    <row r="24" spans="1:29" ht="15">
      <c r="A24" s="531"/>
      <c r="B24" s="594"/>
      <c r="C24" s="575" t="s">
        <v>3351</v>
      </c>
      <c r="D24" s="554"/>
      <c r="E24" s="555" t="s">
        <v>3089</v>
      </c>
      <c r="F24" s="556"/>
      <c r="G24" s="555" t="s">
        <v>3087</v>
      </c>
      <c r="H24" s="554"/>
      <c r="I24" s="555" t="s">
        <v>3089</v>
      </c>
      <c r="J24" s="554"/>
      <c r="K24" s="869"/>
      <c r="L24" s="2139"/>
      <c r="M24" s="2131"/>
      <c r="N24" s="2131"/>
      <c r="O24" s="2138"/>
      <c r="P24" s="3425"/>
      <c r="Q24" s="1569"/>
      <c r="R24" s="1570"/>
      <c r="S24" s="1571"/>
      <c r="T24" s="1570"/>
      <c r="U24" s="1571"/>
      <c r="V24" s="1570"/>
      <c r="W24" s="1571"/>
      <c r="X24" s="1564"/>
      <c r="Y24" s="3425"/>
      <c r="Z24" s="1572"/>
      <c r="AA24" s="1573">
        <v>1</v>
      </c>
      <c r="AB24" s="1573">
        <v>1</v>
      </c>
      <c r="AC24" s="1573">
        <v>1</v>
      </c>
    </row>
    <row r="25" spans="1:29" ht="15">
      <c r="A25" s="531"/>
      <c r="B25" s="1892" t="s">
        <v>2257</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25"/>
      <c r="Q25" s="1569" t="str">
        <f t="shared" ref="Q25:Q46" si="11">B25</f>
        <v>楼层-1</v>
      </c>
      <c r="R25" s="1570" t="s">
        <v>11</v>
      </c>
      <c r="S25" s="1571">
        <f>F25</f>
        <v>100</v>
      </c>
      <c r="T25" s="1570" t="s">
        <v>11</v>
      </c>
      <c r="U25" s="1571">
        <f>H25</f>
        <v>100</v>
      </c>
      <c r="V25" s="1570" t="s">
        <v>11</v>
      </c>
      <c r="W25" s="1571">
        <f>J25</f>
        <v>100</v>
      </c>
      <c r="X25" s="1564"/>
      <c r="Y25" s="3425"/>
      <c r="Z25" s="1572" t="str">
        <f>Q25</f>
        <v>楼层-1</v>
      </c>
      <c r="AA25" s="1573">
        <f t="shared" si="3"/>
        <v>1</v>
      </c>
      <c r="AB25" s="1573">
        <f t="shared" si="4"/>
        <v>1</v>
      </c>
      <c r="AC25" s="1573">
        <f t="shared" si="5"/>
        <v>1</v>
      </c>
    </row>
    <row r="26" spans="1:29" ht="15">
      <c r="A26" s="531"/>
      <c r="B26" s="527" t="s">
        <v>722</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25"/>
      <c r="Q26" s="1569" t="str">
        <f t="shared" si="11"/>
        <v>朝向</v>
      </c>
      <c r="R26" s="1570" t="s">
        <v>11</v>
      </c>
      <c r="S26" s="1571">
        <f>F26</f>
        <v>100</v>
      </c>
      <c r="T26" s="1570" t="s">
        <v>11</v>
      </c>
      <c r="U26" s="1571">
        <f>H26</f>
        <v>100</v>
      </c>
      <c r="V26" s="1570" t="s">
        <v>11</v>
      </c>
      <c r="W26" s="1571">
        <f>J26</f>
        <v>100</v>
      </c>
      <c r="X26" s="1564"/>
      <c r="Y26" s="3425"/>
      <c r="Z26" s="1572" t="str">
        <f>Q26</f>
        <v>朝向</v>
      </c>
      <c r="AA26" s="1573">
        <f t="shared" si="3"/>
        <v>1</v>
      </c>
      <c r="AB26" s="1573">
        <f t="shared" si="4"/>
        <v>1</v>
      </c>
      <c r="AC26" s="1573">
        <f t="shared" si="5"/>
        <v>1</v>
      </c>
    </row>
    <row r="27" spans="1:29" s="1219" customFormat="1" ht="15">
      <c r="A27" s="535"/>
      <c r="B27" s="536" t="s">
        <v>723</v>
      </c>
      <c r="C27" s="3187" t="s">
        <v>3119</v>
      </c>
      <c r="D27" s="874">
        <v>100</v>
      </c>
      <c r="E27" s="3187" t="s">
        <v>3119</v>
      </c>
      <c r="F27" s="875">
        <f>SUMIF(90:90,E27,91:91)-SUMIF(90:90,C27,91:91)+100</f>
        <v>100</v>
      </c>
      <c r="G27" s="3187" t="s">
        <v>3119</v>
      </c>
      <c r="H27" s="874">
        <f>SUMIF(90:90,G27,91:91)-SUMIF(90:90,C27,91:91)+100</f>
        <v>100</v>
      </c>
      <c r="I27" s="3187" t="s">
        <v>3119</v>
      </c>
      <c r="J27" s="874">
        <f>SUMIF(90:90,I27,91:91)-SUMIF(90:90,C27,91:91)+100</f>
        <v>100</v>
      </c>
      <c r="K27" s="864"/>
      <c r="L27" s="2132"/>
      <c r="M27" s="2133"/>
      <c r="N27" s="2133"/>
      <c r="O27" s="2134"/>
      <c r="P27" s="3425"/>
      <c r="Q27" s="1150" t="str">
        <f t="shared" si="11"/>
        <v>道路级别</v>
      </c>
      <c r="R27" s="1565" t="s">
        <v>11</v>
      </c>
      <c r="S27" s="1566">
        <f>F27</f>
        <v>100</v>
      </c>
      <c r="T27" s="1565" t="s">
        <v>11</v>
      </c>
      <c r="U27" s="1566">
        <f>H27</f>
        <v>100</v>
      </c>
      <c r="V27" s="1565" t="s">
        <v>11</v>
      </c>
      <c r="W27" s="1566">
        <f>J27</f>
        <v>100</v>
      </c>
      <c r="X27" s="1567"/>
      <c r="Y27" s="3425"/>
      <c r="Z27" s="1149"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25"/>
      <c r="Q28" s="1569">
        <f t="shared" si="11"/>
        <v>111</v>
      </c>
      <c r="R28" s="1570" t="s">
        <v>11</v>
      </c>
      <c r="S28" s="1571">
        <f t="shared" ref="S28:S46" si="12">F28</f>
        <v>100</v>
      </c>
      <c r="T28" s="1570" t="s">
        <v>11</v>
      </c>
      <c r="U28" s="1571">
        <f t="shared" ref="U28:U46" si="13">H28</f>
        <v>100</v>
      </c>
      <c r="V28" s="1570" t="s">
        <v>11</v>
      </c>
      <c r="W28" s="1571">
        <f t="shared" ref="W28:W46" si="14">J28</f>
        <v>100</v>
      </c>
      <c r="X28" s="1564"/>
      <c r="Y28" s="3425"/>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25"/>
      <c r="Q29" s="1569">
        <f t="shared" si="11"/>
        <v>111</v>
      </c>
      <c r="R29" s="1570" t="s">
        <v>11</v>
      </c>
      <c r="S29" s="1571">
        <f t="shared" si="12"/>
        <v>100</v>
      </c>
      <c r="T29" s="1570" t="s">
        <v>11</v>
      </c>
      <c r="U29" s="1571">
        <f t="shared" si="13"/>
        <v>100</v>
      </c>
      <c r="V29" s="1570" t="s">
        <v>11</v>
      </c>
      <c r="W29" s="1571">
        <f t="shared" si="14"/>
        <v>100</v>
      </c>
      <c r="X29" s="1564"/>
      <c r="Y29" s="3425"/>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25"/>
      <c r="Q30" s="1569">
        <f t="shared" si="11"/>
        <v>111</v>
      </c>
      <c r="R30" s="1570" t="s">
        <v>11</v>
      </c>
      <c r="S30" s="1571">
        <f t="shared" si="12"/>
        <v>100</v>
      </c>
      <c r="T30" s="1570" t="s">
        <v>11</v>
      </c>
      <c r="U30" s="1571">
        <f t="shared" si="13"/>
        <v>100</v>
      </c>
      <c r="V30" s="1570" t="s">
        <v>11</v>
      </c>
      <c r="W30" s="1571">
        <f t="shared" si="14"/>
        <v>100</v>
      </c>
      <c r="X30" s="1564"/>
      <c r="Y30" s="3425"/>
      <c r="Z30" s="1572">
        <f t="shared" si="15"/>
        <v>111</v>
      </c>
      <c r="AA30" s="1573">
        <f t="shared" si="3"/>
        <v>1</v>
      </c>
      <c r="AB30" s="1573">
        <f t="shared" si="4"/>
        <v>1</v>
      </c>
      <c r="AC30" s="1573">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25"/>
      <c r="Q31" s="1569">
        <f t="shared" si="11"/>
        <v>111</v>
      </c>
      <c r="R31" s="1570" t="s">
        <v>11</v>
      </c>
      <c r="S31" s="1571">
        <f t="shared" si="12"/>
        <v>100</v>
      </c>
      <c r="T31" s="1570" t="s">
        <v>11</v>
      </c>
      <c r="U31" s="1571">
        <f t="shared" si="13"/>
        <v>100</v>
      </c>
      <c r="V31" s="1570" t="s">
        <v>11</v>
      </c>
      <c r="W31" s="1571">
        <f t="shared" si="14"/>
        <v>100</v>
      </c>
      <c r="X31" s="1564"/>
      <c r="Y31" s="3425"/>
      <c r="Z31" s="1572">
        <f t="shared" si="15"/>
        <v>111</v>
      </c>
      <c r="AA31" s="1573">
        <f t="shared" si="3"/>
        <v>1</v>
      </c>
      <c r="AB31" s="1573">
        <f t="shared" si="4"/>
        <v>1</v>
      </c>
      <c r="AC31" s="1573">
        <f t="shared" si="5"/>
        <v>1</v>
      </c>
    </row>
    <row r="32" spans="1:29" ht="15">
      <c r="A32" s="2928" t="s">
        <v>2753</v>
      </c>
      <c r="B32" s="172" t="s">
        <v>724</v>
      </c>
      <c r="C32" s="877" t="s">
        <v>3130</v>
      </c>
      <c r="D32" s="596">
        <v>100</v>
      </c>
      <c r="E32" s="878" t="s">
        <v>3130</v>
      </c>
      <c r="F32" s="574">
        <f>SUMIF(100:100,E32,101:101)-SUMIF(100:100,C32,101:101)+100</f>
        <v>100</v>
      </c>
      <c r="G32" s="878" t="s">
        <v>3130</v>
      </c>
      <c r="H32" s="596">
        <f>SUMIF(100:100,G32,101:101)-SUMIF(100:100,C32,101:101)+100</f>
        <v>100</v>
      </c>
      <c r="I32" s="878" t="s">
        <v>3130</v>
      </c>
      <c r="J32" s="539">
        <f>SUMIF(100:100,I32,101:101)-SUMIF(100:100,C32,101:101)+100</f>
        <v>100</v>
      </c>
      <c r="K32" s="863">
        <v>5</v>
      </c>
      <c r="L32" s="2139"/>
      <c r="M32" s="2131"/>
      <c r="N32" s="2131"/>
      <c r="O32" s="2138"/>
      <c r="P32" s="3426" t="s">
        <v>549</v>
      </c>
      <c r="Q32" s="1569" t="str">
        <f t="shared" si="11"/>
        <v>建筑类型</v>
      </c>
      <c r="R32" s="1570" t="s">
        <v>11</v>
      </c>
      <c r="S32" s="1571">
        <f t="shared" si="12"/>
        <v>100</v>
      </c>
      <c r="T32" s="1570" t="s">
        <v>11</v>
      </c>
      <c r="U32" s="1571">
        <f t="shared" si="13"/>
        <v>100</v>
      </c>
      <c r="V32" s="1570" t="s">
        <v>11</v>
      </c>
      <c r="W32" s="1571">
        <f t="shared" si="14"/>
        <v>100</v>
      </c>
      <c r="X32" s="1564"/>
      <c r="Y32" s="3427" t="s">
        <v>549</v>
      </c>
      <c r="Z32" s="1572" t="str">
        <f t="shared" si="15"/>
        <v>建筑类型</v>
      </c>
      <c r="AA32" s="1573">
        <f t="shared" si="3"/>
        <v>1</v>
      </c>
      <c r="AB32" s="1573">
        <f t="shared" si="4"/>
        <v>1</v>
      </c>
      <c r="AC32" s="1573">
        <f t="shared" si="5"/>
        <v>1</v>
      </c>
    </row>
    <row r="33" spans="1:29" s="1338" customFormat="1" ht="15">
      <c r="A33" s="602"/>
      <c r="B33" s="527" t="s">
        <v>725</v>
      </c>
      <c r="C33" s="879">
        <f>'数据-汇总表'!E3</f>
        <v>237470</v>
      </c>
      <c r="D33" s="255">
        <v>100</v>
      </c>
      <c r="E33" s="533">
        <v>433000</v>
      </c>
      <c r="F33" s="862">
        <f>LOOKUP(E33,103:103,104:104)-LOOKUP(C33,103:103,104:104)+100</f>
        <v>101</v>
      </c>
      <c r="G33" s="532">
        <v>1354670</v>
      </c>
      <c r="H33" s="255">
        <f>LOOKUP(G33,103:103,104:104)-LOOKUP(C33,103:103,104:104)+100</f>
        <v>104</v>
      </c>
      <c r="I33" s="533">
        <f>'不动产比较法-洋房'!I33</f>
        <v>339099</v>
      </c>
      <c r="J33" s="255">
        <f>LOOKUP(I33,103:103,104:104)-LOOKUP(C33,103:103,104:104)+100</f>
        <v>101</v>
      </c>
      <c r="K33" s="864"/>
      <c r="L33" s="2137"/>
      <c r="M33" s="2168"/>
      <c r="N33" s="2168"/>
      <c r="O33" s="2140"/>
      <c r="P33" s="3427"/>
      <c r="Q33" s="1602" t="str">
        <f t="shared" si="11"/>
        <v>项目建筑规模</v>
      </c>
      <c r="R33" s="1574" t="s">
        <v>11</v>
      </c>
      <c r="S33" s="1575">
        <f t="shared" si="12"/>
        <v>101</v>
      </c>
      <c r="T33" s="1574" t="s">
        <v>11</v>
      </c>
      <c r="U33" s="1575">
        <f t="shared" si="13"/>
        <v>104</v>
      </c>
      <c r="V33" s="1574" t="s">
        <v>11</v>
      </c>
      <c r="W33" s="1575">
        <f t="shared" si="14"/>
        <v>101</v>
      </c>
      <c r="X33" s="1576"/>
      <c r="Y33" s="3427"/>
      <c r="Z33" s="1577" t="str">
        <f t="shared" si="15"/>
        <v>项目建筑规模</v>
      </c>
      <c r="AA33" s="1573">
        <f t="shared" si="3"/>
        <v>0.99009900990099009</v>
      </c>
      <c r="AB33" s="1573">
        <f t="shared" si="4"/>
        <v>0.96153846153846156</v>
      </c>
      <c r="AC33" s="1573">
        <f t="shared" si="5"/>
        <v>0.99009900990099009</v>
      </c>
    </row>
    <row r="34" spans="1:29" ht="15">
      <c r="A34" s="593"/>
      <c r="B34" s="527" t="s">
        <v>726</v>
      </c>
      <c r="C34" s="880" t="s">
        <v>2999</v>
      </c>
      <c r="D34" s="539">
        <v>100</v>
      </c>
      <c r="E34" s="880" t="s">
        <v>2999</v>
      </c>
      <c r="F34" s="574">
        <f>SUMIF(105:105,E34,106:106)-SUMIF(105:105,C34,106:106)+100</f>
        <v>100</v>
      </c>
      <c r="G34" s="880" t="s">
        <v>2999</v>
      </c>
      <c r="H34" s="539">
        <f>SUMIF(105:105,G34,106:106)-SUMIF(105:105,C34,106:106)+100</f>
        <v>100</v>
      </c>
      <c r="I34" s="880" t="s">
        <v>2999</v>
      </c>
      <c r="J34" s="539">
        <f>SUMIF(105:105,I34,106:106)-SUMIF(105:105,C34,106:106)+100</f>
        <v>100</v>
      </c>
      <c r="K34" s="863">
        <v>1</v>
      </c>
      <c r="L34" s="2139"/>
      <c r="M34" s="2131"/>
      <c r="N34" s="2131"/>
      <c r="O34" s="2138"/>
      <c r="P34" s="3427"/>
      <c r="Q34" s="1569" t="str">
        <f t="shared" si="11"/>
        <v>建筑结构</v>
      </c>
      <c r="R34" s="1570" t="s">
        <v>11</v>
      </c>
      <c r="S34" s="1571">
        <f t="shared" si="12"/>
        <v>100</v>
      </c>
      <c r="T34" s="1570" t="s">
        <v>11</v>
      </c>
      <c r="U34" s="1571">
        <f t="shared" si="13"/>
        <v>100</v>
      </c>
      <c r="V34" s="1570" t="s">
        <v>11</v>
      </c>
      <c r="W34" s="1571">
        <f t="shared" si="14"/>
        <v>100</v>
      </c>
      <c r="X34" s="1564"/>
      <c r="Y34" s="3427"/>
      <c r="Z34" s="1572" t="str">
        <f t="shared" si="15"/>
        <v>建筑结构</v>
      </c>
      <c r="AA34" s="1573">
        <f t="shared" si="3"/>
        <v>1</v>
      </c>
      <c r="AB34" s="1573">
        <f t="shared" si="4"/>
        <v>1</v>
      </c>
      <c r="AC34" s="1573">
        <f t="shared" si="5"/>
        <v>1</v>
      </c>
    </row>
    <row r="35" spans="1:29" ht="15">
      <c r="A35" s="593"/>
      <c r="B35" s="527" t="s">
        <v>727</v>
      </c>
      <c r="C35" s="598" t="s">
        <v>3087</v>
      </c>
      <c r="D35" s="539">
        <v>100</v>
      </c>
      <c r="E35" s="598" t="s">
        <v>3087</v>
      </c>
      <c r="F35" s="574">
        <f>SUMIF(107:107,E35,108:108)-SUMIF(107:107,C35,108:108)+100</f>
        <v>100</v>
      </c>
      <c r="G35" s="598" t="s">
        <v>3087</v>
      </c>
      <c r="H35" s="539">
        <f>SUMIF(107:107,G35,108:108)-SUMIF(107:107,C35,108:108)+100</f>
        <v>100</v>
      </c>
      <c r="I35" s="598" t="s">
        <v>3087</v>
      </c>
      <c r="J35" s="539">
        <f>SUMIF(107:107,I35,108:108)-SUMIF(107:107,C35,108:108)+100</f>
        <v>100</v>
      </c>
      <c r="K35" s="863">
        <v>2</v>
      </c>
      <c r="L35" s="2139"/>
      <c r="M35" s="2131"/>
      <c r="N35" s="2131"/>
      <c r="O35" s="2138"/>
      <c r="P35" s="3427"/>
      <c r="Q35" s="1569" t="str">
        <f t="shared" si="11"/>
        <v>建筑品质</v>
      </c>
      <c r="R35" s="1570" t="s">
        <v>11</v>
      </c>
      <c r="S35" s="1571">
        <f t="shared" si="12"/>
        <v>100</v>
      </c>
      <c r="T35" s="1570" t="s">
        <v>11</v>
      </c>
      <c r="U35" s="1571">
        <f t="shared" si="13"/>
        <v>100</v>
      </c>
      <c r="V35" s="1570" t="s">
        <v>11</v>
      </c>
      <c r="W35" s="1571">
        <f t="shared" si="14"/>
        <v>100</v>
      </c>
      <c r="X35" s="1564"/>
      <c r="Y35" s="3427"/>
      <c r="Z35" s="1572" t="str">
        <f t="shared" si="15"/>
        <v>建筑品质</v>
      </c>
      <c r="AA35" s="1573">
        <f t="shared" si="3"/>
        <v>1</v>
      </c>
      <c r="AB35" s="1573">
        <f t="shared" si="4"/>
        <v>1</v>
      </c>
      <c r="AC35" s="1573">
        <f t="shared" si="5"/>
        <v>1</v>
      </c>
    </row>
    <row r="36" spans="1:29" ht="15">
      <c r="A36" s="593"/>
      <c r="B36" s="527" t="s">
        <v>728</v>
      </c>
      <c r="C36" s="598" t="s">
        <v>3122</v>
      </c>
      <c r="D36" s="539">
        <v>100</v>
      </c>
      <c r="E36" s="598" t="s">
        <v>3122</v>
      </c>
      <c r="F36" s="574">
        <f>SUMIF(109:109,E36,110:110)-SUMIF(109:109,C36,110:110)+100</f>
        <v>100</v>
      </c>
      <c r="G36" s="598" t="s">
        <v>3122</v>
      </c>
      <c r="H36" s="539">
        <f>SUMIF(109:109,G36,110:110)-SUMIF(109:109,C36,110:110)+100</f>
        <v>100</v>
      </c>
      <c r="I36" s="598" t="s">
        <v>3122</v>
      </c>
      <c r="J36" s="539">
        <f>SUMIF(109:109,I36,110:110)-SUMIF(109:109,C36,110:110)+100</f>
        <v>100</v>
      </c>
      <c r="K36" s="863">
        <v>2</v>
      </c>
      <c r="L36" s="2139"/>
      <c r="M36" s="2131"/>
      <c r="N36" s="2131"/>
      <c r="O36" s="2138"/>
      <c r="P36" s="3427"/>
      <c r="Q36" s="1569" t="str">
        <f t="shared" si="11"/>
        <v>公共部分装修</v>
      </c>
      <c r="R36" s="1570" t="s">
        <v>11</v>
      </c>
      <c r="S36" s="1571">
        <f t="shared" si="12"/>
        <v>100</v>
      </c>
      <c r="T36" s="1570" t="s">
        <v>11</v>
      </c>
      <c r="U36" s="1571">
        <f t="shared" si="13"/>
        <v>100</v>
      </c>
      <c r="V36" s="1570" t="s">
        <v>11</v>
      </c>
      <c r="W36" s="1571">
        <f t="shared" si="14"/>
        <v>100</v>
      </c>
      <c r="X36" s="1564"/>
      <c r="Y36" s="3427"/>
      <c r="Z36" s="1572" t="str">
        <f t="shared" si="15"/>
        <v>公共部分装修</v>
      </c>
      <c r="AA36" s="1573">
        <f t="shared" si="3"/>
        <v>1</v>
      </c>
      <c r="AB36" s="1573">
        <f t="shared" si="4"/>
        <v>1</v>
      </c>
      <c r="AC36" s="1573">
        <f t="shared" si="5"/>
        <v>1</v>
      </c>
    </row>
    <row r="37" spans="1:29" s="1219" customFormat="1" ht="15">
      <c r="A37" s="599"/>
      <c r="B37" s="527" t="s">
        <v>729</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v>1</v>
      </c>
      <c r="L37" s="2132"/>
      <c r="M37" s="2133"/>
      <c r="N37" s="2133"/>
      <c r="O37" s="2134"/>
      <c r="P37" s="3427"/>
      <c r="Q37" s="1150" t="str">
        <f t="shared" si="11"/>
        <v>成新度</v>
      </c>
      <c r="R37" s="1565" t="s">
        <v>11</v>
      </c>
      <c r="S37" s="1566">
        <f t="shared" si="12"/>
        <v>100</v>
      </c>
      <c r="T37" s="1565" t="s">
        <v>11</v>
      </c>
      <c r="U37" s="1566">
        <f t="shared" si="13"/>
        <v>100</v>
      </c>
      <c r="V37" s="1565" t="s">
        <v>11</v>
      </c>
      <c r="W37" s="1566">
        <f t="shared" si="14"/>
        <v>100</v>
      </c>
      <c r="X37" s="1567"/>
      <c r="Y37" s="3427"/>
      <c r="Z37" s="1149" t="str">
        <f t="shared" si="15"/>
        <v>成新度</v>
      </c>
      <c r="AA37" s="1568">
        <f t="shared" si="3"/>
        <v>1</v>
      </c>
      <c r="AB37" s="1568">
        <f t="shared" si="4"/>
        <v>1</v>
      </c>
      <c r="AC37" s="1568">
        <f t="shared" si="5"/>
        <v>1</v>
      </c>
    </row>
    <row r="38" spans="1:29" ht="15">
      <c r="A38" s="593"/>
      <c r="B38" s="527" t="s">
        <v>730</v>
      </c>
      <c r="C38" s="598" t="s">
        <v>3087</v>
      </c>
      <c r="D38" s="539">
        <v>100</v>
      </c>
      <c r="E38" s="598" t="s">
        <v>3087</v>
      </c>
      <c r="F38" s="574">
        <f>SUMIF(114:114,E38,115:115)-SUMIF(114:114,C38,115:115)+100</f>
        <v>100</v>
      </c>
      <c r="G38" s="598" t="s">
        <v>3087</v>
      </c>
      <c r="H38" s="539">
        <f>SUMIF(114:114,G38,115:115)-SUMIF(114:114,C38,115:115)+100</f>
        <v>100</v>
      </c>
      <c r="I38" s="598" t="s">
        <v>3087</v>
      </c>
      <c r="J38" s="539">
        <f>SUMIF(114:114,I38,115:115)-SUMIF(114:114,C38,115:115)+100</f>
        <v>100</v>
      </c>
      <c r="K38" s="863">
        <v>1</v>
      </c>
      <c r="L38" s="2139"/>
      <c r="M38" s="2131"/>
      <c r="N38" s="2131"/>
      <c r="O38" s="2138"/>
      <c r="P38" s="3427" t="s">
        <v>549</v>
      </c>
      <c r="Q38" s="1569" t="str">
        <f t="shared" si="11"/>
        <v>物业管理</v>
      </c>
      <c r="R38" s="1570" t="s">
        <v>11</v>
      </c>
      <c r="S38" s="1571">
        <f t="shared" si="12"/>
        <v>100</v>
      </c>
      <c r="T38" s="1570" t="s">
        <v>11</v>
      </c>
      <c r="U38" s="1571">
        <f t="shared" si="13"/>
        <v>100</v>
      </c>
      <c r="V38" s="1570" t="s">
        <v>11</v>
      </c>
      <c r="W38" s="1571">
        <f t="shared" si="14"/>
        <v>100</v>
      </c>
      <c r="X38" s="1564"/>
      <c r="Y38" s="3427" t="s">
        <v>549</v>
      </c>
      <c r="Z38" s="1572" t="str">
        <f t="shared" si="15"/>
        <v>物业管理</v>
      </c>
      <c r="AA38" s="1573">
        <f t="shared" si="3"/>
        <v>1</v>
      </c>
      <c r="AB38" s="1573">
        <f t="shared" si="4"/>
        <v>1</v>
      </c>
      <c r="AC38" s="1573">
        <f t="shared" si="5"/>
        <v>1</v>
      </c>
    </row>
    <row r="39" spans="1:29" ht="15">
      <c r="A39" s="593"/>
      <c r="B39" s="1892" t="s">
        <v>2563</v>
      </c>
      <c r="C39" s="598" t="s">
        <v>3121</v>
      </c>
      <c r="D39" s="539">
        <v>100</v>
      </c>
      <c r="E39" s="598" t="s">
        <v>3121</v>
      </c>
      <c r="F39" s="574">
        <f>SUMIF(116:116,E39,117:117)-SUMIF(116:116,C39,117:117)+100</f>
        <v>100</v>
      </c>
      <c r="G39" s="598" t="s">
        <v>3121</v>
      </c>
      <c r="H39" s="539">
        <f>SUMIF(116:116,G39,117:117)-SUMIF(116:116,C39,117:117)+100</f>
        <v>100</v>
      </c>
      <c r="I39" s="598" t="s">
        <v>3121</v>
      </c>
      <c r="J39" s="539">
        <f>SUMIF(116:116,I39,117:117)-SUMIF(116:116,C39,117:117)+100</f>
        <v>100</v>
      </c>
      <c r="K39" s="863">
        <v>1</v>
      </c>
      <c r="L39" s="2139"/>
      <c r="M39" s="2131"/>
      <c r="N39" s="2131"/>
      <c r="O39" s="2138"/>
      <c r="P39" s="3427"/>
      <c r="Q39" s="1569" t="str">
        <f t="shared" si="11"/>
        <v>市政基础设施</v>
      </c>
      <c r="R39" s="1570" t="s">
        <v>11</v>
      </c>
      <c r="S39" s="1571">
        <f t="shared" si="12"/>
        <v>100</v>
      </c>
      <c r="T39" s="1570" t="s">
        <v>11</v>
      </c>
      <c r="U39" s="1571">
        <f t="shared" si="13"/>
        <v>100</v>
      </c>
      <c r="V39" s="1570" t="s">
        <v>11</v>
      </c>
      <c r="W39" s="1571">
        <f t="shared" si="14"/>
        <v>100</v>
      </c>
      <c r="X39" s="1564"/>
      <c r="Y39" s="3427"/>
      <c r="Z39" s="1572" t="str">
        <f t="shared" si="15"/>
        <v>市政基础设施</v>
      </c>
      <c r="AA39" s="1573">
        <f t="shared" si="3"/>
        <v>1</v>
      </c>
      <c r="AB39" s="1573">
        <f t="shared" si="4"/>
        <v>1</v>
      </c>
      <c r="AC39" s="1573">
        <f t="shared" si="5"/>
        <v>1</v>
      </c>
    </row>
    <row r="40" spans="1:29" ht="15">
      <c r="A40" s="593"/>
      <c r="B40" s="527" t="s">
        <v>731</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v>1</v>
      </c>
      <c r="L40" s="2139"/>
      <c r="M40" s="2131"/>
      <c r="N40" s="2131"/>
      <c r="O40" s="2138"/>
      <c r="P40" s="3427"/>
      <c r="Q40" s="1569" t="str">
        <f t="shared" si="11"/>
        <v>房型</v>
      </c>
      <c r="R40" s="1570" t="s">
        <v>11</v>
      </c>
      <c r="S40" s="1571">
        <f t="shared" si="12"/>
        <v>100</v>
      </c>
      <c r="T40" s="1570" t="s">
        <v>11</v>
      </c>
      <c r="U40" s="1571">
        <f t="shared" si="13"/>
        <v>100</v>
      </c>
      <c r="V40" s="1570" t="s">
        <v>11</v>
      </c>
      <c r="W40" s="1571">
        <f t="shared" si="14"/>
        <v>100</v>
      </c>
      <c r="X40" s="1564"/>
      <c r="Y40" s="3427"/>
      <c r="Z40" s="1572" t="str">
        <f t="shared" si="15"/>
        <v>房型</v>
      </c>
      <c r="AA40" s="1573">
        <f t="shared" si="3"/>
        <v>1</v>
      </c>
      <c r="AB40" s="1573">
        <f t="shared" si="4"/>
        <v>1</v>
      </c>
      <c r="AC40" s="1573">
        <f t="shared" si="5"/>
        <v>1</v>
      </c>
    </row>
    <row r="41" spans="1:29" s="1338" customFormat="1" ht="28.8">
      <c r="A41" s="602"/>
      <c r="B41" s="527" t="s">
        <v>732</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37"/>
      <c r="M41" s="2168"/>
      <c r="N41" s="2168"/>
      <c r="O41" s="2140"/>
      <c r="P41" s="3427"/>
      <c r="Q41" s="1602" t="str">
        <f t="shared" si="11"/>
        <v>单套/主力户型建筑面积</v>
      </c>
      <c r="R41" s="1574" t="s">
        <v>11</v>
      </c>
      <c r="S41" s="1575">
        <f t="shared" si="12"/>
        <v>100</v>
      </c>
      <c r="T41" s="1574" t="s">
        <v>11</v>
      </c>
      <c r="U41" s="1575">
        <f t="shared" si="13"/>
        <v>100</v>
      </c>
      <c r="V41" s="1574" t="s">
        <v>11</v>
      </c>
      <c r="W41" s="1575">
        <f t="shared" si="14"/>
        <v>100</v>
      </c>
      <c r="X41" s="1576"/>
      <c r="Y41" s="3427"/>
      <c r="Z41" s="1577" t="str">
        <f t="shared" si="15"/>
        <v>单套/主力户型建筑面积</v>
      </c>
      <c r="AA41" s="1573">
        <f t="shared" si="3"/>
        <v>1</v>
      </c>
      <c r="AB41" s="1573">
        <f t="shared" si="4"/>
        <v>1</v>
      </c>
      <c r="AC41" s="1573">
        <f t="shared" si="5"/>
        <v>1</v>
      </c>
    </row>
    <row r="42" spans="1:29" ht="15">
      <c r="A42" s="593"/>
      <c r="B42" s="527" t="s">
        <v>733</v>
      </c>
      <c r="C42" s="3212" t="s">
        <v>3122</v>
      </c>
      <c r="D42" s="539">
        <v>100</v>
      </c>
      <c r="E42" s="873" t="s">
        <v>3108</v>
      </c>
      <c r="F42" s="574">
        <f>SUMIF(122:122,E42,123:123)-SUMIF(122:122,C42,123:123)+100</f>
        <v>92.5</v>
      </c>
      <c r="G42" s="598" t="s">
        <v>3108</v>
      </c>
      <c r="H42" s="539">
        <f>SUMIF(122:122,G42,123:123)-SUMIF(122:122,C42,123:123)+100</f>
        <v>92.5</v>
      </c>
      <c r="I42" s="873" t="s">
        <v>3108</v>
      </c>
      <c r="J42" s="539">
        <f>SUMIF(122:122,I42,123:123)-SUMIF(122:122,C42,123:123)+100</f>
        <v>92.5</v>
      </c>
      <c r="K42" s="863">
        <v>2.5</v>
      </c>
      <c r="L42" s="2139"/>
      <c r="M42" s="2131"/>
      <c r="N42" s="2131"/>
      <c r="O42" s="2138"/>
      <c r="P42" s="3427"/>
      <c r="Q42" s="1569" t="str">
        <f t="shared" si="11"/>
        <v>内部装修</v>
      </c>
      <c r="R42" s="1570" t="s">
        <v>11</v>
      </c>
      <c r="S42" s="1571">
        <f t="shared" si="12"/>
        <v>92.5</v>
      </c>
      <c r="T42" s="1570" t="s">
        <v>11</v>
      </c>
      <c r="U42" s="1571">
        <f t="shared" si="13"/>
        <v>92.5</v>
      </c>
      <c r="V42" s="1570" t="s">
        <v>11</v>
      </c>
      <c r="W42" s="1571">
        <f t="shared" si="14"/>
        <v>92.5</v>
      </c>
      <c r="X42" s="1564"/>
      <c r="Y42" s="3427"/>
      <c r="Z42" s="1572" t="str">
        <f t="shared" si="15"/>
        <v>内部装修</v>
      </c>
      <c r="AA42" s="1573">
        <f t="shared" si="3"/>
        <v>1.0810810810810811</v>
      </c>
      <c r="AB42" s="1573">
        <f t="shared" si="4"/>
        <v>1.0810810810810811</v>
      </c>
      <c r="AC42" s="1573">
        <f t="shared" si="5"/>
        <v>1.0810810810810811</v>
      </c>
    </row>
    <row r="43" spans="1:29" ht="28.8">
      <c r="A43" s="593"/>
      <c r="B43" s="527"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27"/>
      <c r="Q43" s="1569" t="str">
        <f t="shared" si="11"/>
        <v>内部装修维护情况</v>
      </c>
      <c r="R43" s="1570" t="s">
        <v>11</v>
      </c>
      <c r="S43" s="1571">
        <f t="shared" si="12"/>
        <v>100</v>
      </c>
      <c r="T43" s="1570" t="s">
        <v>11</v>
      </c>
      <c r="U43" s="1571">
        <f t="shared" si="13"/>
        <v>100</v>
      </c>
      <c r="V43" s="1570" t="s">
        <v>11</v>
      </c>
      <c r="W43" s="1571">
        <f t="shared" si="14"/>
        <v>100</v>
      </c>
      <c r="X43" s="1564"/>
      <c r="Y43" s="3427"/>
      <c r="Z43" s="1572" t="str">
        <f t="shared" si="15"/>
        <v>内部装修维护情况</v>
      </c>
      <c r="AA43" s="1573">
        <f t="shared" si="3"/>
        <v>1</v>
      </c>
      <c r="AB43" s="1573">
        <f t="shared" si="4"/>
        <v>1</v>
      </c>
      <c r="AC43" s="1573">
        <f t="shared" si="5"/>
        <v>1</v>
      </c>
    </row>
    <row r="44" spans="1:29" s="1219" customFormat="1" ht="15">
      <c r="A44" s="599"/>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2"/>
      <c r="M44" s="2133"/>
      <c r="N44" s="2133"/>
      <c r="O44" s="2134"/>
      <c r="P44" s="3427"/>
      <c r="Q44" s="1150">
        <f t="shared" si="11"/>
        <v>111</v>
      </c>
      <c r="R44" s="1565" t="s">
        <v>11</v>
      </c>
      <c r="S44" s="1566">
        <f t="shared" si="12"/>
        <v>100</v>
      </c>
      <c r="T44" s="1565" t="s">
        <v>11</v>
      </c>
      <c r="U44" s="1566">
        <f t="shared" si="13"/>
        <v>100</v>
      </c>
      <c r="V44" s="1565" t="s">
        <v>11</v>
      </c>
      <c r="W44" s="1566">
        <f t="shared" si="14"/>
        <v>100</v>
      </c>
      <c r="X44" s="1567"/>
      <c r="Y44" s="3427"/>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27"/>
      <c r="Q45" s="1569">
        <f t="shared" si="11"/>
        <v>111</v>
      </c>
      <c r="R45" s="1570" t="s">
        <v>11</v>
      </c>
      <c r="S45" s="1571">
        <f t="shared" si="12"/>
        <v>100</v>
      </c>
      <c r="T45" s="1570" t="s">
        <v>11</v>
      </c>
      <c r="U45" s="1571">
        <f t="shared" si="13"/>
        <v>100</v>
      </c>
      <c r="V45" s="1570" t="s">
        <v>11</v>
      </c>
      <c r="W45" s="1571">
        <f t="shared" si="14"/>
        <v>100</v>
      </c>
      <c r="X45" s="1564"/>
      <c r="Y45" s="3427"/>
      <c r="Z45" s="1572">
        <f t="shared" si="15"/>
        <v>111</v>
      </c>
      <c r="AA45" s="1573">
        <f t="shared" si="3"/>
        <v>1</v>
      </c>
      <c r="AB45" s="1573">
        <f t="shared" si="4"/>
        <v>1</v>
      </c>
      <c r="AC45" s="1573">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1"/>
      <c r="Q46" s="1569">
        <f t="shared" si="11"/>
        <v>111</v>
      </c>
      <c r="R46" s="1570" t="s">
        <v>10</v>
      </c>
      <c r="S46" s="1571">
        <f t="shared" si="12"/>
        <v>100</v>
      </c>
      <c r="T46" s="1570" t="s">
        <v>10</v>
      </c>
      <c r="U46" s="1571">
        <f t="shared" si="13"/>
        <v>100</v>
      </c>
      <c r="V46" s="1570" t="s">
        <v>10</v>
      </c>
      <c r="W46" s="1571">
        <f t="shared" si="14"/>
        <v>100</v>
      </c>
      <c r="X46" s="1564"/>
      <c r="Y46" s="3511"/>
      <c r="Z46" s="1572">
        <f t="shared" si="15"/>
        <v>111</v>
      </c>
      <c r="AA46" s="1573">
        <f t="shared" si="3"/>
        <v>1</v>
      </c>
      <c r="AB46" s="1573">
        <f t="shared" si="4"/>
        <v>1</v>
      </c>
      <c r="AC46" s="1573">
        <f t="shared" si="5"/>
        <v>1</v>
      </c>
    </row>
    <row r="47" spans="1:29" ht="14.4">
      <c r="A47" s="606" t="s">
        <v>735</v>
      </c>
      <c r="B47" s="886"/>
      <c r="C47" s="2648" t="s">
        <v>9</v>
      </c>
      <c r="D47" s="2649"/>
      <c r="E47" s="2650">
        <v>13000</v>
      </c>
      <c r="F47" s="2651"/>
      <c r="G47" s="2652">
        <v>12003</v>
      </c>
      <c r="H47" s="2653"/>
      <c r="I47" s="2650">
        <v>13986</v>
      </c>
      <c r="J47" s="2653"/>
      <c r="K47" s="1603"/>
      <c r="L47" s="2141"/>
      <c r="M47" s="2142"/>
      <c r="N47" s="2131"/>
      <c r="O47" s="2142"/>
      <c r="P47" s="3388" t="str">
        <f>A47</f>
        <v>成交单价（元/平方米）</v>
      </c>
      <c r="Q47" s="3388"/>
      <c r="R47" s="3512">
        <f>E47</f>
        <v>13000</v>
      </c>
      <c r="S47" s="3512"/>
      <c r="T47" s="3512">
        <f>G47</f>
        <v>12003</v>
      </c>
      <c r="U47" s="3512"/>
      <c r="V47" s="3512">
        <f>I47</f>
        <v>13986</v>
      </c>
      <c r="W47" s="3512"/>
      <c r="X47" s="1556"/>
      <c r="Y47" s="1578"/>
      <c r="Z47" s="1556"/>
      <c r="AA47" s="1556"/>
      <c r="AB47" s="1556"/>
      <c r="AC47" s="1556"/>
    </row>
    <row r="48" spans="1:29" ht="15" thickBot="1">
      <c r="A48" s="614" t="s">
        <v>2758</v>
      </c>
      <c r="B48" s="887"/>
      <c r="C48" s="2654">
        <f>R49</f>
        <v>14678</v>
      </c>
      <c r="D48" s="2655"/>
      <c r="E48" s="2656">
        <f>R48</f>
        <v>14791</v>
      </c>
      <c r="F48" s="2656"/>
      <c r="G48" s="2654">
        <f>T48</f>
        <v>13954</v>
      </c>
      <c r="H48" s="2655"/>
      <c r="I48" s="2656">
        <f>V48</f>
        <v>15288</v>
      </c>
      <c r="J48" s="2655"/>
      <c r="K48" s="1604"/>
      <c r="L48" s="2141"/>
      <c r="M48" s="2142"/>
      <c r="N48" s="2142"/>
      <c r="O48" s="2142"/>
      <c r="P48" s="3388" t="str">
        <f>A48</f>
        <v>比较价格（元/平方米）</v>
      </c>
      <c r="Q48" s="3388"/>
      <c r="R48" s="3512">
        <f>IF(F1="售价",ROUND(PRODUCT(R47,AA7:AA46),0),ROUND(PRODUCT(R47,AA7:AA46),1))</f>
        <v>14791</v>
      </c>
      <c r="S48" s="3512"/>
      <c r="T48" s="3512">
        <f>IF(F1="售价",ROUND(PRODUCT(T47,AB7:AB46),0),ROUND(PRODUCT(T47,AB7:AB46),1))</f>
        <v>13954</v>
      </c>
      <c r="U48" s="3512"/>
      <c r="V48" s="3512">
        <f>IF(F1="售价",ROUND(PRODUCT(V47,AC7:AC46),0),ROUND(PRODUCT(V47,AC7:AC46),1))</f>
        <v>15288</v>
      </c>
      <c r="W48" s="3512"/>
      <c r="X48" s="1556"/>
      <c r="Y48" s="1556"/>
      <c r="Z48" s="1556"/>
      <c r="AA48" s="1556"/>
      <c r="AB48" s="1556"/>
      <c r="AC48" s="1556"/>
    </row>
    <row r="49" spans="1:29" ht="15" thickBot="1">
      <c r="A49" s="620" t="s">
        <v>2931</v>
      </c>
      <c r="B49" s="621"/>
      <c r="C49" s="2657">
        <f>R49</f>
        <v>14678</v>
      </c>
      <c r="D49" s="2657"/>
      <c r="E49" s="2657"/>
      <c r="F49" s="2657"/>
      <c r="G49" s="2657"/>
      <c r="H49" s="2657"/>
      <c r="I49" s="2657"/>
      <c r="J49" s="2657"/>
      <c r="K49" s="1605"/>
      <c r="L49" s="2141"/>
      <c r="M49" s="2142"/>
      <c r="N49" s="2142"/>
      <c r="O49" s="2142"/>
      <c r="P49" s="3385" t="str">
        <f>A49</f>
        <v>估价对象XX用房的比较价格（楼面单价，元/平方米）</v>
      </c>
      <c r="Q49" s="3386"/>
      <c r="R49" s="3513">
        <f>IF(F1="售价",ROUND(AVERAGE(R48:V48),0),ROUND(AVERAGE(R48:V48),1))</f>
        <v>14678</v>
      </c>
      <c r="S49" s="3513"/>
      <c r="T49" s="3513"/>
      <c r="U49" s="3513"/>
      <c r="V49" s="3513"/>
      <c r="W49" s="3513"/>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f>IF(E47&lt;E48,E48/E47-1,E47/E48-1)</f>
        <v>0.13776923076923087</v>
      </c>
      <c r="F52" s="626" t="str">
        <f>IF(OR(E52&gt;=0.3,E52&lt;=-0.3),"超过30%","")</f>
        <v/>
      </c>
      <c r="G52" s="625">
        <f>IF(G47&lt;G48,G48/G47-1,G47/G48-1)</f>
        <v>0.1625426976589186</v>
      </c>
      <c r="H52" s="626" t="str">
        <f>IF(OR(G52&gt;=0.3,G52&lt;=-0.3),"超过30%","")</f>
        <v/>
      </c>
      <c r="I52" s="625">
        <f>IF(I47&lt;I48,I48/I47-1,I47/I48-1)</f>
        <v>9.3093093093093104E-2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f>IF(E48&lt;G48,G48/E48-1,E48/G48-1)</f>
        <v>5.998280063064354E-2</v>
      </c>
      <c r="F53" s="626" t="str">
        <f>IF(OR(E53&gt;=0.2,E53&lt;=-0.2),"超过20%","")</f>
        <v/>
      </c>
      <c r="G53" s="625">
        <f>IF(G48&lt;I48,I48/G48-1,G48/I48-1)</f>
        <v>9.5599828006306398E-2</v>
      </c>
      <c r="H53" s="626" t="str">
        <f>IF(OR(G53&gt;=0.2,G53&lt;=-0.2),"超过20%","")</f>
        <v/>
      </c>
      <c r="I53" s="625">
        <f>IF(I48&lt;E48,E48/I48-1,I48/E48-1)</f>
        <v>3.3601514434453472E-2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f>IF(E47&lt;G47,G47/E47-1,E47/G47-1)</f>
        <v>8.3062567691410516E-2</v>
      </c>
      <c r="F54" s="626" t="str">
        <f>IF(OR(E54&gt;=0.3,E54&lt;=-0.3),"超过30%","")</f>
        <v/>
      </c>
      <c r="G54" s="625">
        <f>IF(G47&lt;I47,I47/G47-1,G47/I47-1)</f>
        <v>0.16520869782554359</v>
      </c>
      <c r="H54" s="626" t="str">
        <f>IF(OR(G54&gt;=0.3,G54&lt;=-0.3),"超过30%","")</f>
        <v/>
      </c>
      <c r="I54" s="625">
        <f>IF(I47&lt;E47,E47/I47-1,I47/E47-1)</f>
        <v>7.5846153846153896E-2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4.4">
      <c r="A58" s="644" t="s">
        <v>528</v>
      </c>
      <c r="B58" s="645"/>
      <c r="C58" s="2825" t="str">
        <f>YEAR(C7)&amp;"-"&amp;MONTH(C7)</f>
        <v>2019-2</v>
      </c>
      <c r="D58" s="2825">
        <f>EDATE(C58,-1)</f>
        <v>43466</v>
      </c>
      <c r="E58" s="2825">
        <f t="shared" ref="E58:O58" si="16">EDATE(D58,-1)</f>
        <v>43435</v>
      </c>
      <c r="F58" s="2825">
        <f t="shared" si="16"/>
        <v>43405</v>
      </c>
      <c r="G58" s="2825">
        <f t="shared" si="16"/>
        <v>43374</v>
      </c>
      <c r="H58" s="2825">
        <f t="shared" si="16"/>
        <v>43344</v>
      </c>
      <c r="I58" s="2825">
        <f t="shared" si="16"/>
        <v>43313</v>
      </c>
      <c r="J58" s="2825">
        <f t="shared" si="16"/>
        <v>43282</v>
      </c>
      <c r="K58" s="2825">
        <f t="shared" si="16"/>
        <v>43252</v>
      </c>
      <c r="L58" s="2825">
        <f t="shared" si="16"/>
        <v>43221</v>
      </c>
      <c r="M58" s="2825">
        <f t="shared" si="16"/>
        <v>43191</v>
      </c>
      <c r="N58" s="2825">
        <f t="shared" si="16"/>
        <v>43160</v>
      </c>
      <c r="O58" s="2825">
        <f t="shared" si="16"/>
        <v>43132</v>
      </c>
      <c r="P58" s="2157"/>
      <c r="Q58" s="2158"/>
      <c r="R58" s="2158"/>
      <c r="S58" s="2158"/>
      <c r="T58" s="2158"/>
      <c r="U58" s="2158"/>
      <c r="V58" s="2158"/>
      <c r="W58" s="2158"/>
      <c r="X58" s="2158"/>
      <c r="Y58" s="2158"/>
      <c r="Z58" s="2158"/>
      <c r="AA58" s="2158"/>
      <c r="AB58" s="2158"/>
      <c r="AC58" s="2158"/>
    </row>
    <row r="59" spans="1:29" s="1219" customFormat="1">
      <c r="A59" s="646"/>
      <c r="B59" s="647"/>
      <c r="C59" s="648">
        <v>100</v>
      </c>
      <c r="D59" s="649">
        <v>100</v>
      </c>
      <c r="E59" s="649">
        <v>100</v>
      </c>
      <c r="F59" s="649">
        <f t="shared" ref="F59" si="17">E59-$C$60</f>
        <v>99.5</v>
      </c>
      <c r="G59" s="649">
        <v>99.5</v>
      </c>
      <c r="H59" s="649">
        <v>99.5</v>
      </c>
      <c r="I59" s="649">
        <v>99</v>
      </c>
      <c r="J59" s="649">
        <v>99</v>
      </c>
      <c r="K59" s="649">
        <v>99</v>
      </c>
      <c r="L59" s="649"/>
      <c r="M59" s="649"/>
      <c r="N59" s="649"/>
      <c r="O59" s="649"/>
      <c r="P59" s="2155"/>
      <c r="Q59" s="1990"/>
      <c r="R59" s="1990"/>
      <c r="S59" s="1990"/>
      <c r="T59" s="1990"/>
      <c r="U59" s="1990"/>
      <c r="V59" s="1990"/>
      <c r="W59" s="1990"/>
      <c r="X59" s="1990"/>
      <c r="Y59" s="1990"/>
      <c r="Z59" s="1990"/>
      <c r="AA59" s="1990"/>
      <c r="AB59" s="1990"/>
      <c r="AC59" s="1990"/>
    </row>
    <row r="60" spans="1:29" s="1219" customFormat="1" ht="15" thickBot="1">
      <c r="A60" s="652" t="s">
        <v>574</v>
      </c>
      <c r="B60" s="653"/>
      <c r="C60" s="654">
        <v>0.5</v>
      </c>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4.4">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4.4"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576</v>
      </c>
      <c r="B63" s="664" t="s">
        <v>533</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v>100</v>
      </c>
      <c r="D64" s="670"/>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8">C66-$K10</f>
        <v>99.5</v>
      </c>
      <c r="E66" s="678">
        <f t="shared" si="18"/>
        <v>99</v>
      </c>
      <c r="F66" s="678">
        <f t="shared" si="18"/>
        <v>98.5</v>
      </c>
      <c r="G66" s="678">
        <f t="shared" si="18"/>
        <v>98</v>
      </c>
      <c r="H66" s="678">
        <f t="shared" si="18"/>
        <v>97.5</v>
      </c>
      <c r="I66" s="678">
        <f t="shared" si="18"/>
        <v>97</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537</v>
      </c>
      <c r="C67" s="681" t="str">
        <f>C68&amp;"（含）"&amp;"-"&amp;D68</f>
        <v>0（含）-0.5</v>
      </c>
      <c r="D67" s="681" t="str">
        <f t="shared" ref="D67:L67" si="19">D68&amp;"（含）"&amp;"-"&amp;E68</f>
        <v>0.5（含）-1</v>
      </c>
      <c r="E67" s="681" t="str">
        <f t="shared" si="19"/>
        <v>1（含）-1.5</v>
      </c>
      <c r="F67" s="681" t="str">
        <f t="shared" si="19"/>
        <v>1.5（含）-2</v>
      </c>
      <c r="G67" s="681" t="str">
        <f t="shared" si="19"/>
        <v>2（含）-2.5</v>
      </c>
      <c r="H67" s="681" t="str">
        <f t="shared" si="19"/>
        <v>2.5（含）-3</v>
      </c>
      <c r="I67" s="681" t="str">
        <f t="shared" si="19"/>
        <v>3（含）-3.5</v>
      </c>
      <c r="J67" s="681" t="str">
        <f t="shared" si="19"/>
        <v>3.5（含）-4</v>
      </c>
      <c r="K67" s="681" t="str">
        <f t="shared" si="19"/>
        <v>4（含）-4.5</v>
      </c>
      <c r="L67" s="681" t="str">
        <f t="shared" si="19"/>
        <v>4.5（含）-5</v>
      </c>
      <c r="M67" s="554" t="str">
        <f>M68&amp;"（含）"&amp;"-"&amp;P68</f>
        <v>5（含）-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0.5</v>
      </c>
      <c r="E68" s="540">
        <v>1</v>
      </c>
      <c r="F68" s="540">
        <v>1.5</v>
      </c>
      <c r="G68" s="540">
        <v>2</v>
      </c>
      <c r="H68" s="540">
        <v>2.5</v>
      </c>
      <c r="I68" s="540">
        <v>3</v>
      </c>
      <c r="J68" s="540">
        <v>3.5</v>
      </c>
      <c r="K68" s="683">
        <v>4</v>
      </c>
      <c r="L68" s="684">
        <v>4.5</v>
      </c>
      <c r="M68" s="685">
        <v>5</v>
      </c>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63"/>
      <c r="O69" s="2163"/>
      <c r="P69" s="2162"/>
      <c r="Q69" s="2155"/>
      <c r="R69" s="2142"/>
      <c r="S69" s="2142"/>
      <c r="T69" s="2142"/>
      <c r="U69" s="2142"/>
      <c r="V69" s="2142"/>
      <c r="W69" s="2142"/>
      <c r="X69" s="2142"/>
      <c r="Y69" s="2142"/>
      <c r="Z69" s="2142"/>
      <c r="AA69" s="2142"/>
      <c r="AB69" s="2142"/>
      <c r="AC69" s="2142"/>
    </row>
    <row r="70" spans="1:29" s="1338"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95</v>
      </c>
      <c r="E77" s="678">
        <f>D77-$K15</f>
        <v>90</v>
      </c>
      <c r="F77" s="678">
        <f>E77-$K15</f>
        <v>85</v>
      </c>
      <c r="G77" s="678">
        <f>F77-$K15</f>
        <v>80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2556</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 thickTop="1">
      <c r="A86" s="708"/>
      <c r="B86" s="1893" t="s">
        <v>2258</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4.4"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63"/>
      <c r="O87" s="2163"/>
      <c r="P87" s="2162"/>
      <c r="Q87" s="2155"/>
      <c r="R87" s="1990"/>
      <c r="S87" s="1990"/>
      <c r="T87" s="1990"/>
      <c r="U87" s="1990"/>
      <c r="V87" s="1990"/>
      <c r="W87" s="1990"/>
      <c r="X87" s="1990"/>
      <c r="Y87" s="1990"/>
      <c r="Z87" s="1990"/>
      <c r="AA87" s="1990"/>
      <c r="AB87" s="1990"/>
      <c r="AC87" s="1990"/>
    </row>
    <row r="88" spans="1:29" s="1219" customFormat="1" ht="15" thickTop="1">
      <c r="A88" s="708"/>
      <c r="B88" s="672" t="s">
        <v>745</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4.4"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63"/>
      <c r="O89" s="2163"/>
      <c r="P89" s="2162"/>
      <c r="Q89" s="2155"/>
      <c r="R89" s="1990"/>
      <c r="S89" s="1990"/>
      <c r="T89" s="1990"/>
      <c r="U89" s="1990"/>
      <c r="V89" s="1990"/>
      <c r="W89" s="1990"/>
      <c r="X89" s="1990"/>
      <c r="Y89" s="1990"/>
      <c r="Z89" s="1990"/>
      <c r="AA89" s="1990"/>
      <c r="AB89" s="1990"/>
      <c r="AC89" s="1990"/>
    </row>
    <row r="90" spans="1:29" s="1338" customFormat="1" ht="15" thickTop="1">
      <c r="A90" s="686"/>
      <c r="B90" s="672" t="str">
        <f>B27</f>
        <v>道路级别</v>
      </c>
      <c r="C90" s="3180" t="s">
        <v>3067</v>
      </c>
      <c r="D90" s="3180" t="s">
        <v>3068</v>
      </c>
      <c r="E90" s="3180" t="s">
        <v>3069</v>
      </c>
      <c r="F90" s="3180" t="s">
        <v>3070</v>
      </c>
      <c r="G90" s="3180" t="s">
        <v>3071</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4.4"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28.8">
      <c r="A100" s="663" t="s">
        <v>550</v>
      </c>
      <c r="B100" s="664" t="s">
        <v>746</v>
      </c>
      <c r="C100" s="3179" t="s">
        <v>3128</v>
      </c>
      <c r="D100" s="3179" t="s">
        <v>3131</v>
      </c>
      <c r="E100" s="3179" t="s">
        <v>3129</v>
      </c>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3">C101-$K32</f>
        <v>95</v>
      </c>
      <c r="E101" s="678">
        <f t="shared" si="23"/>
        <v>90</v>
      </c>
      <c r="F101" s="678">
        <f t="shared" si="23"/>
        <v>85</v>
      </c>
      <c r="G101" s="678">
        <f t="shared" si="23"/>
        <v>80</v>
      </c>
      <c r="H101" s="678">
        <f t="shared" si="23"/>
        <v>75</v>
      </c>
      <c r="I101" s="678">
        <f t="shared" si="23"/>
        <v>70</v>
      </c>
      <c r="J101" s="678">
        <f t="shared" si="23"/>
        <v>65</v>
      </c>
      <c r="K101" s="678">
        <f t="shared" si="23"/>
        <v>60</v>
      </c>
      <c r="L101" s="678">
        <f t="shared" si="23"/>
        <v>55</v>
      </c>
      <c r="M101" s="678">
        <f t="shared" si="23"/>
        <v>50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747</v>
      </c>
      <c r="C102" s="707" t="str">
        <f>C103&amp;"(含)"&amp;"-"&amp;D103</f>
        <v>0(含)-300000</v>
      </c>
      <c r="D102" s="707" t="str">
        <f t="shared" ref="D102:L102" si="24">D103&amp;"(含)"&amp;"-"&amp;E103</f>
        <v>300000(含)-600000</v>
      </c>
      <c r="E102" s="707" t="str">
        <f t="shared" si="24"/>
        <v>600000(含)-900000</v>
      </c>
      <c r="F102" s="707" t="str">
        <f t="shared" si="24"/>
        <v>900000(含)-1200000</v>
      </c>
      <c r="G102" s="707" t="str">
        <f t="shared" si="24"/>
        <v>1200000(含)-1500000</v>
      </c>
      <c r="H102" s="707" t="str">
        <f t="shared" si="24"/>
        <v>1500000(含)-1800000</v>
      </c>
      <c r="I102" s="707" t="str">
        <f t="shared" si="24"/>
        <v>1800000(含)-2100000</v>
      </c>
      <c r="J102" s="707" t="str">
        <f t="shared" si="24"/>
        <v>2100000(含)-2400000</v>
      </c>
      <c r="K102" s="707" t="str">
        <f t="shared" si="24"/>
        <v>2400000(含)-2700000</v>
      </c>
      <c r="L102" s="707" t="str">
        <f t="shared" si="24"/>
        <v>2700000(含)-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v>0</v>
      </c>
      <c r="D103" s="729">
        <f>C103+300000</f>
        <v>300000</v>
      </c>
      <c r="E103" s="729">
        <f t="shared" ref="E103:L103" si="25">D103+300000</f>
        <v>600000</v>
      </c>
      <c r="F103" s="729">
        <f t="shared" si="25"/>
        <v>900000</v>
      </c>
      <c r="G103" s="729">
        <f t="shared" si="25"/>
        <v>1200000</v>
      </c>
      <c r="H103" s="729">
        <f t="shared" si="25"/>
        <v>1500000</v>
      </c>
      <c r="I103" s="729">
        <f t="shared" si="25"/>
        <v>1800000</v>
      </c>
      <c r="J103" s="729">
        <f t="shared" si="25"/>
        <v>2100000</v>
      </c>
      <c r="K103" s="729">
        <f t="shared" si="25"/>
        <v>2400000</v>
      </c>
      <c r="L103" s="729">
        <f t="shared" si="25"/>
        <v>2700000</v>
      </c>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4.4" thickBot="1">
      <c r="A104" s="686"/>
      <c r="B104" s="677"/>
      <c r="C104" s="691">
        <v>100</v>
      </c>
      <c r="D104" s="670">
        <v>101</v>
      </c>
      <c r="E104" s="670">
        <v>102</v>
      </c>
      <c r="F104" s="691">
        <v>103</v>
      </c>
      <c r="G104" s="670">
        <v>104</v>
      </c>
      <c r="H104" s="670">
        <v>105</v>
      </c>
      <c r="I104" s="691">
        <v>106</v>
      </c>
      <c r="J104" s="670">
        <v>107</v>
      </c>
      <c r="K104" s="670">
        <v>108</v>
      </c>
      <c r="L104" s="670">
        <v>109</v>
      </c>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3180" t="s">
        <v>3117</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6">C106-$K34</f>
        <v>99</v>
      </c>
      <c r="E106" s="678">
        <f t="shared" si="26"/>
        <v>98</v>
      </c>
      <c r="F106" s="678">
        <f t="shared" si="26"/>
        <v>97</v>
      </c>
      <c r="G106" s="678">
        <f t="shared" si="26"/>
        <v>96</v>
      </c>
      <c r="H106" s="678">
        <f t="shared" si="26"/>
        <v>95</v>
      </c>
      <c r="I106" s="678">
        <f t="shared" si="26"/>
        <v>94</v>
      </c>
      <c r="J106" s="678">
        <f t="shared" si="26"/>
        <v>93</v>
      </c>
      <c r="K106" s="678">
        <f t="shared" si="26"/>
        <v>92</v>
      </c>
      <c r="L106" s="678">
        <f t="shared" si="26"/>
        <v>91</v>
      </c>
      <c r="M106" s="678">
        <f t="shared" si="26"/>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749</v>
      </c>
      <c r="C107" s="3180" t="s">
        <v>3112</v>
      </c>
      <c r="D107" s="3180" t="s">
        <v>3113</v>
      </c>
      <c r="E107" s="3183" t="s">
        <v>3114</v>
      </c>
      <c r="F107" s="3183" t="s">
        <v>3115</v>
      </c>
      <c r="G107" s="3183" t="s">
        <v>3116</v>
      </c>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7">C108-$K35</f>
        <v>98</v>
      </c>
      <c r="E108" s="678">
        <f t="shared" si="27"/>
        <v>96</v>
      </c>
      <c r="F108" s="678">
        <f t="shared" si="27"/>
        <v>94</v>
      </c>
      <c r="G108" s="678">
        <f t="shared" si="27"/>
        <v>92</v>
      </c>
      <c r="H108" s="678">
        <f t="shared" si="27"/>
        <v>90</v>
      </c>
      <c r="I108" s="678">
        <f t="shared" si="27"/>
        <v>88</v>
      </c>
      <c r="J108" s="678">
        <f t="shared" si="27"/>
        <v>86</v>
      </c>
      <c r="K108" s="678">
        <f t="shared" si="27"/>
        <v>84</v>
      </c>
      <c r="L108" s="678">
        <f t="shared" si="27"/>
        <v>82</v>
      </c>
      <c r="M108" s="678">
        <f t="shared" si="27"/>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750</v>
      </c>
      <c r="C109" s="3180" t="s">
        <v>3105</v>
      </c>
      <c r="D109" s="3180" t="s">
        <v>3106</v>
      </c>
      <c r="E109" s="3180" t="s">
        <v>3107</v>
      </c>
      <c r="F109" s="3183" t="s">
        <v>3109</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28">C110-$K36</f>
        <v>98</v>
      </c>
      <c r="E110" s="678">
        <f t="shared" si="28"/>
        <v>96</v>
      </c>
      <c r="F110" s="678">
        <f t="shared" si="28"/>
        <v>94</v>
      </c>
      <c r="G110" s="678">
        <f t="shared" si="28"/>
        <v>92</v>
      </c>
      <c r="H110" s="678">
        <f t="shared" si="28"/>
        <v>90</v>
      </c>
      <c r="I110" s="678">
        <f t="shared" si="28"/>
        <v>88</v>
      </c>
      <c r="J110" s="678">
        <f t="shared" si="28"/>
        <v>86</v>
      </c>
      <c r="K110" s="678">
        <f t="shared" si="28"/>
        <v>84</v>
      </c>
      <c r="L110" s="678">
        <f t="shared" si="28"/>
        <v>82</v>
      </c>
      <c r="M110" s="678">
        <f t="shared" si="28"/>
        <v>80</v>
      </c>
      <c r="N110" s="2163"/>
      <c r="O110" s="2163"/>
      <c r="P110" s="2162"/>
      <c r="Q110" s="2155"/>
      <c r="R110" s="2142"/>
      <c r="S110" s="2142"/>
      <c r="T110" s="2142"/>
      <c r="U110" s="2142"/>
      <c r="V110" s="2142"/>
      <c r="W110" s="2142"/>
      <c r="X110" s="2142"/>
      <c r="Y110" s="2142"/>
      <c r="Z110" s="2142"/>
      <c r="AA110" s="2142"/>
      <c r="AB110" s="2142"/>
      <c r="AC110" s="2142"/>
    </row>
    <row r="111" spans="1:29" s="1338"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8"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8"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752</v>
      </c>
      <c r="C114" s="3180" t="s">
        <v>3112</v>
      </c>
      <c r="D114" s="3180" t="s">
        <v>3113</v>
      </c>
      <c r="E114" s="3183" t="s">
        <v>3114</v>
      </c>
      <c r="F114" s="3183" t="s">
        <v>3115</v>
      </c>
      <c r="G114" s="3183" t="s">
        <v>3116</v>
      </c>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9">C115-$K38</f>
        <v>99</v>
      </c>
      <c r="E115" s="678">
        <f t="shared" si="29"/>
        <v>98</v>
      </c>
      <c r="F115" s="678">
        <f t="shared" si="29"/>
        <v>97</v>
      </c>
      <c r="G115" s="678">
        <f t="shared" si="29"/>
        <v>96</v>
      </c>
      <c r="H115" s="678">
        <f t="shared" si="29"/>
        <v>95</v>
      </c>
      <c r="I115" s="678">
        <f t="shared" si="29"/>
        <v>94</v>
      </c>
      <c r="J115" s="678">
        <f t="shared" si="29"/>
        <v>93</v>
      </c>
      <c r="K115" s="678">
        <f t="shared" si="29"/>
        <v>92</v>
      </c>
      <c r="L115" s="678">
        <f t="shared" si="29"/>
        <v>91</v>
      </c>
      <c r="M115" s="678">
        <f t="shared" si="29"/>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2555</v>
      </c>
      <c r="C116" s="3180" t="s">
        <v>3123</v>
      </c>
      <c r="D116" s="3180" t="s">
        <v>3124</v>
      </c>
      <c r="E116" s="3180" t="s">
        <v>3125</v>
      </c>
      <c r="F116" s="3180" t="s">
        <v>3126</v>
      </c>
      <c r="G116" s="3180" t="s">
        <v>3127</v>
      </c>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753</v>
      </c>
      <c r="C118" s="3183" t="s">
        <v>3110</v>
      </c>
      <c r="D118" s="3183" t="s">
        <v>3111</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30">C119-$K40</f>
        <v>99</v>
      </c>
      <c r="E119" s="678">
        <f t="shared" si="30"/>
        <v>98</v>
      </c>
      <c r="F119" s="678">
        <f t="shared" si="30"/>
        <v>97</v>
      </c>
      <c r="G119" s="678">
        <f t="shared" si="30"/>
        <v>96</v>
      </c>
      <c r="H119" s="678">
        <f t="shared" si="30"/>
        <v>95</v>
      </c>
      <c r="I119" s="678">
        <f t="shared" si="30"/>
        <v>94</v>
      </c>
      <c r="J119" s="678">
        <f t="shared" si="30"/>
        <v>93</v>
      </c>
      <c r="K119" s="678">
        <f t="shared" si="30"/>
        <v>92</v>
      </c>
      <c r="L119" s="678">
        <f t="shared" si="30"/>
        <v>91</v>
      </c>
      <c r="M119" s="678">
        <f t="shared" si="30"/>
        <v>90</v>
      </c>
      <c r="N119" s="2163"/>
      <c r="O119" s="2163"/>
      <c r="P119" s="2162"/>
      <c r="Q119" s="2155"/>
      <c r="R119" s="2142"/>
      <c r="S119" s="2142"/>
      <c r="T119" s="2142"/>
      <c r="U119" s="2142"/>
      <c r="V119" s="2142"/>
      <c r="W119" s="2142"/>
      <c r="X119" s="2142"/>
      <c r="Y119" s="2142"/>
      <c r="Z119" s="2142"/>
      <c r="AA119" s="2142"/>
      <c r="AB119" s="2142"/>
      <c r="AC119" s="2142"/>
    </row>
    <row r="120" spans="1:29" s="1338" customFormat="1" ht="29.4" thickTop="1">
      <c r="A120" s="727"/>
      <c r="B120" s="672" t="s">
        <v>732</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8"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3180" t="s">
        <v>3105</v>
      </c>
      <c r="D122" s="3180" t="s">
        <v>3106</v>
      </c>
      <c r="E122" s="3180" t="s">
        <v>3107</v>
      </c>
      <c r="F122" s="3183" t="s">
        <v>3109</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31">C123-$K42</f>
        <v>97.5</v>
      </c>
      <c r="E123" s="678">
        <f t="shared" si="31"/>
        <v>95</v>
      </c>
      <c r="F123" s="678">
        <f t="shared" si="31"/>
        <v>92.5</v>
      </c>
      <c r="G123" s="678">
        <f t="shared" si="31"/>
        <v>90</v>
      </c>
      <c r="H123" s="678">
        <f t="shared" si="31"/>
        <v>87.5</v>
      </c>
      <c r="I123" s="678">
        <f t="shared" si="31"/>
        <v>85</v>
      </c>
      <c r="J123" s="678">
        <f t="shared" si="31"/>
        <v>82.5</v>
      </c>
      <c r="K123" s="678">
        <f t="shared" si="31"/>
        <v>80</v>
      </c>
      <c r="L123" s="678">
        <f t="shared" si="31"/>
        <v>77.5</v>
      </c>
      <c r="M123" s="678">
        <f t="shared" si="31"/>
        <v>75</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2271</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2273</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2274</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2275</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756</v>
      </c>
      <c r="C1" s="504" t="s">
        <v>719</v>
      </c>
      <c r="D1" s="2367"/>
      <c r="E1" s="506"/>
      <c r="F1" s="2828"/>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466</v>
      </c>
      <c r="B2" s="849" t="e">
        <f>ROUND(B3*D3/10000,0)</f>
        <v>#DIV/0!</v>
      </c>
      <c r="C2" s="2124"/>
      <c r="D2" s="2124"/>
      <c r="E2" s="2058"/>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518</v>
      </c>
      <c r="B3" s="510" t="e">
        <f>C49</f>
        <v>#DIV/0!</v>
      </c>
      <c r="C3" s="851" t="s">
        <v>721</v>
      </c>
      <c r="D3" s="850">
        <f>SUMIF('数据-汇总表'!$C19:$C33,D1,'数据-汇总表'!$E19:$E33)</f>
        <v>0</v>
      </c>
      <c r="E3" s="2058"/>
      <c r="F3" s="2126"/>
      <c r="G3" s="2125"/>
      <c r="H3" s="2125"/>
      <c r="I3" s="2125"/>
      <c r="J3" s="2125"/>
      <c r="K3" s="2127"/>
      <c r="L3" s="2128"/>
      <c r="M3" s="2129"/>
      <c r="N3" s="2129"/>
      <c r="O3" s="2129"/>
      <c r="P3" s="1561"/>
      <c r="Q3" s="1561"/>
      <c r="R3" s="1561"/>
      <c r="S3" s="1561"/>
      <c r="T3" s="1561"/>
      <c r="U3" s="1561"/>
      <c r="V3" s="1561"/>
      <c r="W3" s="1561"/>
      <c r="X3" s="1561"/>
      <c r="Y3" s="1561"/>
      <c r="Z3" s="1561"/>
      <c r="AA3" s="1561"/>
      <c r="AB3" s="1561"/>
      <c r="AC3" s="428"/>
    </row>
    <row r="4" spans="1:29" ht="14.4">
      <c r="A4" s="512" t="s">
        <v>520</v>
      </c>
      <c r="B4" s="513"/>
      <c r="C4" s="3394" t="s">
        <v>521</v>
      </c>
      <c r="D4" s="3395"/>
      <c r="E4" s="3434" t="s">
        <v>522</v>
      </c>
      <c r="F4" s="3435"/>
      <c r="G4" s="3394" t="s">
        <v>523</v>
      </c>
      <c r="H4" s="3395"/>
      <c r="I4" s="3394" t="s">
        <v>524</v>
      </c>
      <c r="J4" s="3395"/>
      <c r="K4" s="514" t="s">
        <v>525</v>
      </c>
      <c r="L4" s="2130"/>
      <c r="M4" s="2131"/>
      <c r="N4" s="2131"/>
      <c r="O4" s="2131"/>
      <c r="P4" s="3396" t="s">
        <v>526</v>
      </c>
      <c r="Q4" s="3397"/>
      <c r="R4" s="3402" t="s">
        <v>522</v>
      </c>
      <c r="S4" s="3403"/>
      <c r="T4" s="3402" t="s">
        <v>523</v>
      </c>
      <c r="U4" s="3403"/>
      <c r="V4" s="3389" t="s">
        <v>524</v>
      </c>
      <c r="W4" s="3389"/>
      <c r="X4" s="1564"/>
      <c r="Y4" s="3402" t="s">
        <v>526</v>
      </c>
      <c r="Z4" s="3403"/>
      <c r="AA4" s="3391" t="s">
        <v>522</v>
      </c>
      <c r="AB4" s="3389" t="s">
        <v>523</v>
      </c>
      <c r="AC4" s="3391" t="s">
        <v>524</v>
      </c>
    </row>
    <row r="5" spans="1:29">
      <c r="A5" s="515"/>
      <c r="B5" s="516"/>
      <c r="C5" s="3428" t="s">
        <v>2925</v>
      </c>
      <c r="D5" s="3429"/>
      <c r="E5" s="3436" t="s">
        <v>2926</v>
      </c>
      <c r="F5" s="3437"/>
      <c r="G5" s="3428" t="s">
        <v>2927</v>
      </c>
      <c r="H5" s="3429"/>
      <c r="I5" s="3428" t="s">
        <v>2928</v>
      </c>
      <c r="J5" s="3429"/>
      <c r="K5" s="514"/>
      <c r="L5" s="2130"/>
      <c r="M5" s="2131"/>
      <c r="N5" s="2131"/>
      <c r="O5" s="2131"/>
      <c r="P5" s="3398"/>
      <c r="Q5" s="3399"/>
      <c r="R5" s="3404"/>
      <c r="S5" s="3405"/>
      <c r="T5" s="3404"/>
      <c r="U5" s="3405"/>
      <c r="V5" s="3389"/>
      <c r="W5" s="3389"/>
      <c r="X5" s="1564"/>
      <c r="Y5" s="3404"/>
      <c r="Z5" s="3405"/>
      <c r="AA5" s="3392"/>
      <c r="AB5" s="3389"/>
      <c r="AC5" s="3392"/>
    </row>
    <row r="6" spans="1:29" ht="15" thickBot="1">
      <c r="A6" s="517"/>
      <c r="B6" s="518"/>
      <c r="C6" s="3430" t="s">
        <v>2929</v>
      </c>
      <c r="D6" s="3431"/>
      <c r="E6" s="3432" t="s">
        <v>2929</v>
      </c>
      <c r="F6" s="3433"/>
      <c r="G6" s="3430" t="s">
        <v>2929</v>
      </c>
      <c r="H6" s="3431"/>
      <c r="I6" s="3430" t="s">
        <v>2929</v>
      </c>
      <c r="J6" s="3431"/>
      <c r="K6" s="514" t="s">
        <v>527</v>
      </c>
      <c r="L6" s="2130"/>
      <c r="M6" s="2131"/>
      <c r="N6" s="2131"/>
      <c r="O6" s="2131"/>
      <c r="P6" s="3400"/>
      <c r="Q6" s="3401"/>
      <c r="R6" s="3404"/>
      <c r="S6" s="3405"/>
      <c r="T6" s="3406"/>
      <c r="U6" s="3407"/>
      <c r="V6" s="3389"/>
      <c r="W6" s="3389"/>
      <c r="X6" s="1564"/>
      <c r="Y6" s="3406"/>
      <c r="Z6" s="3407"/>
      <c r="AA6" s="3393"/>
      <c r="AB6" s="3389"/>
      <c r="AC6" s="3393"/>
    </row>
    <row r="7" spans="1:29" s="1219" customFormat="1" ht="15" thickBot="1">
      <c r="A7" s="2933"/>
      <c r="B7" s="2940" t="s">
        <v>528</v>
      </c>
      <c r="C7" s="519">
        <f>'数据-取费表'!B2</f>
        <v>43507</v>
      </c>
      <c r="D7" s="520">
        <v>100</v>
      </c>
      <c r="E7" s="521"/>
      <c r="F7" s="522">
        <f>SUMIF(58:58,YEAR(E7)&amp;"-"&amp;MONTH(E7),59:59)</f>
        <v>0</v>
      </c>
      <c r="G7" s="521"/>
      <c r="H7" s="520">
        <f>SUMIF(58:58,YEAR(G7)&amp;"-"&amp;MONTH(G7),59:59)</f>
        <v>0</v>
      </c>
      <c r="I7" s="521"/>
      <c r="J7" s="520">
        <f>SUMIF(58:58,YEAR(I7)&amp;"-"&amp;MONTH(I7),59:59)</f>
        <v>0</v>
      </c>
      <c r="K7" s="524"/>
      <c r="L7" s="2132"/>
      <c r="M7" s="2133"/>
      <c r="N7" s="2133"/>
      <c r="O7" s="2133"/>
      <c r="P7" s="3421" t="s">
        <v>529</v>
      </c>
      <c r="Q7" s="3423"/>
      <c r="R7" s="1565" t="s">
        <v>8</v>
      </c>
      <c r="S7" s="1566">
        <f t="shared" ref="S7:S15" si="0">F7</f>
        <v>0</v>
      </c>
      <c r="T7" s="1565" t="s">
        <v>8</v>
      </c>
      <c r="U7" s="1566">
        <f t="shared" ref="U7:U15" si="1">H7</f>
        <v>0</v>
      </c>
      <c r="V7" s="1565" t="s">
        <v>8</v>
      </c>
      <c r="W7" s="1566">
        <f t="shared" ref="W7:W15" si="2">J7</f>
        <v>0</v>
      </c>
      <c r="X7" s="1567"/>
      <c r="Y7" s="3421" t="s">
        <v>529</v>
      </c>
      <c r="Z7" s="3422"/>
      <c r="AA7" s="1568" t="e">
        <f>D7/F7</f>
        <v>#DIV/0!</v>
      </c>
      <c r="AB7" s="1568" t="e">
        <f>D7/H7</f>
        <v>#DIV/0!</v>
      </c>
      <c r="AC7" s="1568" t="e">
        <f>D7/J7</f>
        <v>#DIV/0!</v>
      </c>
    </row>
    <row r="8" spans="1:29" s="1219" customFormat="1" ht="15" thickBot="1">
      <c r="A8" s="2934"/>
      <c r="B8" s="2941" t="s">
        <v>530</v>
      </c>
      <c r="C8" s="525" t="s">
        <v>575</v>
      </c>
      <c r="D8" s="520">
        <v>100</v>
      </c>
      <c r="E8" s="525"/>
      <c r="F8" s="522">
        <f>SUMIF(61:61,E8,62:62)-SUMIF(61:61,C8,62:62)+100</f>
        <v>0</v>
      </c>
      <c r="G8" s="525"/>
      <c r="H8" s="520">
        <f>SUMIF(61:61,G8,62:62)-SUMIF(61:61,C8,62:62)+100</f>
        <v>0</v>
      </c>
      <c r="I8" s="525"/>
      <c r="J8" s="520">
        <f>SUMIF(61:61,I8,62:62)-SUMIF(61:61,C8,62:62)+100</f>
        <v>0</v>
      </c>
      <c r="K8" s="524"/>
      <c r="L8" s="2132"/>
      <c r="M8" s="2133"/>
      <c r="N8" s="2133"/>
      <c r="O8" s="2133"/>
      <c r="P8" s="3421" t="s">
        <v>532</v>
      </c>
      <c r="Q8" s="3422"/>
      <c r="R8" s="1565" t="s">
        <v>8</v>
      </c>
      <c r="S8" s="1566">
        <f t="shared" si="0"/>
        <v>0</v>
      </c>
      <c r="T8" s="1565" t="s">
        <v>8</v>
      </c>
      <c r="U8" s="1566">
        <f t="shared" si="1"/>
        <v>0</v>
      </c>
      <c r="V8" s="1565" t="s">
        <v>8</v>
      </c>
      <c r="W8" s="1566">
        <f t="shared" si="2"/>
        <v>0</v>
      </c>
      <c r="X8" s="1567"/>
      <c r="Y8" s="3421" t="s">
        <v>532</v>
      </c>
      <c r="Z8" s="3422"/>
      <c r="AA8" s="1568" t="e">
        <f t="shared" ref="AA8:AA46" si="3">D8/F8</f>
        <v>#DIV/0!</v>
      </c>
      <c r="AB8" s="1568" t="e">
        <f t="shared" ref="AB8:AB46" si="4">D8/H8</f>
        <v>#DIV/0!</v>
      </c>
      <c r="AC8" s="1568" t="e">
        <f t="shared" ref="AC8:AC46" si="5">D8/J8</f>
        <v>#DIV/0!</v>
      </c>
    </row>
    <row r="9" spans="1:29" s="1219" customFormat="1" ht="14.4">
      <c r="A9" s="2935"/>
      <c r="B9" s="2942" t="s">
        <v>2754</v>
      </c>
      <c r="C9" s="856"/>
      <c r="D9" s="254">
        <v>100</v>
      </c>
      <c r="E9" s="859"/>
      <c r="F9" s="254">
        <f>SUMIF(63:63,E9,64:64)-SUMIF(63:63,C9,64:64)+100</f>
        <v>100</v>
      </c>
      <c r="G9" s="857"/>
      <c r="H9" s="254">
        <f>SUMIF(63:63,G9,64:64)-SUMIF(63:63,C9,64:64)+100</f>
        <v>100</v>
      </c>
      <c r="I9" s="857"/>
      <c r="J9" s="254">
        <f>SUMIF(63:63,I9,64:64)-SUMIF(63:63,C9,64:64)+100</f>
        <v>100</v>
      </c>
      <c r="K9" s="524"/>
      <c r="L9" s="2132"/>
      <c r="M9" s="2133"/>
      <c r="N9" s="2133"/>
      <c r="O9" s="2134"/>
      <c r="P9" s="3388" t="s">
        <v>534</v>
      </c>
      <c r="Q9" s="1150" t="str">
        <f t="shared" ref="Q9:Q15" si="6">B9</f>
        <v>用途</v>
      </c>
      <c r="R9" s="1565" t="s">
        <v>8</v>
      </c>
      <c r="S9" s="1566">
        <f t="shared" si="0"/>
        <v>100</v>
      </c>
      <c r="T9" s="1565" t="s">
        <v>8</v>
      </c>
      <c r="U9" s="1566">
        <f t="shared" si="1"/>
        <v>100</v>
      </c>
      <c r="V9" s="1565" t="s">
        <v>8</v>
      </c>
      <c r="W9" s="1566">
        <f t="shared" si="2"/>
        <v>100</v>
      </c>
      <c r="X9" s="1567"/>
      <c r="Y9" s="3334" t="s">
        <v>535</v>
      </c>
      <c r="Z9" s="1149" t="str">
        <f t="shared" ref="Z9:Z15" si="7">Q9</f>
        <v>用途</v>
      </c>
      <c r="AA9" s="1568">
        <f t="shared" si="3"/>
        <v>1</v>
      </c>
      <c r="AB9" s="1568">
        <f t="shared" si="4"/>
        <v>1</v>
      </c>
      <c r="AC9" s="1568">
        <f t="shared" si="5"/>
        <v>1</v>
      </c>
    </row>
    <row r="10" spans="1:29" s="1337" customFormat="1" ht="28.8">
      <c r="A10" s="2936"/>
      <c r="B10" s="2941" t="s">
        <v>2755</v>
      </c>
      <c r="C10" s="860"/>
      <c r="D10" s="255">
        <v>100</v>
      </c>
      <c r="E10" s="860"/>
      <c r="F10" s="255">
        <f>SUMIF(65:65,E10,66:66)-SUMIF(65:65,C10,66:66)+100</f>
        <v>100</v>
      </c>
      <c r="G10" s="861"/>
      <c r="H10" s="255">
        <f>SUMIF(65:65,G10,66:66)-SUMIF(65:65,C10,66:66)+100</f>
        <v>100</v>
      </c>
      <c r="I10" s="860"/>
      <c r="J10" s="255">
        <f>SUMIF(65:65,I10,66:66)-SUMIF(65:65,C10,66:66)+100</f>
        <v>100</v>
      </c>
      <c r="K10" s="583"/>
      <c r="L10" s="2135"/>
      <c r="M10" s="2175"/>
      <c r="N10" s="2175"/>
      <c r="O10" s="2136"/>
      <c r="P10" s="3388"/>
      <c r="Q10" s="1150" t="str">
        <f t="shared" si="6"/>
        <v>土地使用年限（年）</v>
      </c>
      <c r="R10" s="1565" t="s">
        <v>8</v>
      </c>
      <c r="S10" s="1566">
        <f t="shared" si="0"/>
        <v>100</v>
      </c>
      <c r="T10" s="1565" t="s">
        <v>8</v>
      </c>
      <c r="U10" s="1566">
        <f t="shared" si="1"/>
        <v>100</v>
      </c>
      <c r="V10" s="1565" t="s">
        <v>8</v>
      </c>
      <c r="W10" s="1566">
        <f t="shared" si="2"/>
        <v>100</v>
      </c>
      <c r="X10" s="1567"/>
      <c r="Y10" s="3334"/>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37"/>
      <c r="M11" s="2131"/>
      <c r="N11" s="2131"/>
      <c r="O11" s="2138"/>
      <c r="P11" s="3388"/>
      <c r="Q11" s="1150" t="str">
        <f t="shared" si="6"/>
        <v>容积率</v>
      </c>
      <c r="R11" s="1565" t="s">
        <v>8</v>
      </c>
      <c r="S11" s="1566" t="e">
        <f t="shared" si="0"/>
        <v>#N/A</v>
      </c>
      <c r="T11" s="1565" t="s">
        <v>8</v>
      </c>
      <c r="U11" s="1566" t="e">
        <f t="shared" si="1"/>
        <v>#N/A</v>
      </c>
      <c r="V11" s="1565" t="s">
        <v>8</v>
      </c>
      <c r="W11" s="1566" t="e">
        <f t="shared" si="2"/>
        <v>#N/A</v>
      </c>
      <c r="X11" s="1567"/>
      <c r="Y11" s="3334"/>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38"/>
      <c r="F12" s="255">
        <f>SUMIF(70:70,E12,71:71)-SUMIF(70:70,C12,71:71)+100</f>
        <v>100</v>
      </c>
      <c r="G12" s="911"/>
      <c r="H12" s="255">
        <f>SUMIF(70:70,G12,71:71)-SUMIF(70:70,C12,71:71)+100</f>
        <v>100</v>
      </c>
      <c r="I12" s="538"/>
      <c r="J12" s="255">
        <f>SUMIF(70:70,I12,71:71)-SUMIF(70:70,C12,71:71)+100</f>
        <v>100</v>
      </c>
      <c r="K12" s="580"/>
      <c r="L12" s="2132"/>
      <c r="M12" s="2133"/>
      <c r="N12" s="2133"/>
      <c r="O12" s="2134"/>
      <c r="P12" s="3388"/>
      <c r="Q12" s="1150">
        <f t="shared" si="6"/>
        <v>111</v>
      </c>
      <c r="R12" s="1565" t="s">
        <v>8</v>
      </c>
      <c r="S12" s="1566">
        <f t="shared" si="0"/>
        <v>100</v>
      </c>
      <c r="T12" s="1565" t="s">
        <v>8</v>
      </c>
      <c r="U12" s="1566">
        <f t="shared" si="1"/>
        <v>100</v>
      </c>
      <c r="V12" s="1565" t="s">
        <v>8</v>
      </c>
      <c r="W12" s="1566">
        <f t="shared" si="2"/>
        <v>100</v>
      </c>
      <c r="X12" s="1567"/>
      <c r="Y12" s="3334"/>
      <c r="Z12" s="1149">
        <f t="shared" si="7"/>
        <v>111</v>
      </c>
      <c r="AA12" s="1568">
        <f>D12/F12</f>
        <v>1</v>
      </c>
      <c r="AB12" s="1568">
        <f>D12/H12</f>
        <v>1</v>
      </c>
      <c r="AC12" s="1568">
        <f>D12/J12</f>
        <v>1</v>
      </c>
    </row>
    <row r="13" spans="1:29" ht="15">
      <c r="A13" s="2938"/>
      <c r="B13" s="2944">
        <v>111</v>
      </c>
      <c r="C13" s="538"/>
      <c r="D13" s="539">
        <v>100</v>
      </c>
      <c r="E13" s="538"/>
      <c r="F13" s="255">
        <f>SUMIF(72:72,E13,73:73)-SUMIF(72:72,C13,73:73)+100</f>
        <v>100</v>
      </c>
      <c r="G13" s="911"/>
      <c r="H13" s="539">
        <f>SUMIF(72:72,G13,73:73)-SUMIF(72:72,C13,73:73)+100</f>
        <v>100</v>
      </c>
      <c r="I13" s="538"/>
      <c r="J13" s="539">
        <f>SUMIF(72:72,I13,73:73)-SUMIF(72:72,C13,73:73)+100</f>
        <v>100</v>
      </c>
      <c r="K13" s="580"/>
      <c r="L13" s="2139"/>
      <c r="M13" s="2131"/>
      <c r="N13" s="2131"/>
      <c r="O13" s="2138"/>
      <c r="P13" s="3388"/>
      <c r="Q13" s="1150">
        <f t="shared" si="6"/>
        <v>111</v>
      </c>
      <c r="R13" s="1565" t="s">
        <v>8</v>
      </c>
      <c r="S13" s="1566">
        <f t="shared" si="0"/>
        <v>100</v>
      </c>
      <c r="T13" s="1565" t="s">
        <v>8</v>
      </c>
      <c r="U13" s="1566">
        <f t="shared" si="1"/>
        <v>100</v>
      </c>
      <c r="V13" s="1565" t="s">
        <v>8</v>
      </c>
      <c r="W13" s="1566">
        <f t="shared" si="2"/>
        <v>100</v>
      </c>
      <c r="X13" s="1567"/>
      <c r="Y13" s="3334"/>
      <c r="Z13" s="1149">
        <f t="shared" si="7"/>
        <v>111</v>
      </c>
      <c r="AA13" s="1568">
        <f t="shared" si="3"/>
        <v>1</v>
      </c>
      <c r="AB13" s="1568">
        <f t="shared" si="4"/>
        <v>1</v>
      </c>
      <c r="AC13" s="1568">
        <f t="shared" si="5"/>
        <v>1</v>
      </c>
    </row>
    <row r="14" spans="1:29" ht="15.6" thickBot="1">
      <c r="A14" s="2939"/>
      <c r="B14" s="2945">
        <v>111</v>
      </c>
      <c r="C14" s="544"/>
      <c r="D14" s="545">
        <v>100</v>
      </c>
      <c r="E14" s="544"/>
      <c r="F14" s="545">
        <f>SUMIF(74:74,E14,75:75)-SUMIF(74:74,C14,75:75)+100</f>
        <v>100</v>
      </c>
      <c r="G14" s="911"/>
      <c r="H14" s="545">
        <f>SUMIF(74:74,G14,75:75)-SUMIF(74:74,C14,75:75)+100</f>
        <v>100</v>
      </c>
      <c r="I14" s="538"/>
      <c r="J14" s="545">
        <f>SUMIF(74:74,I14,75:75)-SUMIF(74:74,C14,75:75)+100</f>
        <v>100</v>
      </c>
      <c r="K14" s="580"/>
      <c r="L14" s="2139"/>
      <c r="M14" s="2131"/>
      <c r="N14" s="2131"/>
      <c r="O14" s="2138"/>
      <c r="P14" s="3388"/>
      <c r="Q14" s="1150">
        <f t="shared" si="6"/>
        <v>111</v>
      </c>
      <c r="R14" s="1565" t="s">
        <v>8</v>
      </c>
      <c r="S14" s="1566">
        <f t="shared" si="0"/>
        <v>100</v>
      </c>
      <c r="T14" s="1565" t="s">
        <v>8</v>
      </c>
      <c r="U14" s="1566">
        <f t="shared" si="1"/>
        <v>100</v>
      </c>
      <c r="V14" s="1565" t="s">
        <v>8</v>
      </c>
      <c r="W14" s="1566">
        <f t="shared" si="2"/>
        <v>100</v>
      </c>
      <c r="X14" s="1567"/>
      <c r="Y14" s="3334"/>
      <c r="Z14" s="1149">
        <f t="shared" si="7"/>
        <v>111</v>
      </c>
      <c r="AA14" s="1568">
        <f t="shared" si="3"/>
        <v>1</v>
      </c>
      <c r="AB14" s="1568">
        <f t="shared" si="4"/>
        <v>1</v>
      </c>
      <c r="AC14" s="1568">
        <f t="shared" si="5"/>
        <v>1</v>
      </c>
    </row>
    <row r="15" spans="1:29" ht="82.8">
      <c r="A15" s="2931" t="s">
        <v>2752</v>
      </c>
      <c r="B15" s="166" t="s">
        <v>540</v>
      </c>
      <c r="C15" s="866" t="str">
        <f>估价对象房地状况!C4</f>
        <v>估价对象位于XX商圈，周边商业氛围成熟，人流量大，商业繁华度一般</v>
      </c>
      <c r="D15" s="548">
        <v>100</v>
      </c>
      <c r="E15" s="549"/>
      <c r="F15" s="550">
        <f>SUMIF(76:76,E16,77:77)-SUMIF(76:76,C16,77:77)+100</f>
        <v>100</v>
      </c>
      <c r="G15" s="551"/>
      <c r="H15" s="548">
        <f>SUMIF(76:76,G16,77:77)-SUMIF(76:76,C16,77:77)+100</f>
        <v>100</v>
      </c>
      <c r="I15" s="549"/>
      <c r="J15" s="548">
        <f>SUMIF(76:76,I16,77:77)-SUMIF(76:76,C16,77:77)+100</f>
        <v>100</v>
      </c>
      <c r="K15" s="897"/>
      <c r="L15" s="2139"/>
      <c r="M15" s="2131"/>
      <c r="N15" s="2131"/>
      <c r="O15" s="2138"/>
      <c r="P15" s="3424" t="s">
        <v>539</v>
      </c>
      <c r="Q15" s="1569" t="str">
        <f t="shared" si="6"/>
        <v>商业繁华度</v>
      </c>
      <c r="R15" s="1570" t="s">
        <v>8</v>
      </c>
      <c r="S15" s="1571">
        <f t="shared" si="0"/>
        <v>100</v>
      </c>
      <c r="T15" s="1570" t="s">
        <v>8</v>
      </c>
      <c r="U15" s="1571">
        <f t="shared" si="1"/>
        <v>100</v>
      </c>
      <c r="V15" s="1570" t="s">
        <v>8</v>
      </c>
      <c r="W15" s="1571">
        <f t="shared" si="2"/>
        <v>100</v>
      </c>
      <c r="X15" s="1564"/>
      <c r="Y15" s="3424" t="s">
        <v>539</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39"/>
      <c r="M16" s="2131"/>
      <c r="N16" s="2131"/>
      <c r="O16" s="2138"/>
      <c r="P16" s="3425"/>
      <c r="Q16" s="1569"/>
      <c r="R16" s="1570"/>
      <c r="S16" s="1571"/>
      <c r="T16" s="1570"/>
      <c r="U16" s="1571"/>
      <c r="V16" s="1570"/>
      <c r="W16" s="1571"/>
      <c r="X16" s="1564"/>
      <c r="Y16" s="3425"/>
      <c r="Z16" s="1572"/>
      <c r="AA16" s="1573">
        <v>1</v>
      </c>
      <c r="AB16" s="1573">
        <v>1</v>
      </c>
      <c r="AC16" s="1573">
        <v>1</v>
      </c>
    </row>
    <row r="17" spans="1:29" ht="96.6">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39"/>
      <c r="M17" s="2131"/>
      <c r="N17" s="2131"/>
      <c r="O17" s="2138"/>
      <c r="P17" s="3425"/>
      <c r="Q17" s="1569" t="str">
        <f>B17</f>
        <v>交通便捷度</v>
      </c>
      <c r="R17" s="1570" t="s">
        <v>8</v>
      </c>
      <c r="S17" s="1571">
        <f>F17</f>
        <v>100</v>
      </c>
      <c r="T17" s="1570" t="s">
        <v>8</v>
      </c>
      <c r="U17" s="1571">
        <f>H17</f>
        <v>100</v>
      </c>
      <c r="V17" s="1570" t="s">
        <v>8</v>
      </c>
      <c r="W17" s="1571">
        <f>J17</f>
        <v>100</v>
      </c>
      <c r="X17" s="1564"/>
      <c r="Y17" s="3425"/>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9"/>
      <c r="M18" s="2131"/>
      <c r="N18" s="2131"/>
      <c r="O18" s="2138"/>
      <c r="P18" s="3425"/>
      <c r="Q18" s="1569"/>
      <c r="R18" s="1570"/>
      <c r="S18" s="1571"/>
      <c r="T18" s="1570"/>
      <c r="U18" s="1571"/>
      <c r="V18" s="1570"/>
      <c r="W18" s="1571"/>
      <c r="X18" s="1564"/>
      <c r="Y18" s="3425"/>
      <c r="Z18" s="1572"/>
      <c r="AA18" s="1573">
        <v>1</v>
      </c>
      <c r="AB18" s="1573">
        <v>1</v>
      </c>
      <c r="AC18" s="1573">
        <v>1</v>
      </c>
    </row>
    <row r="19" spans="1:29" ht="41.4">
      <c r="A19" s="531"/>
      <c r="B19" s="2621"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39"/>
      <c r="M19" s="2131"/>
      <c r="N19" s="2131"/>
      <c r="O19" s="2138"/>
      <c r="P19" s="3425"/>
      <c r="Q19" s="1569" t="str">
        <f>B19</f>
        <v>公共配套设施</v>
      </c>
      <c r="R19" s="1570" t="s">
        <v>8</v>
      </c>
      <c r="S19" s="1571">
        <f>F19</f>
        <v>100</v>
      </c>
      <c r="T19" s="1570" t="s">
        <v>8</v>
      </c>
      <c r="U19" s="1571">
        <f>H19</f>
        <v>100</v>
      </c>
      <c r="V19" s="1570" t="s">
        <v>8</v>
      </c>
      <c r="W19" s="1571">
        <f>J19</f>
        <v>100</v>
      </c>
      <c r="X19" s="1564"/>
      <c r="Y19" s="3425"/>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39"/>
      <c r="M20" s="2131"/>
      <c r="N20" s="2131"/>
      <c r="O20" s="2138"/>
      <c r="P20" s="3425"/>
      <c r="Q20" s="1569"/>
      <c r="R20" s="1570"/>
      <c r="S20" s="1571"/>
      <c r="T20" s="1570"/>
      <c r="U20" s="1571"/>
      <c r="V20" s="1570"/>
      <c r="W20" s="1571"/>
      <c r="X20" s="1564"/>
      <c r="Y20" s="3425"/>
      <c r="Z20" s="1572"/>
      <c r="AA20" s="1573">
        <v>1</v>
      </c>
      <c r="AB20" s="1573">
        <v>1</v>
      </c>
      <c r="AC20" s="1573">
        <v>1</v>
      </c>
    </row>
    <row r="21" spans="1:29" ht="41.4">
      <c r="A21" s="531"/>
      <c r="B21" s="2614"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39"/>
      <c r="M21" s="2131"/>
      <c r="N21" s="2131"/>
      <c r="O21" s="2138"/>
      <c r="P21" s="3425"/>
      <c r="Q21" s="2600" t="str">
        <f>B21</f>
        <v>基础设施水平</v>
      </c>
      <c r="R21" s="1570" t="s">
        <v>8</v>
      </c>
      <c r="S21" s="1571">
        <f>F21</f>
        <v>100</v>
      </c>
      <c r="T21" s="1570" t="s">
        <v>8</v>
      </c>
      <c r="U21" s="1571">
        <f>H21</f>
        <v>100</v>
      </c>
      <c r="V21" s="1570" t="s">
        <v>8</v>
      </c>
      <c r="W21" s="1571">
        <f>J21</f>
        <v>100</v>
      </c>
      <c r="X21" s="2602"/>
      <c r="Y21" s="3425"/>
      <c r="Z21" s="2601"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3"/>
      <c r="L22" s="2139"/>
      <c r="M22" s="2131"/>
      <c r="N22" s="2131"/>
      <c r="O22" s="2138"/>
      <c r="P22" s="3425"/>
      <c r="Q22" s="2600"/>
      <c r="R22" s="1570"/>
      <c r="S22" s="1571"/>
      <c r="T22" s="1570"/>
      <c r="U22" s="1571"/>
      <c r="V22" s="1570"/>
      <c r="W22" s="1571"/>
      <c r="X22" s="2602"/>
      <c r="Y22" s="3425"/>
      <c r="Z22" s="2601"/>
      <c r="AA22" s="1573">
        <v>1</v>
      </c>
      <c r="AB22" s="1573">
        <v>1</v>
      </c>
      <c r="AC22" s="1573">
        <v>1</v>
      </c>
    </row>
    <row r="23" spans="1:29" ht="55.2">
      <c r="A23" s="531"/>
      <c r="B23" s="870" t="s">
        <v>297</v>
      </c>
      <c r="C23" s="899" t="str">
        <f>估价对象房地状况!C9</f>
        <v>区域自然环境：；人文环境；综合评价好</v>
      </c>
      <c r="D23" s="558">
        <v>100</v>
      </c>
      <c r="E23" s="561"/>
      <c r="F23" s="562">
        <f>SUMIF(84:84,E24,85:85)-SUMIF(84:84,C24,85:85)+100</f>
        <v>100</v>
      </c>
      <c r="G23" s="563"/>
      <c r="H23" s="558">
        <f>SUMIF(84:84,G24,85:85)-SUMIF(84:84,C24,85:85)+100</f>
        <v>100</v>
      </c>
      <c r="I23" s="561"/>
      <c r="J23" s="558">
        <f>SUMIF(84:84,I24,85:85)-SUMIF(84:84,C24,85:85)+100</f>
        <v>100</v>
      </c>
      <c r="K23" s="897"/>
      <c r="L23" s="2139"/>
      <c r="M23" s="2131"/>
      <c r="N23" s="2131"/>
      <c r="O23" s="2138"/>
      <c r="P23" s="3425"/>
      <c r="Q23" s="1569" t="str">
        <f>B23</f>
        <v>自然及人文环境</v>
      </c>
      <c r="R23" s="1570" t="s">
        <v>8</v>
      </c>
      <c r="S23" s="1571">
        <f>F23</f>
        <v>100</v>
      </c>
      <c r="T23" s="1570" t="s">
        <v>8</v>
      </c>
      <c r="U23" s="1571">
        <f>H23</f>
        <v>100</v>
      </c>
      <c r="V23" s="1570" t="s">
        <v>8</v>
      </c>
      <c r="W23" s="1571">
        <f>J23</f>
        <v>100</v>
      </c>
      <c r="X23" s="1564"/>
      <c r="Y23" s="3425"/>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39"/>
      <c r="M24" s="2131"/>
      <c r="N24" s="2131"/>
      <c r="O24" s="2138"/>
      <c r="P24" s="3425"/>
      <c r="Q24" s="1569"/>
      <c r="R24" s="1570"/>
      <c r="S24" s="1571"/>
      <c r="T24" s="1570"/>
      <c r="U24" s="1571"/>
      <c r="V24" s="1570"/>
      <c r="W24" s="1571"/>
      <c r="X24" s="1564"/>
      <c r="Y24" s="3425"/>
      <c r="Z24" s="1572"/>
      <c r="AA24" s="1573">
        <v>1</v>
      </c>
      <c r="AB24" s="1573">
        <v>1</v>
      </c>
      <c r="AC24" s="1573">
        <v>1</v>
      </c>
    </row>
    <row r="25" spans="1:29" ht="15">
      <c r="A25" s="531"/>
      <c r="B25" s="527" t="s">
        <v>546</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25"/>
      <c r="Q25" s="1569" t="str">
        <f t="shared" ref="Q25:Q46" si="11">B25</f>
        <v>临街状况</v>
      </c>
      <c r="R25" s="1570" t="s">
        <v>8</v>
      </c>
      <c r="S25" s="1571">
        <f>F25</f>
        <v>100</v>
      </c>
      <c r="T25" s="1570" t="s">
        <v>8</v>
      </c>
      <c r="U25" s="1571">
        <f>H25</f>
        <v>100</v>
      </c>
      <c r="V25" s="1570" t="s">
        <v>8</v>
      </c>
      <c r="W25" s="1571">
        <f>J25</f>
        <v>100</v>
      </c>
      <c r="X25" s="1564"/>
      <c r="Y25" s="3425"/>
      <c r="Z25" s="1572" t="str">
        <f>Q25</f>
        <v>临街状况</v>
      </c>
      <c r="AA25" s="1573">
        <f t="shared" si="3"/>
        <v>1</v>
      </c>
      <c r="AB25" s="1573">
        <f t="shared" si="4"/>
        <v>1</v>
      </c>
      <c r="AC25" s="1573">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25"/>
      <c r="Q26" s="1569" t="str">
        <f t="shared" si="11"/>
        <v>平面位置/可视性</v>
      </c>
      <c r="R26" s="1570" t="s">
        <v>8</v>
      </c>
      <c r="S26" s="1571">
        <f>F26</f>
        <v>100</v>
      </c>
      <c r="T26" s="1570" t="s">
        <v>8</v>
      </c>
      <c r="U26" s="1571">
        <f>H26</f>
        <v>100</v>
      </c>
      <c r="V26" s="1570" t="s">
        <v>8</v>
      </c>
      <c r="W26" s="1571">
        <f>J26</f>
        <v>100</v>
      </c>
      <c r="X26" s="1564"/>
      <c r="Y26" s="3425"/>
      <c r="Z26" s="1572" t="str">
        <f>Q26</f>
        <v>平面位置/可视性</v>
      </c>
      <c r="AA26" s="1573">
        <f t="shared" si="3"/>
        <v>1</v>
      </c>
      <c r="AB26" s="1573">
        <f t="shared" si="4"/>
        <v>1</v>
      </c>
      <c r="AC26" s="1573">
        <f t="shared" si="5"/>
        <v>1</v>
      </c>
    </row>
    <row r="27" spans="1:29" s="1219"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2"/>
      <c r="M27" s="2133"/>
      <c r="N27" s="2133"/>
      <c r="O27" s="2134"/>
      <c r="P27" s="3425"/>
      <c r="Q27" s="1150" t="str">
        <f t="shared" si="11"/>
        <v>人流量</v>
      </c>
      <c r="R27" s="1565" t="s">
        <v>8</v>
      </c>
      <c r="S27" s="1566">
        <f>F27</f>
        <v>100</v>
      </c>
      <c r="T27" s="1565" t="s">
        <v>8</v>
      </c>
      <c r="U27" s="1566">
        <f>H27</f>
        <v>100</v>
      </c>
      <c r="V27" s="1565" t="s">
        <v>8</v>
      </c>
      <c r="W27" s="1566">
        <f>J27</f>
        <v>100</v>
      </c>
      <c r="X27" s="1567"/>
      <c r="Y27" s="3425"/>
      <c r="Z27" s="1149" t="str">
        <f>Q27</f>
        <v>人流量</v>
      </c>
      <c r="AA27" s="1573">
        <f>D27/F27</f>
        <v>1</v>
      </c>
      <c r="AB27" s="1573">
        <f>D27/H27</f>
        <v>1</v>
      </c>
      <c r="AC27" s="1573">
        <f>D27/J27</f>
        <v>1</v>
      </c>
    </row>
    <row r="28" spans="1:29" ht="15">
      <c r="A28" s="531"/>
      <c r="B28" s="527" t="s">
        <v>760</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25"/>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25"/>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25"/>
      <c r="Q29" s="1569">
        <f t="shared" si="11"/>
        <v>111</v>
      </c>
      <c r="R29" s="1570" t="s">
        <v>8</v>
      </c>
      <c r="S29" s="1571">
        <f t="shared" si="12"/>
        <v>100</v>
      </c>
      <c r="T29" s="1570" t="s">
        <v>8</v>
      </c>
      <c r="U29" s="1571">
        <f t="shared" si="13"/>
        <v>100</v>
      </c>
      <c r="V29" s="1570" t="s">
        <v>8</v>
      </c>
      <c r="W29" s="1571">
        <f t="shared" si="14"/>
        <v>100</v>
      </c>
      <c r="X29" s="1564"/>
      <c r="Y29" s="3425"/>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25"/>
      <c r="Q30" s="1569">
        <f t="shared" si="11"/>
        <v>111</v>
      </c>
      <c r="R30" s="1570" t="s">
        <v>8</v>
      </c>
      <c r="S30" s="1571">
        <f t="shared" si="12"/>
        <v>100</v>
      </c>
      <c r="T30" s="1570" t="s">
        <v>8</v>
      </c>
      <c r="U30" s="1571">
        <f t="shared" si="13"/>
        <v>100</v>
      </c>
      <c r="V30" s="1570" t="s">
        <v>8</v>
      </c>
      <c r="W30" s="1571">
        <f t="shared" si="14"/>
        <v>100</v>
      </c>
      <c r="X30" s="1564"/>
      <c r="Y30" s="3425"/>
      <c r="Z30" s="1572">
        <f t="shared" si="15"/>
        <v>111</v>
      </c>
      <c r="AA30" s="1573">
        <f t="shared" si="3"/>
        <v>1</v>
      </c>
      <c r="AB30" s="1573">
        <f t="shared" si="4"/>
        <v>1</v>
      </c>
      <c r="AC30" s="1573">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25"/>
      <c r="Q31" s="1569">
        <f t="shared" si="11"/>
        <v>111</v>
      </c>
      <c r="R31" s="1570" t="s">
        <v>8</v>
      </c>
      <c r="S31" s="1571">
        <f t="shared" si="12"/>
        <v>100</v>
      </c>
      <c r="T31" s="1570" t="s">
        <v>8</v>
      </c>
      <c r="U31" s="1571">
        <f t="shared" si="13"/>
        <v>100</v>
      </c>
      <c r="V31" s="1570" t="s">
        <v>8</v>
      </c>
      <c r="W31" s="1571">
        <f t="shared" si="14"/>
        <v>100</v>
      </c>
      <c r="X31" s="1564"/>
      <c r="Y31" s="3425"/>
      <c r="Z31" s="1572">
        <f t="shared" si="15"/>
        <v>111</v>
      </c>
      <c r="AA31" s="1573">
        <f t="shared" si="3"/>
        <v>1</v>
      </c>
      <c r="AB31" s="1573">
        <f t="shared" si="4"/>
        <v>1</v>
      </c>
      <c r="AC31" s="1573">
        <f t="shared" si="5"/>
        <v>1</v>
      </c>
    </row>
    <row r="32" spans="1:29" ht="15">
      <c r="A32" s="2928" t="s">
        <v>2753</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26" t="s">
        <v>549</v>
      </c>
      <c r="Q32" s="1569" t="str">
        <f t="shared" si="11"/>
        <v>商业类型</v>
      </c>
      <c r="R32" s="1570" t="s">
        <v>8</v>
      </c>
      <c r="S32" s="1571">
        <f t="shared" si="12"/>
        <v>100</v>
      </c>
      <c r="T32" s="1570" t="s">
        <v>8</v>
      </c>
      <c r="U32" s="1571">
        <f t="shared" si="13"/>
        <v>100</v>
      </c>
      <c r="V32" s="1570" t="s">
        <v>8</v>
      </c>
      <c r="W32" s="1571">
        <f t="shared" si="14"/>
        <v>100</v>
      </c>
      <c r="X32" s="1564"/>
      <c r="Y32" s="3427" t="s">
        <v>549</v>
      </c>
      <c r="Z32" s="1572" t="str">
        <f t="shared" si="15"/>
        <v>商业类型</v>
      </c>
      <c r="AA32" s="1573">
        <f t="shared" si="3"/>
        <v>1</v>
      </c>
      <c r="AB32" s="1573">
        <f t="shared" si="4"/>
        <v>1</v>
      </c>
      <c r="AC32" s="1573">
        <f t="shared" si="5"/>
        <v>1</v>
      </c>
    </row>
    <row r="33" spans="1:29" s="1338" customFormat="1" ht="15">
      <c r="A33" s="602"/>
      <c r="B33" s="527" t="s">
        <v>725</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37"/>
      <c r="M33" s="2168"/>
      <c r="N33" s="2168"/>
      <c r="O33" s="2140"/>
      <c r="P33" s="3427"/>
      <c r="Q33" s="1602" t="str">
        <f t="shared" si="11"/>
        <v>项目建筑规模</v>
      </c>
      <c r="R33" s="1574" t="s">
        <v>8</v>
      </c>
      <c r="S33" s="1575" t="e">
        <f t="shared" si="12"/>
        <v>#N/A</v>
      </c>
      <c r="T33" s="1574" t="s">
        <v>8</v>
      </c>
      <c r="U33" s="1575" t="e">
        <f t="shared" si="13"/>
        <v>#N/A</v>
      </c>
      <c r="V33" s="1574" t="s">
        <v>8</v>
      </c>
      <c r="W33" s="1575" t="e">
        <f t="shared" si="14"/>
        <v>#N/A</v>
      </c>
      <c r="X33" s="1576"/>
      <c r="Y33" s="3427"/>
      <c r="Z33" s="1577" t="str">
        <f t="shared" si="15"/>
        <v>项目建筑规模</v>
      </c>
      <c r="AA33" s="1573" t="e">
        <f t="shared" si="3"/>
        <v>#N/A</v>
      </c>
      <c r="AB33" s="1573" t="e">
        <f t="shared" si="4"/>
        <v>#N/A</v>
      </c>
      <c r="AC33" s="1573" t="e">
        <f t="shared" si="5"/>
        <v>#N/A</v>
      </c>
    </row>
    <row r="34" spans="1:29" ht="15">
      <c r="A34" s="593"/>
      <c r="B34" s="527"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9"/>
      <c r="M34" s="2131"/>
      <c r="N34" s="2131"/>
      <c r="O34" s="2138"/>
      <c r="P34" s="3427"/>
      <c r="Q34" s="1569" t="str">
        <f t="shared" si="11"/>
        <v>建筑结构</v>
      </c>
      <c r="R34" s="1570" t="s">
        <v>8</v>
      </c>
      <c r="S34" s="1571">
        <f t="shared" si="12"/>
        <v>100</v>
      </c>
      <c r="T34" s="1570" t="s">
        <v>8</v>
      </c>
      <c r="U34" s="1571">
        <f t="shared" si="13"/>
        <v>100</v>
      </c>
      <c r="V34" s="1570" t="s">
        <v>8</v>
      </c>
      <c r="W34" s="1571">
        <f t="shared" si="14"/>
        <v>100</v>
      </c>
      <c r="X34" s="1564"/>
      <c r="Y34" s="3427"/>
      <c r="Z34" s="1572" t="str">
        <f t="shared" si="15"/>
        <v>建筑结构</v>
      </c>
      <c r="AA34" s="1573">
        <f t="shared" si="3"/>
        <v>1</v>
      </c>
      <c r="AB34" s="1573">
        <f t="shared" si="4"/>
        <v>1</v>
      </c>
      <c r="AC34" s="1573">
        <f t="shared" si="5"/>
        <v>1</v>
      </c>
    </row>
    <row r="35" spans="1:29" ht="15">
      <c r="A35" s="593"/>
      <c r="B35" s="527"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27"/>
      <c r="Q35" s="1569" t="str">
        <f t="shared" si="11"/>
        <v>公共部分装修</v>
      </c>
      <c r="R35" s="1570" t="s">
        <v>8</v>
      </c>
      <c r="S35" s="1571">
        <f t="shared" si="12"/>
        <v>100</v>
      </c>
      <c r="T35" s="1570" t="s">
        <v>8</v>
      </c>
      <c r="U35" s="1571">
        <f t="shared" si="13"/>
        <v>100</v>
      </c>
      <c r="V35" s="1570" t="s">
        <v>8</v>
      </c>
      <c r="W35" s="1571">
        <f t="shared" si="14"/>
        <v>100</v>
      </c>
      <c r="X35" s="1564"/>
      <c r="Y35" s="3427"/>
      <c r="Z35" s="1572" t="str">
        <f t="shared" si="15"/>
        <v>公共部分装修</v>
      </c>
      <c r="AA35" s="1573">
        <f t="shared" si="3"/>
        <v>1</v>
      </c>
      <c r="AB35" s="1573">
        <f t="shared" si="4"/>
        <v>1</v>
      </c>
      <c r="AC35" s="1573">
        <f t="shared" si="5"/>
        <v>1</v>
      </c>
    </row>
    <row r="36" spans="1:29" ht="15">
      <c r="A36" s="593"/>
      <c r="B36" s="527"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9"/>
      <c r="M36" s="2131"/>
      <c r="N36" s="2131"/>
      <c r="O36" s="2138"/>
      <c r="P36" s="3427"/>
      <c r="Q36" s="1569" t="str">
        <f t="shared" si="11"/>
        <v>成新度</v>
      </c>
      <c r="R36" s="1570" t="s">
        <v>8</v>
      </c>
      <c r="S36" s="1571" t="e">
        <f t="shared" si="12"/>
        <v>#N/A</v>
      </c>
      <c r="T36" s="1570" t="s">
        <v>8</v>
      </c>
      <c r="U36" s="1571" t="e">
        <f t="shared" si="13"/>
        <v>#N/A</v>
      </c>
      <c r="V36" s="1570" t="s">
        <v>8</v>
      </c>
      <c r="W36" s="1571" t="e">
        <f t="shared" si="14"/>
        <v>#N/A</v>
      </c>
      <c r="X36" s="1564"/>
      <c r="Y36" s="3427"/>
      <c r="Z36" s="1572" t="str">
        <f t="shared" si="15"/>
        <v>成新度</v>
      </c>
      <c r="AA36" s="1573" t="e">
        <f t="shared" si="3"/>
        <v>#N/A</v>
      </c>
      <c r="AB36" s="1573" t="e">
        <f t="shared" si="4"/>
        <v>#N/A</v>
      </c>
      <c r="AC36" s="1573" t="e">
        <f t="shared" si="5"/>
        <v>#N/A</v>
      </c>
    </row>
    <row r="37" spans="1:29" s="1219" customFormat="1" ht="15">
      <c r="A37" s="599"/>
      <c r="B37" s="1892" t="s">
        <v>2564</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27"/>
      <c r="Q37" s="1150" t="str">
        <f t="shared" si="11"/>
        <v>市政基础设施</v>
      </c>
      <c r="R37" s="1565" t="s">
        <v>8</v>
      </c>
      <c r="S37" s="1566">
        <f t="shared" si="12"/>
        <v>100</v>
      </c>
      <c r="T37" s="1565" t="s">
        <v>8</v>
      </c>
      <c r="U37" s="1566">
        <f t="shared" si="13"/>
        <v>100</v>
      </c>
      <c r="V37" s="1565" t="s">
        <v>8</v>
      </c>
      <c r="W37" s="1566">
        <f t="shared" si="14"/>
        <v>100</v>
      </c>
      <c r="X37" s="1567"/>
      <c r="Y37" s="3427"/>
      <c r="Z37" s="1149" t="str">
        <f t="shared" si="15"/>
        <v>市政基础设施</v>
      </c>
      <c r="AA37" s="1568">
        <f t="shared" si="3"/>
        <v>1</v>
      </c>
      <c r="AB37" s="1568">
        <f t="shared" si="4"/>
        <v>1</v>
      </c>
      <c r="AC37" s="1568">
        <f t="shared" si="5"/>
        <v>1</v>
      </c>
    </row>
    <row r="38" spans="1:29" ht="15">
      <c r="A38" s="593"/>
      <c r="B38" s="527"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27" t="s">
        <v>765</v>
      </c>
      <c r="Q38" s="1569" t="str">
        <f t="shared" si="11"/>
        <v>业态</v>
      </c>
      <c r="R38" s="1570" t="s">
        <v>8</v>
      </c>
      <c r="S38" s="1571">
        <f t="shared" si="12"/>
        <v>100</v>
      </c>
      <c r="T38" s="1570" t="s">
        <v>8</v>
      </c>
      <c r="U38" s="1571">
        <f t="shared" si="13"/>
        <v>100</v>
      </c>
      <c r="V38" s="1570" t="s">
        <v>8</v>
      </c>
      <c r="W38" s="1571">
        <f t="shared" si="14"/>
        <v>100</v>
      </c>
      <c r="X38" s="1564"/>
      <c r="Y38" s="3427" t="s">
        <v>765</v>
      </c>
      <c r="Z38" s="1572" t="str">
        <f t="shared" si="15"/>
        <v>业态</v>
      </c>
      <c r="AA38" s="1573">
        <f t="shared" si="3"/>
        <v>1</v>
      </c>
      <c r="AB38" s="1573">
        <f t="shared" si="4"/>
        <v>1</v>
      </c>
      <c r="AC38" s="1573">
        <f t="shared" si="5"/>
        <v>1</v>
      </c>
    </row>
    <row r="39" spans="1:29" ht="15">
      <c r="A39" s="593"/>
      <c r="B39" s="527"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27"/>
      <c r="Q39" s="1569" t="str">
        <f t="shared" si="11"/>
        <v>层高</v>
      </c>
      <c r="R39" s="1570" t="s">
        <v>8</v>
      </c>
      <c r="S39" s="1571">
        <f t="shared" si="12"/>
        <v>100</v>
      </c>
      <c r="T39" s="1570" t="s">
        <v>8</v>
      </c>
      <c r="U39" s="1571">
        <f t="shared" si="13"/>
        <v>100</v>
      </c>
      <c r="V39" s="1570" t="s">
        <v>8</v>
      </c>
      <c r="W39" s="1571">
        <f t="shared" si="14"/>
        <v>100</v>
      </c>
      <c r="X39" s="1564"/>
      <c r="Y39" s="3427"/>
      <c r="Z39" s="1572" t="str">
        <f t="shared" si="15"/>
        <v>层高</v>
      </c>
      <c r="AA39" s="1573">
        <f t="shared" si="3"/>
        <v>1</v>
      </c>
      <c r="AB39" s="1573">
        <f t="shared" si="4"/>
        <v>1</v>
      </c>
      <c r="AC39" s="1573">
        <f t="shared" si="5"/>
        <v>1</v>
      </c>
    </row>
    <row r="40" spans="1:29" ht="15">
      <c r="A40" s="593"/>
      <c r="B40" s="527"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9"/>
      <c r="M40" s="2131"/>
      <c r="N40" s="2131"/>
      <c r="O40" s="2138"/>
      <c r="P40" s="3427"/>
      <c r="Q40" s="1569" t="str">
        <f t="shared" si="11"/>
        <v>单套建筑面积</v>
      </c>
      <c r="R40" s="1570" t="s">
        <v>8</v>
      </c>
      <c r="S40" s="1571">
        <f t="shared" si="12"/>
        <v>100</v>
      </c>
      <c r="T40" s="1570" t="s">
        <v>8</v>
      </c>
      <c r="U40" s="1571">
        <f t="shared" si="13"/>
        <v>100</v>
      </c>
      <c r="V40" s="1570" t="s">
        <v>8</v>
      </c>
      <c r="W40" s="1571">
        <f t="shared" si="14"/>
        <v>100</v>
      </c>
      <c r="X40" s="1564"/>
      <c r="Y40" s="3427"/>
      <c r="Z40" s="1572" t="str">
        <f t="shared" si="15"/>
        <v>单套建筑面积</v>
      </c>
      <c r="AA40" s="1573">
        <f t="shared" si="3"/>
        <v>1</v>
      </c>
      <c r="AB40" s="1573">
        <f t="shared" si="4"/>
        <v>1</v>
      </c>
      <c r="AC40" s="1573">
        <f t="shared" si="5"/>
        <v>1</v>
      </c>
    </row>
    <row r="41" spans="1:29" s="1338"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27"/>
      <c r="Q41" s="1602" t="str">
        <f t="shared" si="11"/>
        <v>进深比</v>
      </c>
      <c r="R41" s="1574" t="s">
        <v>8</v>
      </c>
      <c r="S41" s="1575">
        <f t="shared" si="12"/>
        <v>100</v>
      </c>
      <c r="T41" s="1574" t="s">
        <v>8</v>
      </c>
      <c r="U41" s="1575">
        <f t="shared" si="13"/>
        <v>100</v>
      </c>
      <c r="V41" s="1574" t="s">
        <v>8</v>
      </c>
      <c r="W41" s="1575">
        <f t="shared" si="14"/>
        <v>100</v>
      </c>
      <c r="X41" s="1576"/>
      <c r="Y41" s="3427"/>
      <c r="Z41" s="1577" t="str">
        <f t="shared" si="15"/>
        <v>进深比</v>
      </c>
      <c r="AA41" s="1573">
        <f t="shared" si="3"/>
        <v>1</v>
      </c>
      <c r="AB41" s="1573">
        <f t="shared" si="4"/>
        <v>1</v>
      </c>
      <c r="AC41" s="1573">
        <f t="shared" si="5"/>
        <v>1</v>
      </c>
    </row>
    <row r="42" spans="1:29" ht="15">
      <c r="A42" s="593"/>
      <c r="B42" s="527"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27"/>
      <c r="Q42" s="1569" t="str">
        <f t="shared" si="11"/>
        <v>内部装修</v>
      </c>
      <c r="R42" s="1570" t="s">
        <v>8</v>
      </c>
      <c r="S42" s="1571">
        <f t="shared" si="12"/>
        <v>100</v>
      </c>
      <c r="T42" s="1570" t="s">
        <v>8</v>
      </c>
      <c r="U42" s="1571">
        <f t="shared" si="13"/>
        <v>100</v>
      </c>
      <c r="V42" s="1570" t="s">
        <v>8</v>
      </c>
      <c r="W42" s="1571">
        <f t="shared" si="14"/>
        <v>100</v>
      </c>
      <c r="X42" s="1564"/>
      <c r="Y42" s="3427"/>
      <c r="Z42" s="1572" t="str">
        <f t="shared" si="15"/>
        <v>内部装修</v>
      </c>
      <c r="AA42" s="1573">
        <f t="shared" si="3"/>
        <v>1</v>
      </c>
      <c r="AB42" s="1573">
        <f t="shared" si="4"/>
        <v>1</v>
      </c>
      <c r="AC42" s="1573">
        <f t="shared" si="5"/>
        <v>1</v>
      </c>
    </row>
    <row r="43" spans="1:29" ht="28.8">
      <c r="A43" s="593"/>
      <c r="B43" s="527"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27"/>
      <c r="Q43" s="1569" t="str">
        <f t="shared" si="11"/>
        <v>内部装修维护情况</v>
      </c>
      <c r="R43" s="1570" t="s">
        <v>8</v>
      </c>
      <c r="S43" s="1571">
        <f t="shared" si="12"/>
        <v>100</v>
      </c>
      <c r="T43" s="1570" t="s">
        <v>8</v>
      </c>
      <c r="U43" s="1571">
        <f t="shared" si="13"/>
        <v>100</v>
      </c>
      <c r="V43" s="1570" t="s">
        <v>8</v>
      </c>
      <c r="W43" s="1571">
        <f t="shared" si="14"/>
        <v>100</v>
      </c>
      <c r="X43" s="1564"/>
      <c r="Y43" s="3427"/>
      <c r="Z43" s="1572" t="str">
        <f t="shared" si="15"/>
        <v>内部装修维护情况</v>
      </c>
      <c r="AA43" s="1573">
        <f t="shared" si="3"/>
        <v>1</v>
      </c>
      <c r="AB43" s="1573">
        <f t="shared" si="4"/>
        <v>1</v>
      </c>
      <c r="AC43" s="1573">
        <f t="shared" si="5"/>
        <v>1</v>
      </c>
    </row>
    <row r="44" spans="1:29" s="1219"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32"/>
      <c r="M44" s="2133"/>
      <c r="N44" s="2133"/>
      <c r="O44" s="2134"/>
      <c r="P44" s="3427"/>
      <c r="Q44" s="1150">
        <f t="shared" si="11"/>
        <v>111</v>
      </c>
      <c r="R44" s="1565" t="s">
        <v>8</v>
      </c>
      <c r="S44" s="1566">
        <f t="shared" si="12"/>
        <v>100</v>
      </c>
      <c r="T44" s="1565" t="s">
        <v>8</v>
      </c>
      <c r="U44" s="1566">
        <f t="shared" si="13"/>
        <v>100</v>
      </c>
      <c r="V44" s="1565" t="s">
        <v>8</v>
      </c>
      <c r="W44" s="1566">
        <f t="shared" si="14"/>
        <v>100</v>
      </c>
      <c r="X44" s="1567"/>
      <c r="Y44" s="3427"/>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27"/>
      <c r="Q45" s="1569">
        <f t="shared" si="11"/>
        <v>111</v>
      </c>
      <c r="R45" s="1570" t="s">
        <v>8</v>
      </c>
      <c r="S45" s="1571">
        <f t="shared" si="12"/>
        <v>100</v>
      </c>
      <c r="T45" s="1570" t="s">
        <v>8</v>
      </c>
      <c r="U45" s="1571">
        <f t="shared" si="13"/>
        <v>100</v>
      </c>
      <c r="V45" s="1570" t="s">
        <v>8</v>
      </c>
      <c r="W45" s="1571">
        <f t="shared" si="14"/>
        <v>100</v>
      </c>
      <c r="X45" s="1564"/>
      <c r="Y45" s="3427"/>
      <c r="Z45" s="1572">
        <f t="shared" si="15"/>
        <v>111</v>
      </c>
      <c r="AA45" s="1573">
        <f t="shared" si="3"/>
        <v>1</v>
      </c>
      <c r="AB45" s="1573">
        <f t="shared" si="4"/>
        <v>1</v>
      </c>
      <c r="AC45" s="1573">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11"/>
      <c r="Q46" s="1569">
        <f t="shared" si="11"/>
        <v>111</v>
      </c>
      <c r="R46" s="1570" t="s">
        <v>8</v>
      </c>
      <c r="S46" s="1571">
        <f t="shared" si="12"/>
        <v>100</v>
      </c>
      <c r="T46" s="1570" t="s">
        <v>8</v>
      </c>
      <c r="U46" s="1571">
        <f t="shared" si="13"/>
        <v>100</v>
      </c>
      <c r="V46" s="1570" t="s">
        <v>8</v>
      </c>
      <c r="W46" s="1571">
        <f t="shared" si="14"/>
        <v>100</v>
      </c>
      <c r="X46" s="1564"/>
      <c r="Y46" s="3511"/>
      <c r="Z46" s="1572">
        <f t="shared" si="15"/>
        <v>111</v>
      </c>
      <c r="AA46" s="1573">
        <f t="shared" si="3"/>
        <v>1</v>
      </c>
      <c r="AB46" s="1573">
        <f t="shared" si="4"/>
        <v>1</v>
      </c>
      <c r="AC46" s="1573">
        <f t="shared" si="5"/>
        <v>1</v>
      </c>
    </row>
    <row r="47" spans="1:29" ht="14.4">
      <c r="A47" s="606" t="s">
        <v>735</v>
      </c>
      <c r="B47" s="886"/>
      <c r="C47" s="2648" t="s">
        <v>1</v>
      </c>
      <c r="D47" s="2649"/>
      <c r="E47" s="2650"/>
      <c r="F47" s="2651"/>
      <c r="G47" s="2652"/>
      <c r="H47" s="2653"/>
      <c r="I47" s="2650"/>
      <c r="J47" s="2653"/>
      <c r="K47" s="1608"/>
      <c r="L47" s="2141"/>
      <c r="M47" s="2142"/>
      <c r="N47" s="2131"/>
      <c r="O47" s="2142"/>
      <c r="P47" s="3388" t="str">
        <f>A47</f>
        <v>成交单价（元/平方米）</v>
      </c>
      <c r="Q47" s="3388"/>
      <c r="R47" s="3512">
        <f>E47</f>
        <v>0</v>
      </c>
      <c r="S47" s="3512"/>
      <c r="T47" s="3512">
        <f>G47</f>
        <v>0</v>
      </c>
      <c r="U47" s="3512"/>
      <c r="V47" s="3512">
        <f>I47</f>
        <v>0</v>
      </c>
      <c r="W47" s="3512"/>
      <c r="X47" s="1556"/>
      <c r="Y47" s="1578"/>
      <c r="Z47" s="1556"/>
      <c r="AA47" s="1556"/>
      <c r="AB47" s="1556"/>
      <c r="AC47" s="1556"/>
    </row>
    <row r="48" spans="1:29" ht="15" thickBot="1">
      <c r="A48" s="614" t="s">
        <v>2758</v>
      </c>
      <c r="B48" s="887"/>
      <c r="C48" s="2654" t="e">
        <f>R49</f>
        <v>#DIV/0!</v>
      </c>
      <c r="D48" s="2655"/>
      <c r="E48" s="2656" t="e">
        <f>R48</f>
        <v>#DIV/0!</v>
      </c>
      <c r="F48" s="2656"/>
      <c r="G48" s="2654" t="e">
        <f>T48</f>
        <v>#DIV/0!</v>
      </c>
      <c r="H48" s="2655"/>
      <c r="I48" s="2656" t="e">
        <f>V48</f>
        <v>#DIV/0!</v>
      </c>
      <c r="J48" s="2655"/>
      <c r="K48" s="1609"/>
      <c r="L48" s="2141"/>
      <c r="M48" s="2142"/>
      <c r="N48" s="2131"/>
      <c r="O48" s="2142"/>
      <c r="P48" s="3388" t="str">
        <f>A48</f>
        <v>比较价格（元/平方米）</v>
      </c>
      <c r="Q48" s="3388"/>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1556"/>
      <c r="Y48" s="1556"/>
      <c r="Z48" s="1556"/>
      <c r="AA48" s="1556"/>
      <c r="AB48" s="1556"/>
      <c r="AC48" s="1556"/>
    </row>
    <row r="49" spans="1:29" ht="15" thickBot="1">
      <c r="A49" s="620" t="s">
        <v>2931</v>
      </c>
      <c r="B49" s="621"/>
      <c r="C49" s="2657" t="e">
        <f>R49</f>
        <v>#DIV/0!</v>
      </c>
      <c r="D49" s="2657"/>
      <c r="E49" s="2657"/>
      <c r="F49" s="2657"/>
      <c r="G49" s="2657"/>
      <c r="H49" s="2657"/>
      <c r="I49" s="2657"/>
      <c r="J49" s="2657"/>
      <c r="K49" s="1610"/>
      <c r="L49" s="2141"/>
      <c r="M49" s="2142"/>
      <c r="N49" s="2131"/>
      <c r="O49" s="2142"/>
      <c r="P49" s="3385" t="str">
        <f>A49</f>
        <v>估价对象XX用房的比较价格（楼面单价，元/平方米）</v>
      </c>
      <c r="Q49" s="3386"/>
      <c r="R49" s="3513" t="e">
        <f>IF(F1="售价",ROUND(AVERAGE(R48:V48),0),ROUND(AVERAGE(R48:V48),1))</f>
        <v>#DIV/0!</v>
      </c>
      <c r="S49" s="3513"/>
      <c r="T49" s="3513"/>
      <c r="U49" s="3513"/>
      <c r="V49" s="3513"/>
      <c r="W49" s="3513"/>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2.2" thickBot="1">
      <c r="A57" s="1581" t="s">
        <v>573</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6" customFormat="1" ht="14.4">
      <c r="A58" s="644" t="s">
        <v>528</v>
      </c>
      <c r="B58" s="645"/>
      <c r="C58" s="2823" t="str">
        <f>YEAR(C7)&amp;"-"&amp;MONTH(C7)</f>
        <v>2019-2</v>
      </c>
      <c r="D58" s="2825">
        <f>EDATE(C58,-1)</f>
        <v>43466</v>
      </c>
      <c r="E58" s="2825">
        <f t="shared" ref="E58:O58" si="16">EDATE(D58,-1)</f>
        <v>43435</v>
      </c>
      <c r="F58" s="2825">
        <f t="shared" si="16"/>
        <v>43405</v>
      </c>
      <c r="G58" s="2825">
        <f t="shared" si="16"/>
        <v>43374</v>
      </c>
      <c r="H58" s="2825">
        <f t="shared" si="16"/>
        <v>43344</v>
      </c>
      <c r="I58" s="2825">
        <f t="shared" si="16"/>
        <v>43313</v>
      </c>
      <c r="J58" s="2825">
        <f t="shared" si="16"/>
        <v>43282</v>
      </c>
      <c r="K58" s="2825">
        <f t="shared" si="16"/>
        <v>43252</v>
      </c>
      <c r="L58" s="2825">
        <f t="shared" si="16"/>
        <v>43221</v>
      </c>
      <c r="M58" s="2825">
        <f t="shared" si="16"/>
        <v>43191</v>
      </c>
      <c r="N58" s="2825">
        <f t="shared" si="16"/>
        <v>43160</v>
      </c>
      <c r="O58" s="2825">
        <f t="shared" si="16"/>
        <v>43132</v>
      </c>
      <c r="P58" s="2157"/>
      <c r="Q58" s="2158"/>
      <c r="R58" s="2158"/>
      <c r="S58" s="2158"/>
      <c r="T58" s="2158"/>
      <c r="U58" s="2158"/>
      <c r="V58" s="2158"/>
      <c r="W58" s="2158"/>
      <c r="X58" s="2158"/>
      <c r="Y58" s="2158"/>
      <c r="Z58" s="2158"/>
      <c r="AA58" s="2158"/>
      <c r="AB58" s="2158"/>
      <c r="AC58" s="2158"/>
    </row>
    <row r="59" spans="1:29" s="1219" customFormat="1">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9" customFormat="1" ht="15" thickBot="1">
      <c r="A60" s="652" t="s">
        <v>574</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4.4">
      <c r="A61" s="658" t="s">
        <v>530</v>
      </c>
      <c r="B61" s="647"/>
      <c r="C61" s="659" t="s">
        <v>575</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4.4"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4"/>
    </row>
    <row r="63" spans="1:29" ht="14.4">
      <c r="A63" s="663" t="s">
        <v>576</v>
      </c>
      <c r="B63" s="664" t="s">
        <v>533</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8"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4.4"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538</v>
      </c>
      <c r="B76" s="664" t="s">
        <v>577</v>
      </c>
      <c r="C76" s="702" t="s">
        <v>578</v>
      </c>
      <c r="D76" s="702" t="s">
        <v>579</v>
      </c>
      <c r="E76" s="702" t="s">
        <v>580</v>
      </c>
      <c r="F76" s="702" t="s">
        <v>581</v>
      </c>
      <c r="G76" s="702" t="s">
        <v>582</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585</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2556</v>
      </c>
      <c r="C80" s="707" t="s">
        <v>578</v>
      </c>
      <c r="D80" s="707" t="s">
        <v>579</v>
      </c>
      <c r="E80" s="707" t="s">
        <v>580</v>
      </c>
      <c r="F80" s="707" t="s">
        <v>581</v>
      </c>
      <c r="G80" s="707" t="s">
        <v>582</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743</v>
      </c>
      <c r="C84" s="707" t="s">
        <v>578</v>
      </c>
      <c r="D84" s="707" t="s">
        <v>579</v>
      </c>
      <c r="E84" s="707" t="s">
        <v>580</v>
      </c>
      <c r="F84" s="707" t="s">
        <v>581</v>
      </c>
      <c r="G84" s="707" t="s">
        <v>582</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 thickTop="1">
      <c r="A86" s="708"/>
      <c r="B86" s="672" t="s">
        <v>770</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9" customFormat="1" ht="14.4" thickTop="1">
      <c r="A88" s="708"/>
      <c r="B88" s="672" t="str">
        <f>B26</f>
        <v>平面位置/可视性</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4.4"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8" customFormat="1" ht="14.4"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4.4" thickTop="1">
      <c r="A92" s="668"/>
      <c r="B92" s="672" t="str">
        <f>B28</f>
        <v>楼层</v>
      </c>
      <c r="C92" s="687"/>
      <c r="D92" s="687"/>
      <c r="E92" s="687"/>
      <c r="F92" s="687"/>
      <c r="G92" s="687"/>
      <c r="H92" s="687"/>
      <c r="I92" s="687"/>
      <c r="J92" s="687"/>
      <c r="K92" s="687"/>
      <c r="L92" s="889"/>
      <c r="M92" s="89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2"/>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550</v>
      </c>
      <c r="B100" s="664" t="s">
        <v>771</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4.4"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748</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750</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3">
        <v>0.5</v>
      </c>
      <c r="D110" s="893">
        <v>0.6</v>
      </c>
      <c r="E110" s="893">
        <v>0.7</v>
      </c>
      <c r="F110" s="893">
        <v>0.8</v>
      </c>
      <c r="G110" s="893">
        <v>0.9</v>
      </c>
      <c r="H110" s="893">
        <v>1.0001</v>
      </c>
      <c r="I110" s="904"/>
      <c r="J110" s="904"/>
      <c r="K110" s="905"/>
      <c r="L110" s="906"/>
      <c r="M110" s="907"/>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8" customFormat="1" ht="15" thickTop="1">
      <c r="A112" s="727"/>
      <c r="B112" s="1893" t="s">
        <v>2555</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8"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772</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773</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774</v>
      </c>
      <c r="C118" s="908"/>
      <c r="D118" s="908"/>
      <c r="E118" s="908"/>
      <c r="F118" s="908"/>
      <c r="G118" s="908"/>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8" customFormat="1" ht="15" thickTop="1">
      <c r="A120" s="727"/>
      <c r="B120" s="672" t="s">
        <v>775</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8"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754</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2218"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776</v>
      </c>
      <c r="C1" s="504" t="s">
        <v>719</v>
      </c>
      <c r="D1" s="848"/>
      <c r="E1" s="506"/>
      <c r="F1" s="2828"/>
      <c r="G1" s="1598" t="s">
        <v>720</v>
      </c>
      <c r="H1" s="506"/>
      <c r="I1" s="506"/>
      <c r="J1" s="506"/>
      <c r="K1" s="507"/>
      <c r="L1" s="1559"/>
      <c r="M1" s="1560"/>
      <c r="N1" s="1560"/>
      <c r="O1" s="1560"/>
      <c r="P1" s="2204"/>
      <c r="Q1" s="1561"/>
      <c r="R1" s="1561"/>
      <c r="S1" s="1561"/>
      <c r="T1" s="1561"/>
      <c r="U1" s="1561"/>
      <c r="V1" s="1561"/>
      <c r="W1" s="1561"/>
      <c r="X1" s="1561"/>
      <c r="Y1" s="1561"/>
      <c r="Z1" s="1561"/>
      <c r="AA1" s="1561"/>
      <c r="AB1" s="1561"/>
      <c r="AC1" s="1562"/>
    </row>
    <row r="2" spans="1:29" s="1335" customFormat="1" ht="28.5" customHeight="1">
      <c r="A2" s="423" t="s">
        <v>466</v>
      </c>
      <c r="B2" s="849" t="e">
        <f>ROUND(B3*D3/10000,0)</f>
        <v>#DIV/0!</v>
      </c>
      <c r="C2" s="2124"/>
      <c r="D2" s="2124"/>
      <c r="E2" s="2058"/>
      <c r="F2" s="2126"/>
      <c r="G2" s="2125"/>
      <c r="H2" s="2125"/>
      <c r="I2" s="2125"/>
      <c r="J2" s="2125"/>
      <c r="K2" s="2125"/>
      <c r="L2" s="2128"/>
      <c r="M2" s="2129"/>
      <c r="N2" s="2129"/>
      <c r="O2" s="2129"/>
      <c r="P2" s="2204"/>
      <c r="Q2" s="1561"/>
      <c r="R2" s="1561"/>
      <c r="S2" s="1561"/>
      <c r="T2" s="1561"/>
      <c r="U2" s="1561"/>
      <c r="V2" s="1561"/>
      <c r="W2" s="1561"/>
      <c r="X2" s="1561"/>
      <c r="Y2" s="1561"/>
      <c r="Z2" s="1561"/>
      <c r="AA2" s="1561"/>
      <c r="AB2" s="1561"/>
      <c r="AC2" s="1562"/>
    </row>
    <row r="3" spans="1:29" s="1335" customFormat="1" ht="28.5" customHeight="1" thickBot="1">
      <c r="A3" s="509" t="s">
        <v>518</v>
      </c>
      <c r="B3" s="510" t="e">
        <f>C50</f>
        <v>#DIV/0!</v>
      </c>
      <c r="C3" s="851" t="s">
        <v>721</v>
      </c>
      <c r="D3" s="850">
        <f>SUMIF('数据-汇总表'!$C19:$C33,D1,'数据-汇总表'!$E19:$E33)</f>
        <v>0</v>
      </c>
      <c r="E3" s="2058"/>
      <c r="F3" s="2126"/>
      <c r="G3" s="2125"/>
      <c r="H3" s="2125"/>
      <c r="I3" s="2125"/>
      <c r="J3" s="2125"/>
      <c r="K3" s="2127"/>
      <c r="L3" s="2128"/>
      <c r="M3" s="2129"/>
      <c r="N3" s="2129"/>
      <c r="O3" s="2129"/>
      <c r="P3" s="2204"/>
      <c r="Q3" s="1561"/>
      <c r="R3" s="1561"/>
      <c r="S3" s="1561"/>
      <c r="T3" s="1561"/>
      <c r="U3" s="1561"/>
      <c r="V3" s="1561"/>
      <c r="W3" s="1561"/>
      <c r="X3" s="1561"/>
      <c r="Y3" s="1561"/>
      <c r="Z3" s="1561"/>
      <c r="AA3" s="1561"/>
      <c r="AB3" s="1561"/>
      <c r="AC3" s="1562"/>
    </row>
    <row r="4" spans="1:29" ht="14.4">
      <c r="A4" s="512" t="s">
        <v>520</v>
      </c>
      <c r="B4" s="513"/>
      <c r="C4" s="3394" t="s">
        <v>521</v>
      </c>
      <c r="D4" s="3395"/>
      <c r="E4" s="3434" t="s">
        <v>522</v>
      </c>
      <c r="F4" s="3435"/>
      <c r="G4" s="3394" t="s">
        <v>523</v>
      </c>
      <c r="H4" s="3395"/>
      <c r="I4" s="3394" t="s">
        <v>524</v>
      </c>
      <c r="J4" s="3395"/>
      <c r="K4" s="514" t="s">
        <v>525</v>
      </c>
      <c r="L4" s="2130"/>
      <c r="M4" s="2131"/>
      <c r="N4" s="2131"/>
      <c r="O4" s="2131"/>
      <c r="P4" s="3515" t="s">
        <v>526</v>
      </c>
      <c r="Q4" s="3397"/>
      <c r="R4" s="3402" t="s">
        <v>522</v>
      </c>
      <c r="S4" s="3403"/>
      <c r="T4" s="3402" t="s">
        <v>523</v>
      </c>
      <c r="U4" s="3403"/>
      <c r="V4" s="3389" t="s">
        <v>524</v>
      </c>
      <c r="W4" s="3389"/>
      <c r="X4" s="1564"/>
      <c r="Y4" s="3402" t="s">
        <v>526</v>
      </c>
      <c r="Z4" s="3403"/>
      <c r="AA4" s="3391" t="s">
        <v>522</v>
      </c>
      <c r="AB4" s="3391" t="s">
        <v>523</v>
      </c>
      <c r="AC4" s="3391" t="s">
        <v>524</v>
      </c>
    </row>
    <row r="5" spans="1:29">
      <c r="A5" s="515"/>
      <c r="B5" s="516"/>
      <c r="C5" s="3428" t="s">
        <v>2925</v>
      </c>
      <c r="D5" s="3429"/>
      <c r="E5" s="3436" t="s">
        <v>2926</v>
      </c>
      <c r="F5" s="3437"/>
      <c r="G5" s="3428" t="s">
        <v>2927</v>
      </c>
      <c r="H5" s="3429"/>
      <c r="I5" s="3428" t="s">
        <v>2928</v>
      </c>
      <c r="J5" s="3429"/>
      <c r="K5" s="514"/>
      <c r="L5" s="2130"/>
      <c r="M5" s="2131"/>
      <c r="N5" s="2131"/>
      <c r="O5" s="2131"/>
      <c r="P5" s="3516"/>
      <c r="Q5" s="3399"/>
      <c r="R5" s="3404"/>
      <c r="S5" s="3405"/>
      <c r="T5" s="3404"/>
      <c r="U5" s="3405"/>
      <c r="V5" s="3389"/>
      <c r="W5" s="3389"/>
      <c r="X5" s="1564"/>
      <c r="Y5" s="3404"/>
      <c r="Z5" s="3405"/>
      <c r="AA5" s="3392"/>
      <c r="AB5" s="3392"/>
      <c r="AC5" s="3392"/>
    </row>
    <row r="6" spans="1:29" ht="15" thickBot="1">
      <c r="A6" s="517"/>
      <c r="B6" s="518"/>
      <c r="C6" s="3430" t="s">
        <v>2929</v>
      </c>
      <c r="D6" s="3431"/>
      <c r="E6" s="3432" t="s">
        <v>2929</v>
      </c>
      <c r="F6" s="3433"/>
      <c r="G6" s="3430" t="s">
        <v>2929</v>
      </c>
      <c r="H6" s="3431"/>
      <c r="I6" s="3430" t="s">
        <v>2929</v>
      </c>
      <c r="J6" s="3431"/>
      <c r="K6" s="514" t="s">
        <v>527</v>
      </c>
      <c r="L6" s="2130"/>
      <c r="M6" s="2131"/>
      <c r="N6" s="2131"/>
      <c r="O6" s="2131"/>
      <c r="P6" s="3517"/>
      <c r="Q6" s="3401"/>
      <c r="R6" s="3404"/>
      <c r="S6" s="3405"/>
      <c r="T6" s="3406"/>
      <c r="U6" s="3407"/>
      <c r="V6" s="3389"/>
      <c r="W6" s="3389"/>
      <c r="X6" s="1564"/>
      <c r="Y6" s="3406"/>
      <c r="Z6" s="3407"/>
      <c r="AA6" s="3393"/>
      <c r="AB6" s="3393"/>
      <c r="AC6" s="3393"/>
    </row>
    <row r="7" spans="1:29" s="1219" customFormat="1" ht="15" thickBot="1">
      <c r="A7" s="2933"/>
      <c r="B7" s="2940" t="s">
        <v>528</v>
      </c>
      <c r="C7" s="519">
        <f>'数据-取费表'!B2</f>
        <v>43507</v>
      </c>
      <c r="D7" s="520">
        <v>100</v>
      </c>
      <c r="E7" s="521"/>
      <c r="F7" s="522">
        <f>SUMIF(59:59,YEAR(E7)&amp;"-"&amp;MONTH(E7),60:60)</f>
        <v>0</v>
      </c>
      <c r="G7" s="521"/>
      <c r="H7" s="520">
        <f>SUMIF(59:59,YEAR(G7)&amp;"-"&amp;MONTH(G7),60:60)</f>
        <v>0</v>
      </c>
      <c r="I7" s="521"/>
      <c r="J7" s="520">
        <f>SUMIF(59:59,YEAR(I7)&amp;"-"&amp;MONTH(I7),60:60)</f>
        <v>0</v>
      </c>
      <c r="K7" s="524"/>
      <c r="L7" s="2132"/>
      <c r="M7" s="2133"/>
      <c r="N7" s="2133"/>
      <c r="O7" s="2133"/>
      <c r="P7" s="3423" t="s">
        <v>529</v>
      </c>
      <c r="Q7" s="3423"/>
      <c r="R7" s="1565" t="s">
        <v>8</v>
      </c>
      <c r="S7" s="1566">
        <f t="shared" ref="S7:S15" si="0">F7</f>
        <v>0</v>
      </c>
      <c r="T7" s="1565" t="s">
        <v>8</v>
      </c>
      <c r="U7" s="1566">
        <f t="shared" ref="U7:U15" si="1">H7</f>
        <v>0</v>
      </c>
      <c r="V7" s="1565" t="s">
        <v>8</v>
      </c>
      <c r="W7" s="1566">
        <f t="shared" ref="W7:W15" si="2">J7</f>
        <v>0</v>
      </c>
      <c r="X7" s="1567"/>
      <c r="Y7" s="3421" t="s">
        <v>529</v>
      </c>
      <c r="Z7" s="3422"/>
      <c r="AA7" s="1568" t="e">
        <f>D7/F7</f>
        <v>#DIV/0!</v>
      </c>
      <c r="AB7" s="1568" t="e">
        <f>D7/H7</f>
        <v>#DIV/0!</v>
      </c>
      <c r="AC7" s="1568" t="e">
        <f>D7/J7</f>
        <v>#DIV/0!</v>
      </c>
    </row>
    <row r="8" spans="1:29" s="1219" customFormat="1" ht="15" thickBot="1">
      <c r="A8" s="2934"/>
      <c r="B8" s="2941" t="s">
        <v>530</v>
      </c>
      <c r="C8" s="525" t="s">
        <v>575</v>
      </c>
      <c r="D8" s="520">
        <v>100</v>
      </c>
      <c r="E8" s="525"/>
      <c r="F8" s="522">
        <f>SUMIF(62:62,E8,63:63)-SUMIF(62:62,C8,63:63)+100</f>
        <v>0</v>
      </c>
      <c r="G8" s="525"/>
      <c r="H8" s="520">
        <f>SUMIF(62:62,G8,63:63)-SUMIF(62:62,C8,63:63)+100</f>
        <v>0</v>
      </c>
      <c r="I8" s="525"/>
      <c r="J8" s="520">
        <f>SUMIF(62:62,I8,63:63)-SUMIF(62:62,C8,63:63)+100</f>
        <v>0</v>
      </c>
      <c r="K8" s="524"/>
      <c r="L8" s="2132"/>
      <c r="M8" s="2133"/>
      <c r="N8" s="2133"/>
      <c r="O8" s="2133"/>
      <c r="P8" s="3423" t="s">
        <v>532</v>
      </c>
      <c r="Q8" s="3422"/>
      <c r="R8" s="1565" t="s">
        <v>8</v>
      </c>
      <c r="S8" s="1566">
        <f t="shared" si="0"/>
        <v>0</v>
      </c>
      <c r="T8" s="1565" t="s">
        <v>8</v>
      </c>
      <c r="U8" s="1566">
        <f t="shared" si="1"/>
        <v>0</v>
      </c>
      <c r="V8" s="1565" t="s">
        <v>8</v>
      </c>
      <c r="W8" s="1566">
        <f t="shared" si="2"/>
        <v>0</v>
      </c>
      <c r="X8" s="1567"/>
      <c r="Y8" s="3421" t="s">
        <v>532</v>
      </c>
      <c r="Z8" s="3422"/>
      <c r="AA8" s="1568" t="e">
        <f t="shared" ref="AA8:AA47" si="3">D8/F8</f>
        <v>#DIV/0!</v>
      </c>
      <c r="AB8" s="1568" t="e">
        <f t="shared" ref="AB8:AB47" si="4">D8/H8</f>
        <v>#DIV/0!</v>
      </c>
      <c r="AC8" s="1568" t="e">
        <f t="shared" ref="AC8:AC47" si="5">D8/J8</f>
        <v>#DIV/0!</v>
      </c>
    </row>
    <row r="9" spans="1:29" s="1219" customFormat="1" ht="14.4">
      <c r="A9" s="2935"/>
      <c r="B9" s="2942" t="s">
        <v>2754</v>
      </c>
      <c r="C9" s="856"/>
      <c r="D9" s="254">
        <v>100</v>
      </c>
      <c r="E9" s="859"/>
      <c r="F9" s="254">
        <f>SUMIF(64:64,E9,65:65)-SUMIF(64:64,C9,65:65)+100</f>
        <v>100</v>
      </c>
      <c r="G9" s="857"/>
      <c r="H9" s="254">
        <f>SUMIF(64:64,G9,65:65)-SUMIF(64:64,C9,65:65)+100</f>
        <v>100</v>
      </c>
      <c r="I9" s="857"/>
      <c r="J9" s="254">
        <f>SUMIF(64:64,I9,65:65)-SUMIF(64:64,C9,65:65)+100</f>
        <v>100</v>
      </c>
      <c r="K9" s="524"/>
      <c r="L9" s="2132"/>
      <c r="M9" s="2133"/>
      <c r="N9" s="2133"/>
      <c r="O9" s="2133"/>
      <c r="P9" s="3388" t="s">
        <v>534</v>
      </c>
      <c r="Q9" s="1150" t="str">
        <f t="shared" ref="Q9:Q15" si="6">B9</f>
        <v>用途</v>
      </c>
      <c r="R9" s="1565" t="s">
        <v>8</v>
      </c>
      <c r="S9" s="1566">
        <f t="shared" si="0"/>
        <v>100</v>
      </c>
      <c r="T9" s="1565" t="s">
        <v>8</v>
      </c>
      <c r="U9" s="1566">
        <f t="shared" si="1"/>
        <v>100</v>
      </c>
      <c r="V9" s="1565" t="s">
        <v>8</v>
      </c>
      <c r="W9" s="1566">
        <f t="shared" si="2"/>
        <v>100</v>
      </c>
      <c r="X9" s="1567"/>
      <c r="Y9" s="3334" t="s">
        <v>535</v>
      </c>
      <c r="Z9" s="1149" t="str">
        <f t="shared" ref="Z9:Z15" si="7">Q9</f>
        <v>用途</v>
      </c>
      <c r="AA9" s="1568">
        <f t="shared" si="3"/>
        <v>1</v>
      </c>
      <c r="AB9" s="1568">
        <f t="shared" si="4"/>
        <v>1</v>
      </c>
      <c r="AC9" s="1568">
        <f t="shared" si="5"/>
        <v>1</v>
      </c>
    </row>
    <row r="10" spans="1:29" s="1337" customFormat="1" ht="28.8">
      <c r="A10" s="2936"/>
      <c r="B10" s="2941" t="s">
        <v>2755</v>
      </c>
      <c r="C10" s="860"/>
      <c r="D10" s="255">
        <v>100</v>
      </c>
      <c r="E10" s="860"/>
      <c r="F10" s="255">
        <f>SUMIF(66:66,E10,67:67)-SUMIF(66:66,C10,67:67)+100</f>
        <v>100</v>
      </c>
      <c r="G10" s="861"/>
      <c r="H10" s="255">
        <f>SUMIF(66:66,G10,67:67)-SUMIF(66:66,C10,67:67)+100</f>
        <v>100</v>
      </c>
      <c r="I10" s="860"/>
      <c r="J10" s="255">
        <f>SUMIF(66:66,I10,67:67)-SUMIF(66:66,C10,67:67)+100</f>
        <v>100</v>
      </c>
      <c r="K10" s="583"/>
      <c r="L10" s="2135"/>
      <c r="M10" s="2175"/>
      <c r="N10" s="2175"/>
      <c r="O10" s="2175"/>
      <c r="P10" s="3388"/>
      <c r="Q10" s="1150" t="str">
        <f t="shared" si="6"/>
        <v>土地使用年限（年）</v>
      </c>
      <c r="R10" s="1565" t="s">
        <v>8</v>
      </c>
      <c r="S10" s="1566">
        <f t="shared" si="0"/>
        <v>100</v>
      </c>
      <c r="T10" s="1565" t="s">
        <v>8</v>
      </c>
      <c r="U10" s="1566">
        <f t="shared" si="1"/>
        <v>100</v>
      </c>
      <c r="V10" s="1565" t="s">
        <v>8</v>
      </c>
      <c r="W10" s="1566">
        <f t="shared" si="2"/>
        <v>100</v>
      </c>
      <c r="X10" s="1567"/>
      <c r="Y10" s="3334"/>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37"/>
      <c r="M11" s="2131"/>
      <c r="N11" s="2131"/>
      <c r="O11" s="2131"/>
      <c r="P11" s="3388"/>
      <c r="Q11" s="1150" t="str">
        <f t="shared" si="6"/>
        <v>容积率</v>
      </c>
      <c r="R11" s="1565" t="s">
        <v>8</v>
      </c>
      <c r="S11" s="1566" t="e">
        <f t="shared" si="0"/>
        <v>#N/A</v>
      </c>
      <c r="T11" s="1565" t="s">
        <v>8</v>
      </c>
      <c r="U11" s="1566" t="e">
        <f t="shared" si="1"/>
        <v>#N/A</v>
      </c>
      <c r="V11" s="1565" t="s">
        <v>8</v>
      </c>
      <c r="W11" s="1566" t="e">
        <f t="shared" si="2"/>
        <v>#N/A</v>
      </c>
      <c r="X11" s="1567"/>
      <c r="Y11" s="3334"/>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28"/>
      <c r="F12" s="255">
        <f>SUMIF(71:71,E12,72:72)-SUMIF(71:71,C12,72:72)+100</f>
        <v>100</v>
      </c>
      <c r="G12" s="909"/>
      <c r="H12" s="255">
        <f>SUMIF(71:71,G12,72:72)-SUMIF(71:71,C12,72:72)+100</f>
        <v>100</v>
      </c>
      <c r="I12" s="528"/>
      <c r="J12" s="255">
        <f>SUMIF(71:71,I12,72:72)-SUMIF(71:71,C12,72:72)+100</f>
        <v>100</v>
      </c>
      <c r="K12" s="580"/>
      <c r="L12" s="2132"/>
      <c r="M12" s="2133"/>
      <c r="N12" s="2133"/>
      <c r="O12" s="2133"/>
      <c r="P12" s="3388"/>
      <c r="Q12" s="1150">
        <f t="shared" si="6"/>
        <v>111</v>
      </c>
      <c r="R12" s="1565" t="s">
        <v>8</v>
      </c>
      <c r="S12" s="1566">
        <f t="shared" si="0"/>
        <v>100</v>
      </c>
      <c r="T12" s="1565" t="s">
        <v>8</v>
      </c>
      <c r="U12" s="1566">
        <f t="shared" si="1"/>
        <v>100</v>
      </c>
      <c r="V12" s="1565" t="s">
        <v>8</v>
      </c>
      <c r="W12" s="1566">
        <f t="shared" si="2"/>
        <v>100</v>
      </c>
      <c r="X12" s="1567"/>
      <c r="Y12" s="3334"/>
      <c r="Z12" s="1149">
        <f t="shared" si="7"/>
        <v>111</v>
      </c>
      <c r="AA12" s="1568">
        <f>D12/F12</f>
        <v>1</v>
      </c>
      <c r="AB12" s="1568">
        <f>D12/H12</f>
        <v>1</v>
      </c>
      <c r="AC12" s="1568">
        <f>D12/J12</f>
        <v>1</v>
      </c>
    </row>
    <row r="13" spans="1:29" ht="15">
      <c r="A13" s="2938"/>
      <c r="B13" s="2944">
        <v>111</v>
      </c>
      <c r="C13" s="538"/>
      <c r="D13" s="539">
        <v>100</v>
      </c>
      <c r="E13" s="528"/>
      <c r="F13" s="255">
        <f>SUMIF(73:73,E13,74:74)-SUMIF(73:73,C13,74:74)+100</f>
        <v>100</v>
      </c>
      <c r="G13" s="909"/>
      <c r="H13" s="539">
        <f>SUMIF(73:73,G13,74:74)-SUMIF(73:73,C13,74:74)+100</f>
        <v>100</v>
      </c>
      <c r="I13" s="528"/>
      <c r="J13" s="539">
        <f>SUMIF(73:73,I13,74:74)-SUMIF(73:73,C13,74:74)+100</f>
        <v>100</v>
      </c>
      <c r="K13" s="580"/>
      <c r="L13" s="2139"/>
      <c r="M13" s="2131"/>
      <c r="N13" s="2131"/>
      <c r="O13" s="2131"/>
      <c r="P13" s="3388"/>
      <c r="Q13" s="1150">
        <f t="shared" si="6"/>
        <v>111</v>
      </c>
      <c r="R13" s="1565" t="s">
        <v>8</v>
      </c>
      <c r="S13" s="1566">
        <f t="shared" si="0"/>
        <v>100</v>
      </c>
      <c r="T13" s="1565" t="s">
        <v>8</v>
      </c>
      <c r="U13" s="1566">
        <f t="shared" si="1"/>
        <v>100</v>
      </c>
      <c r="V13" s="1565" t="s">
        <v>8</v>
      </c>
      <c r="W13" s="1566">
        <f t="shared" si="2"/>
        <v>100</v>
      </c>
      <c r="X13" s="1567"/>
      <c r="Y13" s="3334"/>
      <c r="Z13" s="1149">
        <f t="shared" si="7"/>
        <v>111</v>
      </c>
      <c r="AA13" s="1568">
        <f t="shared" si="3"/>
        <v>1</v>
      </c>
      <c r="AB13" s="1568">
        <f t="shared" si="4"/>
        <v>1</v>
      </c>
      <c r="AC13" s="1568">
        <f t="shared" si="5"/>
        <v>1</v>
      </c>
    </row>
    <row r="14" spans="1:29" ht="15.6" thickBot="1">
      <c r="A14" s="2939"/>
      <c r="B14" s="2945">
        <v>111</v>
      </c>
      <c r="C14" s="544"/>
      <c r="D14" s="545">
        <v>100</v>
      </c>
      <c r="E14" s="910"/>
      <c r="F14" s="545">
        <f>SUMIF(75:75,E14,76:76)-SUMIF(75:75,C14,76:76)+100</f>
        <v>100</v>
      </c>
      <c r="G14" s="909"/>
      <c r="H14" s="545">
        <f>SUMIF(75:75,G14,76:76)-SUMIF(75:75,C14,76:76)+100</f>
        <v>100</v>
      </c>
      <c r="I14" s="528"/>
      <c r="J14" s="545">
        <f>SUMIF(75:75,I14,76:76)-SUMIF(75:75,C14,76:76)+100</f>
        <v>100</v>
      </c>
      <c r="K14" s="580"/>
      <c r="L14" s="2139"/>
      <c r="M14" s="2131"/>
      <c r="N14" s="2131"/>
      <c r="O14" s="2131"/>
      <c r="P14" s="3388"/>
      <c r="Q14" s="1150">
        <f t="shared" si="6"/>
        <v>111</v>
      </c>
      <c r="R14" s="1565" t="s">
        <v>8</v>
      </c>
      <c r="S14" s="1566">
        <f t="shared" si="0"/>
        <v>100</v>
      </c>
      <c r="T14" s="1565" t="s">
        <v>8</v>
      </c>
      <c r="U14" s="1566">
        <f t="shared" si="1"/>
        <v>100</v>
      </c>
      <c r="V14" s="1565" t="s">
        <v>8</v>
      </c>
      <c r="W14" s="1566">
        <f t="shared" si="2"/>
        <v>100</v>
      </c>
      <c r="X14" s="1567"/>
      <c r="Y14" s="3334"/>
      <c r="Z14" s="1149">
        <f t="shared" si="7"/>
        <v>111</v>
      </c>
      <c r="AA14" s="1568">
        <f t="shared" si="3"/>
        <v>1</v>
      </c>
      <c r="AB14" s="1568">
        <f t="shared" si="4"/>
        <v>1</v>
      </c>
      <c r="AC14" s="1568">
        <f t="shared" si="5"/>
        <v>1</v>
      </c>
    </row>
    <row r="15" spans="1:29" ht="82.8">
      <c r="A15" s="2931" t="s">
        <v>2752</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39"/>
      <c r="M15" s="2131"/>
      <c r="N15" s="2131"/>
      <c r="O15" s="2131"/>
      <c r="P15" s="3424" t="s">
        <v>539</v>
      </c>
      <c r="Q15" s="1569" t="str">
        <f t="shared" si="6"/>
        <v>办公集聚程度</v>
      </c>
      <c r="R15" s="1570" t="s">
        <v>8</v>
      </c>
      <c r="S15" s="1571">
        <f t="shared" si="0"/>
        <v>100</v>
      </c>
      <c r="T15" s="1570" t="s">
        <v>8</v>
      </c>
      <c r="U15" s="1571">
        <f t="shared" si="1"/>
        <v>100</v>
      </c>
      <c r="V15" s="1570" t="s">
        <v>8</v>
      </c>
      <c r="W15" s="1571">
        <f t="shared" si="2"/>
        <v>100</v>
      </c>
      <c r="X15" s="1564"/>
      <c r="Y15" s="3424" t="s">
        <v>539</v>
      </c>
      <c r="Z15" s="1572" t="str">
        <f t="shared" si="7"/>
        <v>办公集聚程度</v>
      </c>
      <c r="AA15" s="1573">
        <f t="shared" si="3"/>
        <v>1</v>
      </c>
      <c r="AB15" s="1573">
        <f t="shared" si="4"/>
        <v>1</v>
      </c>
      <c r="AC15" s="1573">
        <f t="shared" si="5"/>
        <v>1</v>
      </c>
    </row>
    <row r="16" spans="1:29" ht="15">
      <c r="A16" s="531"/>
      <c r="B16" s="552"/>
      <c r="C16" s="553"/>
      <c r="D16" s="554"/>
      <c r="E16" s="575"/>
      <c r="F16" s="554"/>
      <c r="G16" s="553"/>
      <c r="H16" s="558"/>
      <c r="I16" s="575"/>
      <c r="J16" s="554"/>
      <c r="K16" s="898"/>
      <c r="L16" s="2139"/>
      <c r="M16" s="2131"/>
      <c r="N16" s="2131"/>
      <c r="O16" s="2131"/>
      <c r="P16" s="3425"/>
      <c r="Q16" s="1569"/>
      <c r="R16" s="1570"/>
      <c r="S16" s="1571"/>
      <c r="T16" s="1570"/>
      <c r="U16" s="1571"/>
      <c r="V16" s="1570"/>
      <c r="W16" s="1571"/>
      <c r="X16" s="1564"/>
      <c r="Y16" s="3425"/>
      <c r="Z16" s="1572"/>
      <c r="AA16" s="1573">
        <v>1</v>
      </c>
      <c r="AB16" s="1573">
        <v>1</v>
      </c>
      <c r="AC16" s="1573">
        <v>1</v>
      </c>
    </row>
    <row r="17" spans="1:29" ht="96.6">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39"/>
      <c r="M17" s="2131"/>
      <c r="N17" s="2131"/>
      <c r="O17" s="2131"/>
      <c r="P17" s="3425"/>
      <c r="Q17" s="1569" t="str">
        <f>B17</f>
        <v>交通便捷度</v>
      </c>
      <c r="R17" s="1570" t="s">
        <v>8</v>
      </c>
      <c r="S17" s="1571">
        <f>F17</f>
        <v>100</v>
      </c>
      <c r="T17" s="1570" t="s">
        <v>8</v>
      </c>
      <c r="U17" s="1571">
        <f>H17</f>
        <v>100</v>
      </c>
      <c r="V17" s="1570" t="s">
        <v>8</v>
      </c>
      <c r="W17" s="1571">
        <f>J17</f>
        <v>100</v>
      </c>
      <c r="X17" s="1564"/>
      <c r="Y17" s="3425"/>
      <c r="Z17" s="1572" t="str">
        <f>Q17</f>
        <v>交通便捷度</v>
      </c>
      <c r="AA17" s="1573">
        <f t="shared" si="3"/>
        <v>1</v>
      </c>
      <c r="AB17" s="1573">
        <f t="shared" si="4"/>
        <v>1</v>
      </c>
      <c r="AC17" s="1573">
        <f t="shared" si="5"/>
        <v>1</v>
      </c>
    </row>
    <row r="18" spans="1:29" ht="15">
      <c r="A18" s="531"/>
      <c r="B18" s="565"/>
      <c r="C18" s="566"/>
      <c r="D18" s="558"/>
      <c r="E18" s="568"/>
      <c r="F18" s="558"/>
      <c r="G18" s="567"/>
      <c r="H18" s="554"/>
      <c r="I18" s="567"/>
      <c r="J18" s="554"/>
      <c r="K18" s="898"/>
      <c r="L18" s="2139"/>
      <c r="M18" s="2131"/>
      <c r="N18" s="2131"/>
      <c r="O18" s="2131"/>
      <c r="P18" s="3425"/>
      <c r="Q18" s="1569"/>
      <c r="R18" s="1570"/>
      <c r="S18" s="1571"/>
      <c r="T18" s="1570"/>
      <c r="U18" s="1571"/>
      <c r="V18" s="1570"/>
      <c r="W18" s="1571"/>
      <c r="X18" s="1564"/>
      <c r="Y18" s="3425"/>
      <c r="Z18" s="1572"/>
      <c r="AA18" s="1573">
        <v>1</v>
      </c>
      <c r="AB18" s="1573">
        <v>1</v>
      </c>
      <c r="AC18" s="1573">
        <v>1</v>
      </c>
    </row>
    <row r="19" spans="1:29" ht="41.4">
      <c r="A19" s="531"/>
      <c r="B19" s="2624"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39"/>
      <c r="M19" s="2131"/>
      <c r="N19" s="2131"/>
      <c r="O19" s="2131"/>
      <c r="P19" s="3425"/>
      <c r="Q19" s="1569" t="str">
        <f>B19</f>
        <v>公共配套设施</v>
      </c>
      <c r="R19" s="1570" t="s">
        <v>8</v>
      </c>
      <c r="S19" s="1571">
        <f>F19</f>
        <v>100</v>
      </c>
      <c r="T19" s="1570" t="s">
        <v>8</v>
      </c>
      <c r="U19" s="1571">
        <f>H19</f>
        <v>100</v>
      </c>
      <c r="V19" s="1570" t="s">
        <v>8</v>
      </c>
      <c r="W19" s="1571">
        <f>J19</f>
        <v>100</v>
      </c>
      <c r="X19" s="1564"/>
      <c r="Y19" s="3425"/>
      <c r="Z19" s="1572" t="str">
        <f>Q19</f>
        <v>公共配套设施</v>
      </c>
      <c r="AA19" s="1573">
        <f t="shared" si="3"/>
        <v>1</v>
      </c>
      <c r="AB19" s="1573">
        <f t="shared" si="4"/>
        <v>1</v>
      </c>
      <c r="AC19" s="1573">
        <f t="shared" si="5"/>
        <v>1</v>
      </c>
    </row>
    <row r="20" spans="1:29" ht="15">
      <c r="A20" s="531"/>
      <c r="B20" s="565"/>
      <c r="C20" s="553"/>
      <c r="D20" s="554"/>
      <c r="E20" s="557"/>
      <c r="F20" s="554"/>
      <c r="G20" s="555"/>
      <c r="H20" s="554"/>
      <c r="I20" s="555"/>
      <c r="J20" s="554"/>
      <c r="K20" s="898"/>
      <c r="L20" s="2139"/>
      <c r="M20" s="2131"/>
      <c r="N20" s="2131"/>
      <c r="O20" s="2131"/>
      <c r="P20" s="3425"/>
      <c r="Q20" s="1569"/>
      <c r="R20" s="1570"/>
      <c r="S20" s="1571"/>
      <c r="T20" s="1570"/>
      <c r="U20" s="1571"/>
      <c r="V20" s="1570"/>
      <c r="W20" s="1571"/>
      <c r="X20" s="1564"/>
      <c r="Y20" s="3425"/>
      <c r="Z20" s="1572"/>
      <c r="AA20" s="1573">
        <v>1</v>
      </c>
      <c r="AB20" s="1573">
        <v>1</v>
      </c>
      <c r="AC20" s="1573">
        <v>1</v>
      </c>
    </row>
    <row r="21" spans="1:29" ht="41.4">
      <c r="A21" s="531"/>
      <c r="B21" s="2612"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39"/>
      <c r="M21" s="2131"/>
      <c r="N21" s="2131"/>
      <c r="O21" s="2131"/>
      <c r="P21" s="3425"/>
      <c r="Q21" s="2600" t="str">
        <f>B21</f>
        <v>基础设施水平</v>
      </c>
      <c r="R21" s="1570" t="s">
        <v>8</v>
      </c>
      <c r="S21" s="1571">
        <f>F21</f>
        <v>100</v>
      </c>
      <c r="T21" s="1570" t="s">
        <v>8</v>
      </c>
      <c r="U21" s="1571">
        <f>H21</f>
        <v>100</v>
      </c>
      <c r="V21" s="1570" t="s">
        <v>8</v>
      </c>
      <c r="W21" s="1571">
        <f>J21</f>
        <v>100</v>
      </c>
      <c r="X21" s="2602"/>
      <c r="Y21" s="3425"/>
      <c r="Z21" s="2601" t="str">
        <f>Q21</f>
        <v>基础设施水平</v>
      </c>
      <c r="AA21" s="1573">
        <f t="shared" ref="AA21" si="8">D21/F21</f>
        <v>1</v>
      </c>
      <c r="AB21" s="1573">
        <f t="shared" ref="AB21" si="9">D21/H21</f>
        <v>1</v>
      </c>
      <c r="AC21" s="1573">
        <f t="shared" ref="AC21" si="10">D21/J21</f>
        <v>1</v>
      </c>
    </row>
    <row r="22" spans="1:29" ht="15">
      <c r="A22" s="531"/>
      <c r="B22" s="577"/>
      <c r="C22" s="566"/>
      <c r="D22" s="554"/>
      <c r="E22" s="575"/>
      <c r="F22" s="554"/>
      <c r="G22" s="553"/>
      <c r="H22" s="554"/>
      <c r="I22" s="553"/>
      <c r="J22" s="554"/>
      <c r="K22" s="2623"/>
      <c r="L22" s="2139"/>
      <c r="M22" s="2131"/>
      <c r="N22" s="2131"/>
      <c r="O22" s="2131"/>
      <c r="P22" s="3425"/>
      <c r="Q22" s="2600"/>
      <c r="R22" s="1570"/>
      <c r="S22" s="1571"/>
      <c r="T22" s="1570"/>
      <c r="U22" s="1571"/>
      <c r="V22" s="1570"/>
      <c r="W22" s="1571"/>
      <c r="X22" s="2602"/>
      <c r="Y22" s="3425"/>
      <c r="Z22" s="2601"/>
      <c r="AA22" s="1573">
        <v>1</v>
      </c>
      <c r="AB22" s="1573">
        <v>1</v>
      </c>
      <c r="AC22" s="1573">
        <v>1</v>
      </c>
    </row>
    <row r="23" spans="1:29" ht="55.2">
      <c r="A23" s="531"/>
      <c r="B23" s="559" t="s">
        <v>777</v>
      </c>
      <c r="C23" s="572" t="str">
        <f>估价对象房地状况!C9</f>
        <v>区域自然环境：；人文环境；综合评价好</v>
      </c>
      <c r="D23" s="558">
        <v>100</v>
      </c>
      <c r="E23" s="563"/>
      <c r="F23" s="558">
        <f>SUMIF(85:85,E24,86:86)-SUMIF(85:85,C24,86:86)+100</f>
        <v>100</v>
      </c>
      <c r="G23" s="561"/>
      <c r="H23" s="558">
        <f>SUMIF(85:85,G24,86:86)-SUMIF(85:85,C24,86:86)+100</f>
        <v>100</v>
      </c>
      <c r="I23" s="561"/>
      <c r="J23" s="558">
        <f>SUMIF(85:85,I24,86:86)-SUMIF(85:85,C24,86:86)+100</f>
        <v>100</v>
      </c>
      <c r="K23" s="897"/>
      <c r="L23" s="2139"/>
      <c r="M23" s="2131"/>
      <c r="N23" s="2131"/>
      <c r="O23" s="2131"/>
      <c r="P23" s="3425"/>
      <c r="Q23" s="1569" t="str">
        <f>B23</f>
        <v>环境质量</v>
      </c>
      <c r="R23" s="1570" t="s">
        <v>8</v>
      </c>
      <c r="S23" s="1571">
        <f>F23</f>
        <v>100</v>
      </c>
      <c r="T23" s="1570" t="s">
        <v>8</v>
      </c>
      <c r="U23" s="1571">
        <f>H23</f>
        <v>100</v>
      </c>
      <c r="V23" s="1570" t="s">
        <v>8</v>
      </c>
      <c r="W23" s="1571">
        <f>J23</f>
        <v>100</v>
      </c>
      <c r="X23" s="1564"/>
      <c r="Y23" s="3425"/>
      <c r="Z23" s="1572" t="str">
        <f>Q23</f>
        <v>环境质量</v>
      </c>
      <c r="AA23" s="1573">
        <f t="shared" si="3"/>
        <v>1</v>
      </c>
      <c r="AB23" s="1573">
        <f t="shared" si="4"/>
        <v>1</v>
      </c>
      <c r="AC23" s="1573">
        <f t="shared" si="5"/>
        <v>1</v>
      </c>
    </row>
    <row r="24" spans="1:29" ht="15">
      <c r="A24" s="531"/>
      <c r="B24" s="577"/>
      <c r="C24" s="553"/>
      <c r="D24" s="554"/>
      <c r="E24" s="557"/>
      <c r="F24" s="554"/>
      <c r="G24" s="555"/>
      <c r="H24" s="554"/>
      <c r="I24" s="555"/>
      <c r="J24" s="554"/>
      <c r="K24" s="898"/>
      <c r="L24" s="2139"/>
      <c r="M24" s="2131"/>
      <c r="N24" s="2131"/>
      <c r="O24" s="2131"/>
      <c r="P24" s="3425"/>
      <c r="Q24" s="1569"/>
      <c r="R24" s="1570"/>
      <c r="S24" s="1571"/>
      <c r="T24" s="1570"/>
      <c r="U24" s="1571"/>
      <c r="V24" s="1570"/>
      <c r="W24" s="1571"/>
      <c r="X24" s="1564"/>
      <c r="Y24" s="3425"/>
      <c r="Z24" s="1572"/>
      <c r="AA24" s="1573">
        <v>1</v>
      </c>
      <c r="AB24" s="1573">
        <v>1</v>
      </c>
      <c r="AC24" s="1573">
        <v>1</v>
      </c>
    </row>
    <row r="25" spans="1:29" ht="28.8">
      <c r="A25" s="515"/>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39"/>
      <c r="M25" s="2131"/>
      <c r="N25" s="2131"/>
      <c r="O25" s="2131"/>
      <c r="P25" s="3425"/>
      <c r="Q25" s="1569" t="str">
        <f>B25</f>
        <v>毗邻道路的类型与等级</v>
      </c>
      <c r="R25" s="1570" t="s">
        <v>8</v>
      </c>
      <c r="S25" s="1571">
        <f>F25</f>
        <v>100</v>
      </c>
      <c r="T25" s="1570" t="s">
        <v>8</v>
      </c>
      <c r="U25" s="1571">
        <f>H25</f>
        <v>100</v>
      </c>
      <c r="V25" s="1570" t="s">
        <v>8</v>
      </c>
      <c r="W25" s="1571">
        <f>J25</f>
        <v>100</v>
      </c>
      <c r="X25" s="1564"/>
      <c r="Y25" s="3425"/>
      <c r="Z25" s="1572" t="str">
        <f>Q25</f>
        <v>毗邻道路的类型与等级</v>
      </c>
      <c r="AA25" s="1573">
        <f t="shared" si="3"/>
        <v>1</v>
      </c>
      <c r="AB25" s="1573">
        <f t="shared" si="4"/>
        <v>1</v>
      </c>
      <c r="AC25" s="1573">
        <f t="shared" si="5"/>
        <v>1</v>
      </c>
    </row>
    <row r="26" spans="1:29" ht="15">
      <c r="A26" s="515"/>
      <c r="B26" s="565"/>
      <c r="C26" s="579"/>
      <c r="D26" s="539"/>
      <c r="E26" s="582"/>
      <c r="F26" s="539"/>
      <c r="G26" s="579"/>
      <c r="H26" s="539"/>
      <c r="I26" s="582"/>
      <c r="J26" s="539"/>
      <c r="K26" s="898"/>
      <c r="L26" s="2139"/>
      <c r="M26" s="2131"/>
      <c r="N26" s="2131"/>
      <c r="O26" s="2131"/>
      <c r="P26" s="3425"/>
      <c r="Q26" s="1569"/>
      <c r="R26" s="1570"/>
      <c r="S26" s="1571"/>
      <c r="T26" s="1570"/>
      <c r="U26" s="1571"/>
      <c r="V26" s="1570"/>
      <c r="W26" s="1571"/>
      <c r="X26" s="1564"/>
      <c r="Y26" s="3425"/>
      <c r="Z26" s="1572"/>
      <c r="AA26" s="1573">
        <v>1</v>
      </c>
      <c r="AB26" s="1573">
        <v>1</v>
      </c>
      <c r="AC26" s="1573">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25"/>
      <c r="Q27" s="1569" t="str">
        <f t="shared" ref="Q27:Q47" si="11">B27</f>
        <v>楼层</v>
      </c>
      <c r="R27" s="1570" t="s">
        <v>8</v>
      </c>
      <c r="S27" s="1571">
        <f>F27</f>
        <v>100</v>
      </c>
      <c r="T27" s="1570" t="s">
        <v>8</v>
      </c>
      <c r="U27" s="1571">
        <f>H27</f>
        <v>100</v>
      </c>
      <c r="V27" s="1570" t="s">
        <v>8</v>
      </c>
      <c r="W27" s="1571">
        <f>J27</f>
        <v>100</v>
      </c>
      <c r="X27" s="1564"/>
      <c r="Y27" s="3425"/>
      <c r="Z27" s="1572" t="str">
        <f>Q27</f>
        <v>楼层</v>
      </c>
      <c r="AA27" s="1573">
        <f t="shared" si="3"/>
        <v>1</v>
      </c>
      <c r="AB27" s="1573">
        <f t="shared" si="4"/>
        <v>1</v>
      </c>
      <c r="AC27" s="1573">
        <f t="shared" si="5"/>
        <v>1</v>
      </c>
    </row>
    <row r="28" spans="1:29" s="1219"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2"/>
      <c r="M28" s="2133"/>
      <c r="N28" s="2133"/>
      <c r="O28" s="2133"/>
      <c r="P28" s="3425"/>
      <c r="Q28" s="1150" t="str">
        <f t="shared" si="11"/>
        <v>朝向</v>
      </c>
      <c r="R28" s="1565" t="s">
        <v>8</v>
      </c>
      <c r="S28" s="1566">
        <f>F28</f>
        <v>100</v>
      </c>
      <c r="T28" s="1565" t="s">
        <v>8</v>
      </c>
      <c r="U28" s="1566">
        <f>H28</f>
        <v>100</v>
      </c>
      <c r="V28" s="1565" t="s">
        <v>8</v>
      </c>
      <c r="W28" s="1566">
        <f>J28</f>
        <v>100</v>
      </c>
      <c r="X28" s="1567"/>
      <c r="Y28" s="3425"/>
      <c r="Z28" s="1149" t="str">
        <f>Q28</f>
        <v>朝向</v>
      </c>
      <c r="AA28" s="1573">
        <f>D28/F28</f>
        <v>1</v>
      </c>
      <c r="AB28" s="1573">
        <f>D28/H28</f>
        <v>1</v>
      </c>
      <c r="AC28" s="1573">
        <f>D28/J28</f>
        <v>1</v>
      </c>
    </row>
    <row r="29" spans="1:29" ht="15">
      <c r="A29" s="531"/>
      <c r="B29" s="584">
        <v>111</v>
      </c>
      <c r="C29" s="911"/>
      <c r="D29" s="539">
        <v>100</v>
      </c>
      <c r="E29" s="528"/>
      <c r="F29" s="539">
        <f>SUMIF(93:93,E29,94:94)-SUMIF(93:93,C29,94:94)+100</f>
        <v>100</v>
      </c>
      <c r="G29" s="909"/>
      <c r="H29" s="539">
        <f>SUMIF(93:93,G29,94:94)-SUMIF(93:93,C29,94:94)+100</f>
        <v>100</v>
      </c>
      <c r="I29" s="528"/>
      <c r="J29" s="539">
        <f>SUMIF(93:93,I29,94:94)-SUMIF(93:93,C29,94:94)+100</f>
        <v>100</v>
      </c>
      <c r="K29" s="580"/>
      <c r="L29" s="2139"/>
      <c r="M29" s="2131"/>
      <c r="N29" s="2131"/>
      <c r="O29" s="2131"/>
      <c r="P29" s="3425"/>
      <c r="Q29" s="1569">
        <f t="shared" si="11"/>
        <v>111</v>
      </c>
      <c r="R29" s="1570" t="s">
        <v>8</v>
      </c>
      <c r="S29" s="1571">
        <f t="shared" ref="S29:S47" si="12">F29</f>
        <v>100</v>
      </c>
      <c r="T29" s="1570" t="s">
        <v>8</v>
      </c>
      <c r="U29" s="1571">
        <f t="shared" ref="U29:U47" si="13">H29</f>
        <v>100</v>
      </c>
      <c r="V29" s="1570" t="s">
        <v>8</v>
      </c>
      <c r="W29" s="1571">
        <f t="shared" ref="W29:W47" si="14">J29</f>
        <v>100</v>
      </c>
      <c r="X29" s="1564"/>
      <c r="Y29" s="3425"/>
      <c r="Z29" s="1572">
        <f t="shared" ref="Z29:Z47" si="15">Q29</f>
        <v>111</v>
      </c>
      <c r="AA29" s="1573">
        <f t="shared" si="3"/>
        <v>1</v>
      </c>
      <c r="AB29" s="1573">
        <f t="shared" si="4"/>
        <v>1</v>
      </c>
      <c r="AC29" s="1573">
        <f t="shared" si="5"/>
        <v>1</v>
      </c>
    </row>
    <row r="30" spans="1:29" ht="15">
      <c r="A30" s="531"/>
      <c r="B30" s="584">
        <v>111</v>
      </c>
      <c r="C30" s="911"/>
      <c r="D30" s="539">
        <v>100</v>
      </c>
      <c r="E30" s="528"/>
      <c r="F30" s="539">
        <f>SUMIF(95:95,E30,96:96)-SUMIF(95:95,C30,96:96)+100</f>
        <v>100</v>
      </c>
      <c r="G30" s="909"/>
      <c r="H30" s="539">
        <f>SUMIF(95:95,G30,96:96)-SUMIF(95:95,C30,96:96)+100</f>
        <v>100</v>
      </c>
      <c r="I30" s="528"/>
      <c r="J30" s="539">
        <f>SUMIF(95:95,I30,96:96)-SUMIF(95:95,C30,96:96)+100</f>
        <v>100</v>
      </c>
      <c r="K30" s="580"/>
      <c r="L30" s="2139"/>
      <c r="M30" s="2131"/>
      <c r="N30" s="2131"/>
      <c r="O30" s="2131"/>
      <c r="P30" s="3425"/>
      <c r="Q30" s="1569">
        <f t="shared" si="11"/>
        <v>111</v>
      </c>
      <c r="R30" s="1570" t="s">
        <v>8</v>
      </c>
      <c r="S30" s="1571">
        <f t="shared" si="12"/>
        <v>100</v>
      </c>
      <c r="T30" s="1570" t="s">
        <v>8</v>
      </c>
      <c r="U30" s="1571">
        <f t="shared" si="13"/>
        <v>100</v>
      </c>
      <c r="V30" s="1570" t="s">
        <v>8</v>
      </c>
      <c r="W30" s="1571">
        <f t="shared" si="14"/>
        <v>100</v>
      </c>
      <c r="X30" s="1564"/>
      <c r="Y30" s="3425"/>
      <c r="Z30" s="1572">
        <f t="shared" si="15"/>
        <v>111</v>
      </c>
      <c r="AA30" s="1573">
        <f t="shared" si="3"/>
        <v>1</v>
      </c>
      <c r="AB30" s="1573">
        <f t="shared" si="4"/>
        <v>1</v>
      </c>
      <c r="AC30" s="1573">
        <f t="shared" si="5"/>
        <v>1</v>
      </c>
    </row>
    <row r="31" spans="1:29" ht="15">
      <c r="A31" s="531"/>
      <c r="B31" s="584">
        <v>111</v>
      </c>
      <c r="C31" s="911"/>
      <c r="D31" s="539">
        <v>100</v>
      </c>
      <c r="E31" s="528"/>
      <c r="F31" s="539">
        <f>SUMIF(97:97,E31,98:98)-SUMIF(97:97,C31,98:98)+100</f>
        <v>100</v>
      </c>
      <c r="G31" s="909"/>
      <c r="H31" s="539">
        <f>SUMIF(97:97,G31,98:98)-SUMIF(97:97,C31,98:98)+100</f>
        <v>100</v>
      </c>
      <c r="I31" s="528"/>
      <c r="J31" s="539">
        <f>SUMIF(97:97,I31,98:98)-SUMIF(97:97,C31,98:98)+100</f>
        <v>100</v>
      </c>
      <c r="K31" s="580"/>
      <c r="L31" s="2139"/>
      <c r="M31" s="2131"/>
      <c r="N31" s="2131"/>
      <c r="O31" s="2131"/>
      <c r="P31" s="3425"/>
      <c r="Q31" s="1569">
        <f t="shared" si="11"/>
        <v>111</v>
      </c>
      <c r="R31" s="1570" t="s">
        <v>8</v>
      </c>
      <c r="S31" s="1571">
        <f t="shared" si="12"/>
        <v>100</v>
      </c>
      <c r="T31" s="1570" t="s">
        <v>8</v>
      </c>
      <c r="U31" s="1571">
        <f t="shared" si="13"/>
        <v>100</v>
      </c>
      <c r="V31" s="1570" t="s">
        <v>8</v>
      </c>
      <c r="W31" s="1571">
        <f t="shared" si="14"/>
        <v>100</v>
      </c>
      <c r="X31" s="1564"/>
      <c r="Y31" s="3425"/>
      <c r="Z31" s="1572">
        <f t="shared" si="15"/>
        <v>111</v>
      </c>
      <c r="AA31" s="1573">
        <f t="shared" si="3"/>
        <v>1</v>
      </c>
      <c r="AB31" s="1573">
        <f t="shared" si="4"/>
        <v>1</v>
      </c>
      <c r="AC31" s="1573">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8"/>
      <c r="J32" s="545">
        <f>SUMIF(99:99,I32,100:100)-SUMIF(99:99,C32,100:100)+100</f>
        <v>100</v>
      </c>
      <c r="K32" s="580"/>
      <c r="L32" s="2139"/>
      <c r="M32" s="2131"/>
      <c r="N32" s="2131"/>
      <c r="O32" s="2131"/>
      <c r="P32" s="3425"/>
      <c r="Q32" s="1569">
        <f t="shared" si="11"/>
        <v>111</v>
      </c>
      <c r="R32" s="1570" t="s">
        <v>8</v>
      </c>
      <c r="S32" s="1571">
        <f t="shared" si="12"/>
        <v>100</v>
      </c>
      <c r="T32" s="1570" t="s">
        <v>8</v>
      </c>
      <c r="U32" s="1571">
        <f t="shared" si="13"/>
        <v>100</v>
      </c>
      <c r="V32" s="1570" t="s">
        <v>8</v>
      </c>
      <c r="W32" s="1571">
        <f t="shared" si="14"/>
        <v>100</v>
      </c>
      <c r="X32" s="1564"/>
      <c r="Y32" s="3425"/>
      <c r="Z32" s="1572">
        <f t="shared" si="15"/>
        <v>111</v>
      </c>
      <c r="AA32" s="1573">
        <f t="shared" si="3"/>
        <v>1</v>
      </c>
      <c r="AB32" s="1573">
        <f t="shared" si="4"/>
        <v>1</v>
      </c>
      <c r="AC32" s="1573">
        <f t="shared" si="5"/>
        <v>1</v>
      </c>
    </row>
    <row r="33" spans="1:29" ht="15">
      <c r="A33" s="2928" t="s">
        <v>2753</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39"/>
      <c r="M33" s="2131"/>
      <c r="N33" s="2131"/>
      <c r="O33" s="2131"/>
      <c r="P33" s="3426" t="s">
        <v>549</v>
      </c>
      <c r="Q33" s="1569" t="str">
        <f t="shared" si="11"/>
        <v>建筑类型</v>
      </c>
      <c r="R33" s="1570" t="s">
        <v>8</v>
      </c>
      <c r="S33" s="1571">
        <f t="shared" si="12"/>
        <v>100</v>
      </c>
      <c r="T33" s="1570" t="s">
        <v>8</v>
      </c>
      <c r="U33" s="1571">
        <f t="shared" si="13"/>
        <v>100</v>
      </c>
      <c r="V33" s="1570" t="s">
        <v>8</v>
      </c>
      <c r="W33" s="1571">
        <f t="shared" si="14"/>
        <v>100</v>
      </c>
      <c r="X33" s="1564"/>
      <c r="Y33" s="3427" t="s">
        <v>549</v>
      </c>
      <c r="Z33" s="1572" t="str">
        <f t="shared" si="15"/>
        <v>建筑类型</v>
      </c>
      <c r="AA33" s="1573">
        <f t="shared" si="3"/>
        <v>1</v>
      </c>
      <c r="AB33" s="1573">
        <f t="shared" si="4"/>
        <v>1</v>
      </c>
      <c r="AC33" s="1573">
        <f t="shared" si="5"/>
        <v>1</v>
      </c>
    </row>
    <row r="34" spans="1:29" s="1338" customFormat="1" ht="15">
      <c r="A34" s="602"/>
      <c r="B34" s="527" t="s">
        <v>725</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37"/>
      <c r="M34" s="2168"/>
      <c r="N34" s="2168"/>
      <c r="O34" s="2168"/>
      <c r="P34" s="3427"/>
      <c r="Q34" s="1602" t="str">
        <f t="shared" si="11"/>
        <v>项目建筑规模</v>
      </c>
      <c r="R34" s="1574" t="s">
        <v>8</v>
      </c>
      <c r="S34" s="1575" t="e">
        <f t="shared" si="12"/>
        <v>#N/A</v>
      </c>
      <c r="T34" s="1574" t="s">
        <v>8</v>
      </c>
      <c r="U34" s="1575" t="e">
        <f t="shared" si="13"/>
        <v>#N/A</v>
      </c>
      <c r="V34" s="1574" t="s">
        <v>8</v>
      </c>
      <c r="W34" s="1575" t="e">
        <f t="shared" si="14"/>
        <v>#N/A</v>
      </c>
      <c r="X34" s="1576"/>
      <c r="Y34" s="3427"/>
      <c r="Z34" s="1577" t="str">
        <f t="shared" si="15"/>
        <v>项目建筑规模</v>
      </c>
      <c r="AA34" s="1573" t="e">
        <f t="shared" si="3"/>
        <v>#N/A</v>
      </c>
      <c r="AB34" s="1573" t="e">
        <f t="shared" si="4"/>
        <v>#N/A</v>
      </c>
      <c r="AC34" s="1573" t="e">
        <f t="shared" si="5"/>
        <v>#N/A</v>
      </c>
    </row>
    <row r="35" spans="1:29" ht="15">
      <c r="A35" s="593"/>
      <c r="B35" s="527"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27"/>
      <c r="Q35" s="1569" t="str">
        <f t="shared" si="11"/>
        <v>建筑结构</v>
      </c>
      <c r="R35" s="1570" t="s">
        <v>8</v>
      </c>
      <c r="S35" s="1571">
        <f t="shared" si="12"/>
        <v>100</v>
      </c>
      <c r="T35" s="1570" t="s">
        <v>8</v>
      </c>
      <c r="U35" s="1571">
        <f t="shared" si="13"/>
        <v>100</v>
      </c>
      <c r="V35" s="1570" t="s">
        <v>8</v>
      </c>
      <c r="W35" s="1571">
        <f t="shared" si="14"/>
        <v>100</v>
      </c>
      <c r="X35" s="1564"/>
      <c r="Y35" s="3427"/>
      <c r="Z35" s="1572" t="str">
        <f t="shared" si="15"/>
        <v>建筑结构</v>
      </c>
      <c r="AA35" s="1573">
        <f t="shared" si="3"/>
        <v>1</v>
      </c>
      <c r="AB35" s="1573">
        <f t="shared" si="4"/>
        <v>1</v>
      </c>
      <c r="AC35" s="1573">
        <f t="shared" si="5"/>
        <v>1</v>
      </c>
    </row>
    <row r="36" spans="1:29" ht="15">
      <c r="A36" s="593"/>
      <c r="B36" s="527"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27"/>
      <c r="Q36" s="1569" t="str">
        <f t="shared" si="11"/>
        <v>公共部分装修</v>
      </c>
      <c r="R36" s="1570" t="s">
        <v>8</v>
      </c>
      <c r="S36" s="1571">
        <f t="shared" si="12"/>
        <v>100</v>
      </c>
      <c r="T36" s="1570" t="s">
        <v>8</v>
      </c>
      <c r="U36" s="1571">
        <f t="shared" si="13"/>
        <v>100</v>
      </c>
      <c r="V36" s="1570" t="s">
        <v>8</v>
      </c>
      <c r="W36" s="1571">
        <f t="shared" si="14"/>
        <v>100</v>
      </c>
      <c r="X36" s="1564"/>
      <c r="Y36" s="3427"/>
      <c r="Z36" s="1572" t="str">
        <f t="shared" si="15"/>
        <v>公共部分装修</v>
      </c>
      <c r="AA36" s="1573">
        <f t="shared" si="3"/>
        <v>1</v>
      </c>
      <c r="AB36" s="1573">
        <f t="shared" si="4"/>
        <v>1</v>
      </c>
      <c r="AC36" s="1573">
        <f t="shared" si="5"/>
        <v>1</v>
      </c>
    </row>
    <row r="37" spans="1:29" ht="15">
      <c r="A37" s="593"/>
      <c r="B37" s="527"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39"/>
      <c r="M37" s="2131"/>
      <c r="N37" s="2131"/>
      <c r="O37" s="2131"/>
      <c r="P37" s="3427"/>
      <c r="Q37" s="1569" t="str">
        <f t="shared" si="11"/>
        <v>成新度</v>
      </c>
      <c r="R37" s="1570" t="s">
        <v>8</v>
      </c>
      <c r="S37" s="1571" t="e">
        <f t="shared" si="12"/>
        <v>#N/A</v>
      </c>
      <c r="T37" s="1570" t="s">
        <v>8</v>
      </c>
      <c r="U37" s="1571" t="e">
        <f t="shared" si="13"/>
        <v>#N/A</v>
      </c>
      <c r="V37" s="1570" t="s">
        <v>8</v>
      </c>
      <c r="W37" s="1571" t="e">
        <f t="shared" si="14"/>
        <v>#N/A</v>
      </c>
      <c r="X37" s="1564"/>
      <c r="Y37" s="3427"/>
      <c r="Z37" s="1572" t="str">
        <f t="shared" si="15"/>
        <v>成新度</v>
      </c>
      <c r="AA37" s="1573" t="e">
        <f t="shared" si="3"/>
        <v>#N/A</v>
      </c>
      <c r="AB37" s="1573" t="e">
        <f t="shared" si="4"/>
        <v>#N/A</v>
      </c>
      <c r="AC37" s="1573" t="e">
        <f t="shared" si="5"/>
        <v>#N/A</v>
      </c>
    </row>
    <row r="38" spans="1:29" s="1219" customFormat="1" ht="15">
      <c r="A38" s="599"/>
      <c r="B38" s="527" t="s">
        <v>780</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27"/>
      <c r="Q38" s="1150" t="str">
        <f t="shared" si="11"/>
        <v>写字楼等级</v>
      </c>
      <c r="R38" s="1565" t="s">
        <v>8</v>
      </c>
      <c r="S38" s="1566">
        <f t="shared" si="12"/>
        <v>100</v>
      </c>
      <c r="T38" s="1565" t="s">
        <v>8</v>
      </c>
      <c r="U38" s="1566">
        <f t="shared" si="13"/>
        <v>100</v>
      </c>
      <c r="V38" s="1565" t="s">
        <v>8</v>
      </c>
      <c r="W38" s="1566">
        <f t="shared" si="14"/>
        <v>100</v>
      </c>
      <c r="X38" s="1567"/>
      <c r="Y38" s="3427"/>
      <c r="Z38" s="1149" t="str">
        <f t="shared" si="15"/>
        <v>写字楼等级</v>
      </c>
      <c r="AA38" s="1568">
        <f t="shared" si="3"/>
        <v>1</v>
      </c>
      <c r="AB38" s="1568">
        <f t="shared" si="4"/>
        <v>1</v>
      </c>
      <c r="AC38" s="1568">
        <f t="shared" si="5"/>
        <v>1</v>
      </c>
    </row>
    <row r="39" spans="1:29" ht="15">
      <c r="A39" s="593"/>
      <c r="B39" s="527"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27" t="s">
        <v>549</v>
      </c>
      <c r="Q39" s="1569" t="str">
        <f t="shared" si="11"/>
        <v>物业管理</v>
      </c>
      <c r="R39" s="1570" t="s">
        <v>8</v>
      </c>
      <c r="S39" s="1571">
        <f t="shared" si="12"/>
        <v>100</v>
      </c>
      <c r="T39" s="1570" t="s">
        <v>8</v>
      </c>
      <c r="U39" s="1571">
        <f t="shared" si="13"/>
        <v>100</v>
      </c>
      <c r="V39" s="1570" t="s">
        <v>8</v>
      </c>
      <c r="W39" s="1571">
        <f t="shared" si="14"/>
        <v>100</v>
      </c>
      <c r="X39" s="1564"/>
      <c r="Y39" s="3427" t="s">
        <v>549</v>
      </c>
      <c r="Z39" s="1572" t="str">
        <f t="shared" si="15"/>
        <v>物业管理</v>
      </c>
      <c r="AA39" s="1573">
        <f t="shared" si="3"/>
        <v>1</v>
      </c>
      <c r="AB39" s="1573">
        <f t="shared" si="4"/>
        <v>1</v>
      </c>
      <c r="AC39" s="1573">
        <f t="shared" si="5"/>
        <v>1</v>
      </c>
    </row>
    <row r="40" spans="1:29" ht="15">
      <c r="A40" s="593"/>
      <c r="B40" s="1892"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27"/>
      <c r="Q40" s="1569" t="str">
        <f t="shared" si="11"/>
        <v>市政基础设施</v>
      </c>
      <c r="R40" s="1570" t="s">
        <v>8</v>
      </c>
      <c r="S40" s="1571">
        <f t="shared" si="12"/>
        <v>100</v>
      </c>
      <c r="T40" s="1570" t="s">
        <v>8</v>
      </c>
      <c r="U40" s="1571">
        <f t="shared" si="13"/>
        <v>100</v>
      </c>
      <c r="V40" s="1570" t="s">
        <v>8</v>
      </c>
      <c r="W40" s="1571">
        <f t="shared" si="14"/>
        <v>100</v>
      </c>
      <c r="X40" s="1564"/>
      <c r="Y40" s="3427"/>
      <c r="Z40" s="1572" t="str">
        <f t="shared" si="15"/>
        <v>市政基础设施</v>
      </c>
      <c r="AA40" s="1573">
        <f t="shared" si="3"/>
        <v>1</v>
      </c>
      <c r="AB40" s="1573">
        <f t="shared" si="4"/>
        <v>1</v>
      </c>
      <c r="AC40" s="1573">
        <f t="shared" si="5"/>
        <v>1</v>
      </c>
    </row>
    <row r="41" spans="1:29" ht="15">
      <c r="A41" s="593"/>
      <c r="B41" s="527"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27"/>
      <c r="Q41" s="1569" t="str">
        <f t="shared" si="11"/>
        <v>层高</v>
      </c>
      <c r="R41" s="1570" t="s">
        <v>8</v>
      </c>
      <c r="S41" s="1571">
        <f t="shared" si="12"/>
        <v>100</v>
      </c>
      <c r="T41" s="1570" t="s">
        <v>8</v>
      </c>
      <c r="U41" s="1571">
        <f t="shared" si="13"/>
        <v>100</v>
      </c>
      <c r="V41" s="1570" t="s">
        <v>8</v>
      </c>
      <c r="W41" s="1571">
        <f t="shared" si="14"/>
        <v>100</v>
      </c>
      <c r="X41" s="1564"/>
      <c r="Y41" s="3427"/>
      <c r="Z41" s="1572" t="str">
        <f t="shared" si="15"/>
        <v>层高</v>
      </c>
      <c r="AA41" s="1573">
        <f t="shared" si="3"/>
        <v>1</v>
      </c>
      <c r="AB41" s="1573">
        <f t="shared" si="4"/>
        <v>1</v>
      </c>
      <c r="AC41" s="1573">
        <f t="shared" si="5"/>
        <v>1</v>
      </c>
    </row>
    <row r="42" spans="1:29" s="1338"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27"/>
      <c r="Q42" s="1602" t="str">
        <f t="shared" si="11"/>
        <v>单套建筑面积</v>
      </c>
      <c r="R42" s="1574" t="s">
        <v>8</v>
      </c>
      <c r="S42" s="1575">
        <f t="shared" si="12"/>
        <v>100</v>
      </c>
      <c r="T42" s="1574" t="s">
        <v>8</v>
      </c>
      <c r="U42" s="1575">
        <f t="shared" si="13"/>
        <v>100</v>
      </c>
      <c r="V42" s="1574" t="s">
        <v>8</v>
      </c>
      <c r="W42" s="1575">
        <f t="shared" si="14"/>
        <v>100</v>
      </c>
      <c r="X42" s="1576"/>
      <c r="Y42" s="3427"/>
      <c r="Z42" s="1577" t="str">
        <f t="shared" si="15"/>
        <v>单套建筑面积</v>
      </c>
      <c r="AA42" s="1573">
        <f t="shared" si="3"/>
        <v>1</v>
      </c>
      <c r="AB42" s="1573">
        <f t="shared" si="4"/>
        <v>1</v>
      </c>
      <c r="AC42" s="1573">
        <f t="shared" si="5"/>
        <v>1</v>
      </c>
    </row>
    <row r="43" spans="1:29" ht="15">
      <c r="A43" s="593"/>
      <c r="B43" s="527"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27"/>
      <c r="Q43" s="1569" t="str">
        <f t="shared" si="11"/>
        <v>内部装修</v>
      </c>
      <c r="R43" s="1570" t="s">
        <v>8</v>
      </c>
      <c r="S43" s="1571">
        <f t="shared" si="12"/>
        <v>100</v>
      </c>
      <c r="T43" s="1570" t="s">
        <v>8</v>
      </c>
      <c r="U43" s="1571">
        <f t="shared" si="13"/>
        <v>100</v>
      </c>
      <c r="V43" s="1570" t="s">
        <v>8</v>
      </c>
      <c r="W43" s="1571">
        <f t="shared" si="14"/>
        <v>100</v>
      </c>
      <c r="X43" s="1564"/>
      <c r="Y43" s="3427"/>
      <c r="Z43" s="1572" t="str">
        <f t="shared" si="15"/>
        <v>内部装修</v>
      </c>
      <c r="AA43" s="1573">
        <f t="shared" si="3"/>
        <v>1</v>
      </c>
      <c r="AB43" s="1573">
        <f t="shared" si="4"/>
        <v>1</v>
      </c>
      <c r="AC43" s="1573">
        <f t="shared" si="5"/>
        <v>1</v>
      </c>
    </row>
    <row r="44" spans="1:29" ht="28.8">
      <c r="A44" s="593"/>
      <c r="B44" s="527"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27"/>
      <c r="Q44" s="1569" t="str">
        <f t="shared" si="11"/>
        <v>内部装修维护情况</v>
      </c>
      <c r="R44" s="1570" t="s">
        <v>8</v>
      </c>
      <c r="S44" s="1571">
        <f t="shared" si="12"/>
        <v>100</v>
      </c>
      <c r="T44" s="1570" t="s">
        <v>8</v>
      </c>
      <c r="U44" s="1571">
        <f t="shared" si="13"/>
        <v>100</v>
      </c>
      <c r="V44" s="1570" t="s">
        <v>8</v>
      </c>
      <c r="W44" s="1571">
        <f t="shared" si="14"/>
        <v>100</v>
      </c>
      <c r="X44" s="1564"/>
      <c r="Y44" s="3427"/>
      <c r="Z44" s="1572" t="str">
        <f t="shared" si="15"/>
        <v>内部装修维护情况</v>
      </c>
      <c r="AA44" s="1573">
        <f t="shared" si="3"/>
        <v>1</v>
      </c>
      <c r="AB44" s="1573">
        <f t="shared" si="4"/>
        <v>1</v>
      </c>
      <c r="AC44" s="1573">
        <f t="shared" si="5"/>
        <v>1</v>
      </c>
    </row>
    <row r="45" spans="1:29" s="1219" customFormat="1" ht="15">
      <c r="A45" s="599"/>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0"/>
      <c r="L45" s="2132"/>
      <c r="M45" s="2133"/>
      <c r="N45" s="2133"/>
      <c r="O45" s="2133"/>
      <c r="P45" s="3427"/>
      <c r="Q45" s="1150">
        <f t="shared" si="11"/>
        <v>111</v>
      </c>
      <c r="R45" s="1565" t="s">
        <v>8</v>
      </c>
      <c r="S45" s="1566">
        <f t="shared" si="12"/>
        <v>100</v>
      </c>
      <c r="T45" s="1565" t="s">
        <v>8</v>
      </c>
      <c r="U45" s="1566">
        <f t="shared" si="13"/>
        <v>100</v>
      </c>
      <c r="V45" s="1565" t="s">
        <v>8</v>
      </c>
      <c r="W45" s="1566">
        <f t="shared" si="14"/>
        <v>100</v>
      </c>
      <c r="X45" s="1567"/>
      <c r="Y45" s="3427"/>
      <c r="Z45" s="1149">
        <f t="shared" si="15"/>
        <v>111</v>
      </c>
      <c r="AA45" s="1568">
        <f t="shared" si="3"/>
        <v>1</v>
      </c>
      <c r="AB45" s="1568">
        <f t="shared" si="4"/>
        <v>1</v>
      </c>
      <c r="AC45" s="1568">
        <f t="shared" si="5"/>
        <v>1</v>
      </c>
    </row>
    <row r="46" spans="1:29" ht="15">
      <c r="A46" s="593"/>
      <c r="B46" s="876">
        <v>111</v>
      </c>
      <c r="C46" s="538"/>
      <c r="D46" s="539">
        <v>100</v>
      </c>
      <c r="E46" s="528"/>
      <c r="F46" s="574">
        <f>SUMIF(129:129,E46,130:130)-SUMIF(129:129,C46,130:130)+100</f>
        <v>100</v>
      </c>
      <c r="G46" s="528"/>
      <c r="H46" s="539">
        <f>SUMIF(129:129,G46,130:130)-SUMIF(129:129,C46,130:130)+100</f>
        <v>100</v>
      </c>
      <c r="I46" s="528"/>
      <c r="J46" s="539">
        <f>SUMIF(129:129,I46,130:130)-SUMIF(129:129,C46,130:130)+100</f>
        <v>100</v>
      </c>
      <c r="K46" s="580"/>
      <c r="L46" s="2139"/>
      <c r="M46" s="2131"/>
      <c r="N46" s="2131"/>
      <c r="O46" s="2131"/>
      <c r="P46" s="3427"/>
      <c r="Q46" s="1569">
        <f t="shared" si="11"/>
        <v>111</v>
      </c>
      <c r="R46" s="1570" t="s">
        <v>8</v>
      </c>
      <c r="S46" s="1571">
        <f t="shared" si="12"/>
        <v>100</v>
      </c>
      <c r="T46" s="1570" t="s">
        <v>8</v>
      </c>
      <c r="U46" s="1571">
        <f t="shared" si="13"/>
        <v>100</v>
      </c>
      <c r="V46" s="1570" t="s">
        <v>8</v>
      </c>
      <c r="W46" s="1571">
        <f t="shared" si="14"/>
        <v>100</v>
      </c>
      <c r="X46" s="1564"/>
      <c r="Y46" s="3427"/>
      <c r="Z46" s="1572">
        <f t="shared" si="15"/>
        <v>111</v>
      </c>
      <c r="AA46" s="1573">
        <f t="shared" si="3"/>
        <v>1</v>
      </c>
      <c r="AB46" s="1573">
        <f t="shared" si="4"/>
        <v>1</v>
      </c>
      <c r="AC46" s="1573">
        <f t="shared" si="5"/>
        <v>1</v>
      </c>
    </row>
    <row r="47" spans="1:29" ht="15.6" thickBot="1">
      <c r="A47" s="885"/>
      <c r="B47" s="543">
        <v>111</v>
      </c>
      <c r="C47" s="544"/>
      <c r="D47" s="545">
        <v>100</v>
      </c>
      <c r="E47" s="528"/>
      <c r="F47" s="865">
        <f>SUMIF(131:131,E47,132:132)-SUMIF(131:131,C47,132:132)+100</f>
        <v>100</v>
      </c>
      <c r="G47" s="528"/>
      <c r="H47" s="545">
        <f>SUMIF(131:131,G47,132:132)-SUMIF(131:131,C47,132:132)+100</f>
        <v>100</v>
      </c>
      <c r="I47" s="528"/>
      <c r="J47" s="545">
        <f>SUMIF(131:131,I47,132:132)-SUMIF(131:131,C47,132:132)+100</f>
        <v>100</v>
      </c>
      <c r="K47" s="580"/>
      <c r="L47" s="2139"/>
      <c r="M47" s="2131"/>
      <c r="N47" s="2131"/>
      <c r="O47" s="2131"/>
      <c r="P47" s="3511"/>
      <c r="Q47" s="1569">
        <f t="shared" si="11"/>
        <v>111</v>
      </c>
      <c r="R47" s="1570" t="s">
        <v>8</v>
      </c>
      <c r="S47" s="1571">
        <f t="shared" si="12"/>
        <v>100</v>
      </c>
      <c r="T47" s="1570" t="s">
        <v>8</v>
      </c>
      <c r="U47" s="1571">
        <f t="shared" si="13"/>
        <v>100</v>
      </c>
      <c r="V47" s="1570" t="s">
        <v>8</v>
      </c>
      <c r="W47" s="1571">
        <f t="shared" si="14"/>
        <v>100</v>
      </c>
      <c r="X47" s="1564"/>
      <c r="Y47" s="3511"/>
      <c r="Z47" s="1572">
        <f t="shared" si="15"/>
        <v>111</v>
      </c>
      <c r="AA47" s="1573">
        <f t="shared" si="3"/>
        <v>1</v>
      </c>
      <c r="AB47" s="1573">
        <f t="shared" si="4"/>
        <v>1</v>
      </c>
      <c r="AC47" s="1573">
        <f t="shared" si="5"/>
        <v>1</v>
      </c>
    </row>
    <row r="48" spans="1:29" ht="14.4">
      <c r="A48" s="606" t="s">
        <v>735</v>
      </c>
      <c r="B48" s="886"/>
      <c r="C48" s="2648" t="s">
        <v>1</v>
      </c>
      <c r="D48" s="2649"/>
      <c r="E48" s="2650"/>
      <c r="F48" s="2651"/>
      <c r="G48" s="2652"/>
      <c r="H48" s="2653"/>
      <c r="I48" s="2650"/>
      <c r="J48" s="2653"/>
      <c r="K48" s="1608"/>
      <c r="L48" s="2141"/>
      <c r="M48" s="2131"/>
      <c r="N48" s="2131"/>
      <c r="O48" s="2131"/>
      <c r="P48" s="3386" t="str">
        <f>A48</f>
        <v>成交单价（元/平方米）</v>
      </c>
      <c r="Q48" s="3388"/>
      <c r="R48" s="3512">
        <f>E48</f>
        <v>0</v>
      </c>
      <c r="S48" s="3512"/>
      <c r="T48" s="3512">
        <f>G48</f>
        <v>0</v>
      </c>
      <c r="U48" s="3512"/>
      <c r="V48" s="3512">
        <f>I48</f>
        <v>0</v>
      </c>
      <c r="W48" s="3512"/>
      <c r="X48" s="1556"/>
      <c r="Y48" s="1578"/>
      <c r="Z48" s="1556"/>
      <c r="AA48" s="1556"/>
      <c r="AB48" s="1556"/>
      <c r="AC48" s="1556"/>
    </row>
    <row r="49" spans="1:29" ht="15" thickBot="1">
      <c r="A49" s="614" t="s">
        <v>2758</v>
      </c>
      <c r="B49" s="887"/>
      <c r="C49" s="2654" t="e">
        <f>R50</f>
        <v>#DIV/0!</v>
      </c>
      <c r="D49" s="2655"/>
      <c r="E49" s="2656" t="e">
        <f>R49</f>
        <v>#DIV/0!</v>
      </c>
      <c r="F49" s="2656"/>
      <c r="G49" s="2654" t="e">
        <f>T49</f>
        <v>#DIV/0!</v>
      </c>
      <c r="H49" s="2655"/>
      <c r="I49" s="2656" t="e">
        <f>V49</f>
        <v>#DIV/0!</v>
      </c>
      <c r="J49" s="2655"/>
      <c r="K49" s="1609"/>
      <c r="L49" s="2141"/>
      <c r="M49" s="2131"/>
      <c r="N49" s="2131"/>
      <c r="O49" s="2131"/>
      <c r="P49" s="3386" t="str">
        <f>A49</f>
        <v>比较价格（元/平方米）</v>
      </c>
      <c r="Q49" s="3388"/>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1556"/>
      <c r="Y49" s="1556"/>
      <c r="Z49" s="1556"/>
      <c r="AA49" s="1556"/>
      <c r="AB49" s="1556"/>
      <c r="AC49" s="1556"/>
    </row>
    <row r="50" spans="1:29" ht="15" thickBot="1">
      <c r="A50" s="620" t="s">
        <v>2931</v>
      </c>
      <c r="B50" s="621"/>
      <c r="C50" s="2657" t="e">
        <f>R50</f>
        <v>#DIV/0!</v>
      </c>
      <c r="D50" s="2657"/>
      <c r="E50" s="2657"/>
      <c r="F50" s="2657"/>
      <c r="G50" s="2657"/>
      <c r="H50" s="2657"/>
      <c r="I50" s="2657"/>
      <c r="J50" s="2657"/>
      <c r="K50" s="1610"/>
      <c r="L50" s="2141"/>
      <c r="M50" s="2131"/>
      <c r="N50" s="2131"/>
      <c r="O50" s="2131"/>
      <c r="P50" s="3514" t="str">
        <f>A50</f>
        <v>估价对象XX用房的比较价格（楼面单价，元/平方米）</v>
      </c>
      <c r="Q50" s="3386"/>
      <c r="R50" s="3513" t="e">
        <f>IF(F1="售价",ROUND(AVERAGE(R49:V49),0),ROUND(AVERAGE(R49:V49),1))</f>
        <v>#DIV/0!</v>
      </c>
      <c r="S50" s="3513"/>
      <c r="T50" s="3513"/>
      <c r="U50" s="3513"/>
      <c r="V50" s="3513"/>
      <c r="W50" s="3513"/>
      <c r="X50" s="1556"/>
      <c r="Y50" s="1556"/>
      <c r="Z50" s="1556"/>
      <c r="AA50" s="1556"/>
      <c r="AB50" s="1556"/>
      <c r="AC50" s="1556"/>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4" customFormat="1" ht="13.5" customHeight="1">
      <c r="A55" s="2143"/>
      <c r="B55" s="2143"/>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4"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2.2" thickBot="1">
      <c r="A58" s="1581" t="s">
        <v>573</v>
      </c>
      <c r="B58" s="1556"/>
      <c r="C58" s="1580"/>
      <c r="D58" s="1580"/>
      <c r="E58" s="1580"/>
      <c r="F58" s="1582"/>
      <c r="G58" s="1582"/>
      <c r="H58" s="1580"/>
      <c r="I58" s="1580"/>
      <c r="J58" s="1580"/>
      <c r="K58" s="1583"/>
      <c r="L58" s="1579"/>
      <c r="M58" s="1580"/>
      <c r="N58" s="1580"/>
      <c r="O58" s="1580"/>
      <c r="P58" s="2207"/>
      <c r="Q58" s="2155"/>
      <c r="R58" s="2142"/>
      <c r="S58" s="2142"/>
      <c r="T58" s="2142"/>
      <c r="U58" s="2142"/>
      <c r="V58" s="2142"/>
      <c r="W58" s="2142"/>
      <c r="X58" s="2142"/>
      <c r="Y58" s="2142"/>
      <c r="Z58" s="2142"/>
      <c r="AA58" s="2142"/>
      <c r="AB58" s="2142"/>
      <c r="AC58" s="2142"/>
    </row>
    <row r="59" spans="1:29" s="1346" customFormat="1" ht="14.4">
      <c r="A59" s="644" t="s">
        <v>528</v>
      </c>
      <c r="B59" s="645"/>
      <c r="C59" s="2823" t="str">
        <f>YEAR(C7)&amp;"-"&amp;MONTH(C7)</f>
        <v>2019-2</v>
      </c>
      <c r="D59" s="2825">
        <f>EDATE(C59,-1)</f>
        <v>43466</v>
      </c>
      <c r="E59" s="2825">
        <f t="shared" ref="E59:O59" si="16">EDATE(D59,-1)</f>
        <v>43435</v>
      </c>
      <c r="F59" s="2825">
        <f t="shared" si="16"/>
        <v>43405</v>
      </c>
      <c r="G59" s="2825">
        <f t="shared" si="16"/>
        <v>43374</v>
      </c>
      <c r="H59" s="2825">
        <f t="shared" si="16"/>
        <v>43344</v>
      </c>
      <c r="I59" s="2825">
        <f t="shared" si="16"/>
        <v>43313</v>
      </c>
      <c r="J59" s="2825">
        <f t="shared" si="16"/>
        <v>43282</v>
      </c>
      <c r="K59" s="2825">
        <f t="shared" si="16"/>
        <v>43252</v>
      </c>
      <c r="L59" s="2825">
        <f t="shared" si="16"/>
        <v>43221</v>
      </c>
      <c r="M59" s="2825">
        <f t="shared" si="16"/>
        <v>43191</v>
      </c>
      <c r="N59" s="2825">
        <f t="shared" si="16"/>
        <v>43160</v>
      </c>
      <c r="O59" s="2825">
        <f t="shared" si="16"/>
        <v>43132</v>
      </c>
      <c r="P59" s="2208"/>
      <c r="Q59" s="2158"/>
      <c r="R59" s="2158"/>
      <c r="S59" s="2158"/>
      <c r="T59" s="2158"/>
      <c r="U59" s="2158"/>
      <c r="V59" s="2158"/>
      <c r="W59" s="2158"/>
      <c r="X59" s="2158"/>
      <c r="Y59" s="2158"/>
      <c r="Z59" s="2158"/>
      <c r="AA59" s="2158"/>
      <c r="AB59" s="2158"/>
      <c r="AC59" s="2158"/>
    </row>
    <row r="60" spans="1:29" s="1219" customFormat="1">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9" customFormat="1" ht="15" thickBot="1">
      <c r="A61" s="652" t="s">
        <v>574</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9" customFormat="1" ht="14.4">
      <c r="A62" s="658" t="s">
        <v>530</v>
      </c>
      <c r="B62" s="647"/>
      <c r="C62" s="659" t="s">
        <v>575</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9" customFormat="1" ht="14.4" thickBot="1">
      <c r="A63" s="658"/>
      <c r="B63" s="647"/>
      <c r="C63" s="888">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ht="14.4">
      <c r="A64" s="663" t="s">
        <v>576</v>
      </c>
      <c r="B64" s="664" t="s">
        <v>533</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4.4"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9.4" thickTop="1">
      <c r="A66" s="668"/>
      <c r="B66" s="672" t="s">
        <v>536</v>
      </c>
      <c r="C66" s="673" t="s">
        <v>736</v>
      </c>
      <c r="D66" s="673" t="s">
        <v>737</v>
      </c>
      <c r="E66" s="673" t="s">
        <v>738</v>
      </c>
      <c r="F66" s="673" t="s">
        <v>739</v>
      </c>
      <c r="G66" s="673" t="s">
        <v>740</v>
      </c>
      <c r="H66" s="673" t="s">
        <v>741</v>
      </c>
      <c r="I66" s="673" t="s">
        <v>742</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8" customFormat="1" ht="14.4"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8" customFormat="1" ht="14.4"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8" customFormat="1" ht="14.4"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8" customFormat="1" ht="14.4"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8" customFormat="1" ht="14.4"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8" customFormat="1" ht="14.4"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ht="14.4">
      <c r="A77" s="663" t="s">
        <v>538</v>
      </c>
      <c r="B77" s="664" t="s">
        <v>584</v>
      </c>
      <c r="C77" s="702" t="s">
        <v>578</v>
      </c>
      <c r="D77" s="702" t="s">
        <v>579</v>
      </c>
      <c r="E77" s="702" t="s">
        <v>580</v>
      </c>
      <c r="F77" s="702" t="s">
        <v>581</v>
      </c>
      <c r="G77" s="702" t="s">
        <v>582</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 thickTop="1">
      <c r="A79" s="668"/>
      <c r="B79" s="672" t="s">
        <v>585</v>
      </c>
      <c r="C79" s="707" t="s">
        <v>578</v>
      </c>
      <c r="D79" s="707" t="s">
        <v>579</v>
      </c>
      <c r="E79" s="707" t="s">
        <v>580</v>
      </c>
      <c r="F79" s="707" t="s">
        <v>581</v>
      </c>
      <c r="G79" s="707" t="s">
        <v>582</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 thickTop="1">
      <c r="A81" s="668"/>
      <c r="B81" s="1893" t="s">
        <v>2556</v>
      </c>
      <c r="C81" s="707" t="s">
        <v>578</v>
      </c>
      <c r="D81" s="707" t="s">
        <v>579</v>
      </c>
      <c r="E81" s="707" t="s">
        <v>580</v>
      </c>
      <c r="F81" s="707" t="s">
        <v>581</v>
      </c>
      <c r="G81" s="707" t="s">
        <v>582</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 thickTop="1">
      <c r="A83" s="668"/>
      <c r="B83" s="2618" t="s">
        <v>2557</v>
      </c>
      <c r="C83" s="2619" t="s">
        <v>2558</v>
      </c>
      <c r="D83" s="2619" t="s">
        <v>2559</v>
      </c>
      <c r="E83" s="2619" t="s">
        <v>2560</v>
      </c>
      <c r="F83" s="2619" t="s">
        <v>2561</v>
      </c>
      <c r="G83" s="2619" t="s">
        <v>2562</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63"/>
      <c r="O84" s="2163"/>
      <c r="P84" s="2211"/>
      <c r="Q84" s="2155"/>
      <c r="R84" s="2142"/>
      <c r="S84" s="2142"/>
      <c r="T84" s="2142"/>
      <c r="U84" s="2142"/>
      <c r="V84" s="2142"/>
      <c r="W84" s="2142"/>
      <c r="X84" s="2142"/>
      <c r="Y84" s="2142"/>
      <c r="Z84" s="2142"/>
      <c r="AA84" s="2142"/>
      <c r="AB84" s="2142"/>
      <c r="AC84" s="2142"/>
    </row>
    <row r="85" spans="1:29" ht="15" thickTop="1">
      <c r="A85" s="668"/>
      <c r="B85" s="672" t="s">
        <v>783</v>
      </c>
      <c r="C85" s="707" t="s">
        <v>578</v>
      </c>
      <c r="D85" s="707" t="s">
        <v>579</v>
      </c>
      <c r="E85" s="707" t="s">
        <v>580</v>
      </c>
      <c r="F85" s="707" t="s">
        <v>581</v>
      </c>
      <c r="G85" s="707" t="s">
        <v>582</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9" customFormat="1" ht="29.4" thickTop="1">
      <c r="A87" s="708"/>
      <c r="B87" s="672" t="s">
        <v>784</v>
      </c>
      <c r="C87" s="687"/>
      <c r="D87" s="687"/>
      <c r="E87" s="687"/>
      <c r="F87" s="687"/>
      <c r="G87" s="687"/>
      <c r="H87" s="687"/>
      <c r="I87" s="687"/>
      <c r="J87" s="687"/>
      <c r="K87" s="687"/>
      <c r="L87" s="889"/>
      <c r="M87" s="890"/>
      <c r="N87" s="2159"/>
      <c r="O87" s="2159"/>
      <c r="P87" s="2211"/>
      <c r="Q87" s="2155"/>
      <c r="R87" s="1990"/>
      <c r="S87" s="1990"/>
      <c r="T87" s="1990"/>
      <c r="U87" s="1990"/>
      <c r="V87" s="1990"/>
      <c r="W87" s="1990"/>
      <c r="X87" s="1990"/>
      <c r="Y87" s="1990"/>
      <c r="Z87" s="1990"/>
      <c r="AA87" s="1990"/>
      <c r="AB87" s="1990"/>
      <c r="AC87" s="1990"/>
    </row>
    <row r="88" spans="1:29" s="1219"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9" customFormat="1" ht="14.4" thickTop="1">
      <c r="A89" s="708"/>
      <c r="B89" s="672" t="str">
        <f>B27</f>
        <v>楼层</v>
      </c>
      <c r="C89" s="687"/>
      <c r="D89" s="687"/>
      <c r="E89" s="687"/>
      <c r="F89" s="891"/>
      <c r="G89" s="687"/>
      <c r="H89" s="687"/>
      <c r="I89" s="687"/>
      <c r="J89" s="687"/>
      <c r="K89" s="687"/>
      <c r="L89" s="687"/>
      <c r="M89" s="890"/>
      <c r="N89" s="2159"/>
      <c r="O89" s="2159"/>
      <c r="P89" s="2211"/>
      <c r="Q89" s="2155"/>
      <c r="R89" s="1990"/>
      <c r="S89" s="1990"/>
      <c r="T89" s="1990"/>
      <c r="U89" s="1990"/>
      <c r="V89" s="1990"/>
      <c r="W89" s="1990"/>
      <c r="X89" s="1990"/>
      <c r="Y89" s="1990"/>
      <c r="Z89" s="1990"/>
      <c r="AA89" s="1990"/>
      <c r="AB89" s="1990"/>
      <c r="AC89" s="1990"/>
    </row>
    <row r="90" spans="1:29" s="1219"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8" customFormat="1" ht="14.4"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8"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4.4" thickTop="1">
      <c r="A93" s="668"/>
      <c r="B93" s="672">
        <f>B29</f>
        <v>111</v>
      </c>
      <c r="C93" s="687"/>
      <c r="D93" s="687"/>
      <c r="E93" s="687"/>
      <c r="F93" s="687"/>
      <c r="G93" s="687"/>
      <c r="H93" s="687"/>
      <c r="I93" s="687"/>
      <c r="J93" s="687"/>
      <c r="K93" s="687"/>
      <c r="L93" s="889"/>
      <c r="M93" s="890"/>
      <c r="N93" s="2161"/>
      <c r="O93" s="2161"/>
      <c r="P93" s="2211"/>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4.4"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4.4"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4.4"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4.4"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4.4"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4.4" thickBot="1">
      <c r="A100" s="892"/>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ht="14.4">
      <c r="A101" s="663" t="s">
        <v>550</v>
      </c>
      <c r="B101" s="664" t="s">
        <v>746</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8"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8" customFormat="1" ht="14.4"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748</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750</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3">
        <v>0.5</v>
      </c>
      <c r="D111" s="893">
        <v>0.6</v>
      </c>
      <c r="E111" s="893">
        <v>0.7</v>
      </c>
      <c r="F111" s="893">
        <v>0.8</v>
      </c>
      <c r="G111" s="893">
        <v>0.9</v>
      </c>
      <c r="H111" s="893">
        <v>1.0001</v>
      </c>
      <c r="I111" s="904"/>
      <c r="J111" s="904"/>
      <c r="K111" s="905"/>
      <c r="L111" s="906"/>
      <c r="M111" s="907"/>
      <c r="N111" s="2161"/>
      <c r="O111" s="2161"/>
      <c r="P111" s="2211"/>
      <c r="Q111" s="2155"/>
      <c r="R111" s="2142"/>
      <c r="S111" s="2142"/>
      <c r="T111" s="2142"/>
      <c r="U111" s="2142"/>
      <c r="V111" s="2142"/>
      <c r="W111" s="2142"/>
      <c r="X111" s="2142"/>
      <c r="Y111" s="2142"/>
      <c r="Z111" s="2142"/>
      <c r="AA111" s="2142"/>
      <c r="AB111" s="2142"/>
      <c r="AC111" s="2142"/>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8" customFormat="1" ht="15" thickTop="1">
      <c r="A113" s="727"/>
      <c r="B113" s="672" t="s">
        <v>785</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8"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752</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2555</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6" t="s">
        <v>786</v>
      </c>
      <c r="C119" s="717"/>
      <c r="D119" s="717"/>
      <c r="E119" s="717"/>
      <c r="F119" s="717"/>
      <c r="G119" s="717"/>
      <c r="H119" s="717"/>
      <c r="I119" s="717"/>
      <c r="J119" s="717"/>
      <c r="K119" s="717"/>
      <c r="L119" s="917"/>
      <c r="M119" s="918"/>
      <c r="N119" s="2163"/>
      <c r="O119" s="2163"/>
      <c r="P119" s="2216"/>
      <c r="Q119" s="2203"/>
      <c r="R119" s="2142"/>
      <c r="S119" s="2142"/>
      <c r="T119" s="2142"/>
      <c r="U119" s="2142"/>
      <c r="V119" s="2142"/>
      <c r="W119" s="2142"/>
      <c r="X119" s="2142"/>
      <c r="Y119" s="2142"/>
      <c r="Z119" s="2142"/>
      <c r="AA119" s="2142"/>
      <c r="AB119" s="2142"/>
      <c r="AC119" s="2142"/>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8" customFormat="1" ht="15" thickTop="1">
      <c r="A121" s="727"/>
      <c r="B121" s="672" t="s">
        <v>774</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8" customFormat="1" ht="14.4"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754</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9.4" thickTop="1">
      <c r="A125" s="734"/>
      <c r="B125" s="672" t="s">
        <v>755</v>
      </c>
      <c r="C125" s="707" t="s">
        <v>578</v>
      </c>
      <c r="D125" s="707" t="s">
        <v>579</v>
      </c>
      <c r="E125" s="707" t="s">
        <v>580</v>
      </c>
      <c r="F125" s="707" t="s">
        <v>581</v>
      </c>
      <c r="G125" s="707" t="s">
        <v>582</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8" customFormat="1" ht="14.4"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8" customFormat="1" ht="14.4"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4.4"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4.4"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4.4" thickBot="1">
      <c r="A132" s="892"/>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787</v>
      </c>
      <c r="C1" s="504" t="s">
        <v>719</v>
      </c>
      <c r="D1" s="848"/>
      <c r="E1" s="506"/>
      <c r="F1" s="2828"/>
      <c r="G1" s="1598" t="s">
        <v>720</v>
      </c>
      <c r="H1" s="506"/>
      <c r="I1" s="506"/>
      <c r="J1" s="506"/>
      <c r="K1" s="507"/>
      <c r="L1" s="1559"/>
      <c r="M1" s="1560"/>
      <c r="N1" s="1560"/>
      <c r="O1" s="1560"/>
      <c r="P1" s="1561"/>
      <c r="Q1" s="1561"/>
      <c r="R1" s="1561"/>
      <c r="S1" s="1561"/>
      <c r="T1" s="1561"/>
      <c r="U1" s="1561"/>
      <c r="V1" s="1561"/>
      <c r="W1" s="1561"/>
      <c r="X1" s="1561"/>
      <c r="Y1" s="1561"/>
      <c r="Z1" s="1561"/>
      <c r="AA1" s="1561"/>
      <c r="AB1" s="1561"/>
      <c r="AC1" s="428"/>
    </row>
    <row r="2" spans="1:29" s="1335" customFormat="1" ht="28.5" customHeight="1">
      <c r="A2" s="423" t="s">
        <v>466</v>
      </c>
      <c r="B2" s="849" t="e">
        <f>ROUND(B3*D3/10000,0)</f>
        <v>#DIV/0!</v>
      </c>
      <c r="C2" s="2124"/>
      <c r="D2" s="2124"/>
      <c r="E2" s="2125"/>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428"/>
    </row>
    <row r="3" spans="1:29" s="1335" customFormat="1" ht="28.5" customHeight="1" thickBot="1">
      <c r="A3" s="509" t="s">
        <v>518</v>
      </c>
      <c r="B3" s="510" t="e">
        <f>C43</f>
        <v>#DIV/0!</v>
      </c>
      <c r="C3" s="851" t="s">
        <v>721</v>
      </c>
      <c r="D3" s="850">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4.4">
      <c r="A4" s="512" t="s">
        <v>520</v>
      </c>
      <c r="B4" s="513"/>
      <c r="C4" s="3394" t="s">
        <v>521</v>
      </c>
      <c r="D4" s="3395"/>
      <c r="E4" s="3434" t="s">
        <v>522</v>
      </c>
      <c r="F4" s="3435"/>
      <c r="G4" s="3394" t="s">
        <v>523</v>
      </c>
      <c r="H4" s="3395"/>
      <c r="I4" s="3394" t="s">
        <v>524</v>
      </c>
      <c r="J4" s="3395"/>
      <c r="K4" s="514" t="s">
        <v>525</v>
      </c>
      <c r="L4" s="2130"/>
      <c r="M4" s="2131"/>
      <c r="N4" s="2131"/>
      <c r="O4" s="2131"/>
      <c r="P4" s="3396" t="s">
        <v>526</v>
      </c>
      <c r="Q4" s="3397"/>
      <c r="R4" s="3402" t="s">
        <v>522</v>
      </c>
      <c r="S4" s="3403"/>
      <c r="T4" s="3402" t="s">
        <v>523</v>
      </c>
      <c r="U4" s="3403"/>
      <c r="V4" s="3389" t="s">
        <v>524</v>
      </c>
      <c r="W4" s="3389"/>
      <c r="X4" s="1564"/>
      <c r="Y4" s="3402" t="s">
        <v>526</v>
      </c>
      <c r="Z4" s="3403"/>
      <c r="AA4" s="3391" t="s">
        <v>522</v>
      </c>
      <c r="AB4" s="3392" t="s">
        <v>523</v>
      </c>
      <c r="AC4" s="3391" t="s">
        <v>524</v>
      </c>
    </row>
    <row r="5" spans="1:29">
      <c r="A5" s="515"/>
      <c r="B5" s="516"/>
      <c r="C5" s="3428" t="s">
        <v>2925</v>
      </c>
      <c r="D5" s="3429"/>
      <c r="E5" s="3436" t="s">
        <v>2926</v>
      </c>
      <c r="F5" s="3437"/>
      <c r="G5" s="3428" t="s">
        <v>2927</v>
      </c>
      <c r="H5" s="3429"/>
      <c r="I5" s="3428" t="s">
        <v>2928</v>
      </c>
      <c r="J5" s="3429"/>
      <c r="K5" s="514"/>
      <c r="L5" s="2130"/>
      <c r="M5" s="2131"/>
      <c r="N5" s="2131"/>
      <c r="O5" s="2131"/>
      <c r="P5" s="3398"/>
      <c r="Q5" s="3399"/>
      <c r="R5" s="3404"/>
      <c r="S5" s="3405"/>
      <c r="T5" s="3404"/>
      <c r="U5" s="3405"/>
      <c r="V5" s="3389"/>
      <c r="W5" s="3389"/>
      <c r="X5" s="1564"/>
      <c r="Y5" s="3404"/>
      <c r="Z5" s="3405"/>
      <c r="AA5" s="3392"/>
      <c r="AB5" s="3392"/>
      <c r="AC5" s="3392"/>
    </row>
    <row r="6" spans="1:29" ht="15" thickBot="1">
      <c r="A6" s="517"/>
      <c r="B6" s="518"/>
      <c r="C6" s="3430" t="s">
        <v>2929</v>
      </c>
      <c r="D6" s="3431"/>
      <c r="E6" s="3432" t="s">
        <v>2929</v>
      </c>
      <c r="F6" s="3433"/>
      <c r="G6" s="3430" t="s">
        <v>2929</v>
      </c>
      <c r="H6" s="3431"/>
      <c r="I6" s="3430" t="s">
        <v>2929</v>
      </c>
      <c r="J6" s="3431"/>
      <c r="K6" s="514" t="s">
        <v>527</v>
      </c>
      <c r="L6" s="2130"/>
      <c r="M6" s="2131"/>
      <c r="N6" s="2131"/>
      <c r="O6" s="2131"/>
      <c r="P6" s="3400"/>
      <c r="Q6" s="3401"/>
      <c r="R6" s="3404"/>
      <c r="S6" s="3405"/>
      <c r="T6" s="3406"/>
      <c r="U6" s="3407"/>
      <c r="V6" s="3389"/>
      <c r="W6" s="3389"/>
      <c r="X6" s="1564"/>
      <c r="Y6" s="3406"/>
      <c r="Z6" s="3407"/>
      <c r="AA6" s="3393"/>
      <c r="AB6" s="3393"/>
      <c r="AC6" s="3393"/>
    </row>
    <row r="7" spans="1:29" s="1219" customFormat="1" ht="15" thickBot="1">
      <c r="A7" s="2933"/>
      <c r="B7" s="2940" t="s">
        <v>528</v>
      </c>
      <c r="C7" s="519">
        <f>'数据-取费表'!B2</f>
        <v>43507</v>
      </c>
      <c r="D7" s="520">
        <v>100</v>
      </c>
      <c r="E7" s="521"/>
      <c r="F7" s="522">
        <f>SUMIF(52:52,YEAR(E7)&amp;"-"&amp;MONTH(E7),53:53)</f>
        <v>0</v>
      </c>
      <c r="G7" s="521"/>
      <c r="H7" s="520">
        <f>SUMIF(52:52,YEAR(G7)&amp;"-"&amp;MONTH(G7),53:53)</f>
        <v>0</v>
      </c>
      <c r="I7" s="521"/>
      <c r="J7" s="520">
        <f>SUMIF(52:52,YEAR(I7)&amp;"-"&amp;MONTH(I7),53:53)</f>
        <v>0</v>
      </c>
      <c r="K7" s="524"/>
      <c r="L7" s="2132"/>
      <c r="M7" s="2133"/>
      <c r="N7" s="2133"/>
      <c r="O7" s="2133"/>
      <c r="P7" s="3421" t="s">
        <v>529</v>
      </c>
      <c r="Q7" s="3423"/>
      <c r="R7" s="1565" t="s">
        <v>8</v>
      </c>
      <c r="S7" s="1566">
        <f t="shared" ref="S7:S15" si="0">F7</f>
        <v>0</v>
      </c>
      <c r="T7" s="1565" t="s">
        <v>8</v>
      </c>
      <c r="U7" s="1566">
        <f t="shared" ref="U7:U15" si="1">H7</f>
        <v>0</v>
      </c>
      <c r="V7" s="1565" t="s">
        <v>8</v>
      </c>
      <c r="W7" s="1566">
        <f t="shared" ref="W7:W15" si="2">J7</f>
        <v>0</v>
      </c>
      <c r="X7" s="1567"/>
      <c r="Y7" s="3421" t="s">
        <v>529</v>
      </c>
      <c r="Z7" s="3422"/>
      <c r="AA7" s="1568" t="e">
        <f>D7/F7</f>
        <v>#DIV/0!</v>
      </c>
      <c r="AB7" s="1568" t="e">
        <f>D7/H7</f>
        <v>#DIV/0!</v>
      </c>
      <c r="AC7" s="1568" t="e">
        <f>D7/J7</f>
        <v>#DIV/0!</v>
      </c>
    </row>
    <row r="8" spans="1:29" s="1219" customFormat="1" ht="15" thickBot="1">
      <c r="A8" s="2934"/>
      <c r="B8" s="2941" t="s">
        <v>530</v>
      </c>
      <c r="C8" s="525" t="s">
        <v>575</v>
      </c>
      <c r="D8" s="520">
        <v>100</v>
      </c>
      <c r="E8" s="525"/>
      <c r="F8" s="522">
        <f>SUMIF(55:55,E8,56:56)-SUMIF(55:55,C8,56:56)+100</f>
        <v>0</v>
      </c>
      <c r="G8" s="525"/>
      <c r="H8" s="520">
        <f>SUMIF(55:55,G8,56:56)-SUMIF(55:55,C8,56:56)+100</f>
        <v>0</v>
      </c>
      <c r="I8" s="525"/>
      <c r="J8" s="520">
        <f>SUMIF(55:55,I8,56:56)-SUMIF(55:55,C8,56:56)+100</f>
        <v>0</v>
      </c>
      <c r="K8" s="524"/>
      <c r="L8" s="2132"/>
      <c r="M8" s="2133"/>
      <c r="N8" s="2133"/>
      <c r="O8" s="2133"/>
      <c r="P8" s="3421" t="s">
        <v>532</v>
      </c>
      <c r="Q8" s="3422"/>
      <c r="R8" s="1565" t="s">
        <v>8</v>
      </c>
      <c r="S8" s="1566">
        <f t="shared" si="0"/>
        <v>0</v>
      </c>
      <c r="T8" s="1565" t="s">
        <v>8</v>
      </c>
      <c r="U8" s="1566">
        <f t="shared" si="1"/>
        <v>0</v>
      </c>
      <c r="V8" s="1565" t="s">
        <v>8</v>
      </c>
      <c r="W8" s="1566">
        <f t="shared" si="2"/>
        <v>0</v>
      </c>
      <c r="X8" s="1567"/>
      <c r="Y8" s="3421" t="s">
        <v>532</v>
      </c>
      <c r="Z8" s="3422"/>
      <c r="AA8" s="1568" t="e">
        <f t="shared" ref="AA8:AA40" si="3">D8/F8</f>
        <v>#DIV/0!</v>
      </c>
      <c r="AB8" s="1568" t="e">
        <f t="shared" ref="AB8:AB40" si="4">D8/H8</f>
        <v>#DIV/0!</v>
      </c>
      <c r="AC8" s="1568" t="e">
        <f t="shared" ref="AC8:AC40" si="5">D8/J8</f>
        <v>#DIV/0!</v>
      </c>
    </row>
    <row r="9" spans="1:29" s="1219" customFormat="1" ht="14.4">
      <c r="A9" s="2935"/>
      <c r="B9" s="2942" t="s">
        <v>2754</v>
      </c>
      <c r="C9" s="856"/>
      <c r="D9" s="254">
        <v>100</v>
      </c>
      <c r="E9" s="859"/>
      <c r="F9" s="254">
        <f>SUMIF(57:57,E9,58:58)-SUMIF(57:57,C9,58:58)+100</f>
        <v>100</v>
      </c>
      <c r="G9" s="857"/>
      <c r="H9" s="254">
        <f>SUMIF(57:57,G9,58:58)-SUMIF(57:57,C9,58:58)+100</f>
        <v>100</v>
      </c>
      <c r="I9" s="857"/>
      <c r="J9" s="254">
        <f>SUMIF(57:57,I9,58:58)-SUMIF(57:57,C9,58:58)+100</f>
        <v>100</v>
      </c>
      <c r="K9" s="524"/>
      <c r="L9" s="2132"/>
      <c r="M9" s="2133"/>
      <c r="N9" s="2133"/>
      <c r="O9" s="2134"/>
      <c r="P9" s="3388" t="s">
        <v>534</v>
      </c>
      <c r="Q9" s="1150" t="str">
        <f t="shared" ref="Q9:Q15" si="6">B9</f>
        <v>用途</v>
      </c>
      <c r="R9" s="1565" t="s">
        <v>8</v>
      </c>
      <c r="S9" s="1566">
        <f t="shared" si="0"/>
        <v>100</v>
      </c>
      <c r="T9" s="1565" t="s">
        <v>8</v>
      </c>
      <c r="U9" s="1566">
        <f t="shared" si="1"/>
        <v>100</v>
      </c>
      <c r="V9" s="1565" t="s">
        <v>8</v>
      </c>
      <c r="W9" s="1566">
        <f t="shared" si="2"/>
        <v>100</v>
      </c>
      <c r="X9" s="1567"/>
      <c r="Y9" s="3334" t="s">
        <v>535</v>
      </c>
      <c r="Z9" s="1149" t="str">
        <f t="shared" ref="Z9:Z15" si="7">Q9</f>
        <v>用途</v>
      </c>
      <c r="AA9" s="1568">
        <f t="shared" si="3"/>
        <v>1</v>
      </c>
      <c r="AB9" s="1568">
        <f t="shared" si="4"/>
        <v>1</v>
      </c>
      <c r="AC9" s="1568">
        <f t="shared" si="5"/>
        <v>1</v>
      </c>
    </row>
    <row r="10" spans="1:29" s="1337" customFormat="1" ht="28.8">
      <c r="A10" s="2936"/>
      <c r="B10" s="2941" t="s">
        <v>2755</v>
      </c>
      <c r="C10" s="860"/>
      <c r="D10" s="255">
        <v>100</v>
      </c>
      <c r="E10" s="860"/>
      <c r="F10" s="255">
        <f>SUMIF(59:59,E10,60:60)-SUMIF(59:59,C10,60:60)+100</f>
        <v>100</v>
      </c>
      <c r="G10" s="861"/>
      <c r="H10" s="255">
        <f>SUMIF(59:59,G10,60:60)-SUMIF(59:59,C10,60:60)+100</f>
        <v>100</v>
      </c>
      <c r="I10" s="860"/>
      <c r="J10" s="255">
        <f>SUMIF(59:59,I10,60:60)-SUMIF(59:59,C10,60:60)+100</f>
        <v>100</v>
      </c>
      <c r="K10" s="583"/>
      <c r="L10" s="2135"/>
      <c r="M10" s="2175"/>
      <c r="N10" s="2175"/>
      <c r="O10" s="2136"/>
      <c r="P10" s="3388"/>
      <c r="Q10" s="1150" t="str">
        <f t="shared" si="6"/>
        <v>土地使用年限（年）</v>
      </c>
      <c r="R10" s="1565" t="s">
        <v>8</v>
      </c>
      <c r="S10" s="1566">
        <f t="shared" si="0"/>
        <v>100</v>
      </c>
      <c r="T10" s="1565" t="s">
        <v>8</v>
      </c>
      <c r="U10" s="1566">
        <f t="shared" si="1"/>
        <v>100</v>
      </c>
      <c r="V10" s="1565" t="s">
        <v>8</v>
      </c>
      <c r="W10" s="1566">
        <f t="shared" si="2"/>
        <v>100</v>
      </c>
      <c r="X10" s="1567"/>
      <c r="Y10" s="3334"/>
      <c r="Z10" s="1149" t="str">
        <f t="shared" si="7"/>
        <v>土地使用年限（年）</v>
      </c>
      <c r="AA10" s="1568">
        <f t="shared" si="3"/>
        <v>1</v>
      </c>
      <c r="AB10" s="1568">
        <f t="shared" si="4"/>
        <v>1</v>
      </c>
      <c r="AC10" s="1568">
        <f t="shared" si="5"/>
        <v>1</v>
      </c>
    </row>
    <row r="11" spans="1:29" ht="15">
      <c r="A11" s="2937"/>
      <c r="B11" s="2941" t="s">
        <v>2756</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37"/>
      <c r="M11" s="2131"/>
      <c r="N11" s="2131"/>
      <c r="O11" s="2138"/>
      <c r="P11" s="3388"/>
      <c r="Q11" s="1150" t="str">
        <f t="shared" si="6"/>
        <v>容积率</v>
      </c>
      <c r="R11" s="1565" t="s">
        <v>8</v>
      </c>
      <c r="S11" s="1566" t="e">
        <f t="shared" si="0"/>
        <v>#N/A</v>
      </c>
      <c r="T11" s="1565" t="s">
        <v>8</v>
      </c>
      <c r="U11" s="1566" t="e">
        <f t="shared" si="1"/>
        <v>#N/A</v>
      </c>
      <c r="V11" s="1565" t="s">
        <v>8</v>
      </c>
      <c r="W11" s="1566" t="e">
        <f t="shared" si="2"/>
        <v>#N/A</v>
      </c>
      <c r="X11" s="1567"/>
      <c r="Y11" s="3334"/>
      <c r="Z11" s="1149" t="str">
        <f t="shared" si="7"/>
        <v>容积率</v>
      </c>
      <c r="AA11" s="1568" t="e">
        <f t="shared" si="3"/>
        <v>#N/A</v>
      </c>
      <c r="AB11" s="1568" t="e">
        <f t="shared" si="4"/>
        <v>#N/A</v>
      </c>
      <c r="AC11" s="1568" t="e">
        <f t="shared" si="5"/>
        <v>#N/A</v>
      </c>
    </row>
    <row r="12" spans="1:29" s="1219" customFormat="1" ht="15">
      <c r="A12" s="2938"/>
      <c r="B12" s="2944">
        <v>111</v>
      </c>
      <c r="C12" s="528"/>
      <c r="D12" s="537">
        <v>100</v>
      </c>
      <c r="E12" s="538"/>
      <c r="F12" s="255">
        <f>SUMIF(64:64,E12,65:65)-SUMIF(64:64,C12,65:65)+100</f>
        <v>100</v>
      </c>
      <c r="G12" s="919"/>
      <c r="H12" s="255">
        <f>SUMIF(64:64,G12,65:65)-SUMIF(64:64,C12,65:65)+100</f>
        <v>100</v>
      </c>
      <c r="I12" s="879"/>
      <c r="J12" s="255">
        <f>SUMIF(64:64,I12,65:65)-SUMIF(64:64,C12,65:65)+100</f>
        <v>100</v>
      </c>
      <c r="K12" s="580"/>
      <c r="L12" s="2132"/>
      <c r="M12" s="2133"/>
      <c r="N12" s="2133"/>
      <c r="O12" s="2134"/>
      <c r="P12" s="3388"/>
      <c r="Q12" s="1150">
        <f t="shared" si="6"/>
        <v>111</v>
      </c>
      <c r="R12" s="1565" t="s">
        <v>8</v>
      </c>
      <c r="S12" s="1566">
        <f t="shared" si="0"/>
        <v>100</v>
      </c>
      <c r="T12" s="1565" t="s">
        <v>8</v>
      </c>
      <c r="U12" s="1566">
        <f t="shared" si="1"/>
        <v>100</v>
      </c>
      <c r="V12" s="1565" t="s">
        <v>8</v>
      </c>
      <c r="W12" s="1566">
        <f t="shared" si="2"/>
        <v>100</v>
      </c>
      <c r="X12" s="1567"/>
      <c r="Y12" s="3334"/>
      <c r="Z12" s="1149">
        <f t="shared" si="7"/>
        <v>111</v>
      </c>
      <c r="AA12" s="1568">
        <f>D12/F12</f>
        <v>1</v>
      </c>
      <c r="AB12" s="1568">
        <f>D12/H12</f>
        <v>1</v>
      </c>
      <c r="AC12" s="1568">
        <f>D12/J12</f>
        <v>1</v>
      </c>
    </row>
    <row r="13" spans="1:29" ht="15">
      <c r="A13" s="2938"/>
      <c r="B13" s="2944">
        <v>111</v>
      </c>
      <c r="C13" s="538"/>
      <c r="D13" s="539">
        <v>100</v>
      </c>
      <c r="E13" s="538"/>
      <c r="F13" s="255">
        <f>SUMIF(66:66,E13,67:67)-SUMIF(66:66,C13,67:67)+100</f>
        <v>100</v>
      </c>
      <c r="G13" s="919"/>
      <c r="H13" s="539">
        <f>SUMIF(66:66,G13,67:67)-SUMIF(66:66,C13,67:67)+100</f>
        <v>100</v>
      </c>
      <c r="I13" s="879"/>
      <c r="J13" s="539">
        <f>SUMIF(66:66,I13,67:67)-SUMIF(66:66,C13,67:67)+100</f>
        <v>100</v>
      </c>
      <c r="K13" s="580"/>
      <c r="L13" s="2139"/>
      <c r="M13" s="2131"/>
      <c r="N13" s="2131"/>
      <c r="O13" s="2138"/>
      <c r="P13" s="3388"/>
      <c r="Q13" s="1150">
        <f t="shared" si="6"/>
        <v>111</v>
      </c>
      <c r="R13" s="1565" t="s">
        <v>8</v>
      </c>
      <c r="S13" s="1566">
        <f t="shared" si="0"/>
        <v>100</v>
      </c>
      <c r="T13" s="1565" t="s">
        <v>8</v>
      </c>
      <c r="U13" s="1566">
        <f t="shared" si="1"/>
        <v>100</v>
      </c>
      <c r="V13" s="1565" t="s">
        <v>8</v>
      </c>
      <c r="W13" s="1566">
        <f t="shared" si="2"/>
        <v>100</v>
      </c>
      <c r="X13" s="1567"/>
      <c r="Y13" s="3334"/>
      <c r="Z13" s="1149">
        <f t="shared" si="7"/>
        <v>111</v>
      </c>
      <c r="AA13" s="1568">
        <f t="shared" si="3"/>
        <v>1</v>
      </c>
      <c r="AB13" s="1568">
        <f t="shared" si="4"/>
        <v>1</v>
      </c>
      <c r="AC13" s="1568">
        <f t="shared" si="5"/>
        <v>1</v>
      </c>
    </row>
    <row r="14" spans="1:29" ht="15.6" thickBot="1">
      <c r="A14" s="2939"/>
      <c r="B14" s="2945">
        <v>111</v>
      </c>
      <c r="C14" s="544"/>
      <c r="D14" s="545">
        <v>100</v>
      </c>
      <c r="E14" s="544"/>
      <c r="F14" s="545">
        <f>SUMIF(68:68,E14,69:69)-SUMIF(68:68,C14,69:69)+100</f>
        <v>100</v>
      </c>
      <c r="G14" s="919"/>
      <c r="H14" s="545">
        <f>SUMIF(68:68,G14,69:69)-SUMIF(68:68,C14,69:69)+100</f>
        <v>100</v>
      </c>
      <c r="I14" s="879"/>
      <c r="J14" s="545">
        <f>SUMIF(68:68,I14,69:69)-SUMIF(68:68,C14,69:69)+100</f>
        <v>100</v>
      </c>
      <c r="K14" s="580"/>
      <c r="L14" s="2139"/>
      <c r="M14" s="2131"/>
      <c r="N14" s="2131"/>
      <c r="O14" s="2138"/>
      <c r="P14" s="3388"/>
      <c r="Q14" s="1150">
        <f t="shared" si="6"/>
        <v>111</v>
      </c>
      <c r="R14" s="1565" t="s">
        <v>8</v>
      </c>
      <c r="S14" s="1566">
        <f t="shared" si="0"/>
        <v>100</v>
      </c>
      <c r="T14" s="1565" t="s">
        <v>8</v>
      </c>
      <c r="U14" s="1566">
        <f t="shared" si="1"/>
        <v>100</v>
      </c>
      <c r="V14" s="1565" t="s">
        <v>8</v>
      </c>
      <c r="W14" s="1566">
        <f t="shared" si="2"/>
        <v>100</v>
      </c>
      <c r="X14" s="1567"/>
      <c r="Y14" s="3334"/>
      <c r="Z14" s="1149">
        <f t="shared" si="7"/>
        <v>111</v>
      </c>
      <c r="AA14" s="1568">
        <f t="shared" si="3"/>
        <v>1</v>
      </c>
      <c r="AB14" s="1568">
        <f t="shared" si="4"/>
        <v>1</v>
      </c>
      <c r="AC14" s="1568">
        <f t="shared" si="5"/>
        <v>1</v>
      </c>
    </row>
    <row r="15" spans="1:29" ht="69">
      <c r="A15" s="2931" t="s">
        <v>2752</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9"/>
      <c r="M15" s="2131"/>
      <c r="N15" s="2131"/>
      <c r="O15" s="2138"/>
      <c r="P15" s="3424" t="s">
        <v>539</v>
      </c>
      <c r="Q15" s="1569" t="str">
        <f t="shared" si="6"/>
        <v>产业集聚程度</v>
      </c>
      <c r="R15" s="1570" t="s">
        <v>8</v>
      </c>
      <c r="S15" s="1571">
        <f t="shared" si="0"/>
        <v>100</v>
      </c>
      <c r="T15" s="1570" t="s">
        <v>8</v>
      </c>
      <c r="U15" s="1571">
        <f t="shared" si="1"/>
        <v>100</v>
      </c>
      <c r="V15" s="1570" t="s">
        <v>8</v>
      </c>
      <c r="W15" s="1571">
        <f t="shared" si="2"/>
        <v>100</v>
      </c>
      <c r="X15" s="1564"/>
      <c r="Y15" s="3424" t="s">
        <v>539</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39"/>
      <c r="M16" s="2131"/>
      <c r="N16" s="2131"/>
      <c r="O16" s="2138"/>
      <c r="P16" s="3425"/>
      <c r="Q16" s="1569"/>
      <c r="R16" s="1570"/>
      <c r="S16" s="1571"/>
      <c r="T16" s="1570"/>
      <c r="U16" s="1571"/>
      <c r="V16" s="1570"/>
      <c r="W16" s="1571"/>
      <c r="X16" s="1564"/>
      <c r="Y16" s="3425"/>
      <c r="Z16" s="1572"/>
      <c r="AA16" s="1573">
        <v>1</v>
      </c>
      <c r="AB16" s="1573">
        <v>1</v>
      </c>
      <c r="AC16" s="1573">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9"/>
      <c r="M17" s="2131"/>
      <c r="N17" s="2131"/>
      <c r="O17" s="2138"/>
      <c r="P17" s="3425"/>
      <c r="Q17" s="1569" t="str">
        <f>B17</f>
        <v>交通便捷度</v>
      </c>
      <c r="R17" s="1570" t="s">
        <v>8</v>
      </c>
      <c r="S17" s="1571">
        <f>F17</f>
        <v>100</v>
      </c>
      <c r="T17" s="1570" t="s">
        <v>8</v>
      </c>
      <c r="U17" s="1571">
        <f>H17</f>
        <v>100</v>
      </c>
      <c r="V17" s="1570" t="s">
        <v>8</v>
      </c>
      <c r="W17" s="1571">
        <f>J17</f>
        <v>100</v>
      </c>
      <c r="X17" s="1564"/>
      <c r="Y17" s="3425"/>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9"/>
      <c r="M18" s="2131"/>
      <c r="N18" s="2131"/>
      <c r="O18" s="2138"/>
      <c r="P18" s="3425"/>
      <c r="Q18" s="1569"/>
      <c r="R18" s="1570"/>
      <c r="S18" s="1571"/>
      <c r="T18" s="1570"/>
      <c r="U18" s="1571"/>
      <c r="V18" s="1570"/>
      <c r="W18" s="1571"/>
      <c r="X18" s="1564"/>
      <c r="Y18" s="3425"/>
      <c r="Z18" s="1572"/>
      <c r="AA18" s="1573">
        <v>1</v>
      </c>
      <c r="AB18" s="1573">
        <v>1</v>
      </c>
      <c r="AC18" s="1573">
        <v>1</v>
      </c>
    </row>
    <row r="19" spans="1:29" ht="41.4">
      <c r="A19" s="531"/>
      <c r="B19" s="2624"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9"/>
      <c r="M19" s="2131"/>
      <c r="N19" s="2131"/>
      <c r="O19" s="2138"/>
      <c r="P19" s="3425"/>
      <c r="Q19" s="1569" t="str">
        <f>B19</f>
        <v>公共配套设施</v>
      </c>
      <c r="R19" s="1570" t="s">
        <v>8</v>
      </c>
      <c r="S19" s="1571">
        <f>F19</f>
        <v>100</v>
      </c>
      <c r="T19" s="1570" t="s">
        <v>8</v>
      </c>
      <c r="U19" s="1571">
        <f>H19</f>
        <v>100</v>
      </c>
      <c r="V19" s="1570" t="s">
        <v>8</v>
      </c>
      <c r="W19" s="1571">
        <f>J19</f>
        <v>100</v>
      </c>
      <c r="X19" s="1564"/>
      <c r="Y19" s="3425"/>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39"/>
      <c r="M20" s="2131"/>
      <c r="N20" s="2131"/>
      <c r="O20" s="2138"/>
      <c r="P20" s="3425"/>
      <c r="Q20" s="1569"/>
      <c r="R20" s="1570"/>
      <c r="S20" s="1571"/>
      <c r="T20" s="1570"/>
      <c r="U20" s="1571"/>
      <c r="V20" s="1570"/>
      <c r="W20" s="1571"/>
      <c r="X20" s="1564"/>
      <c r="Y20" s="3425"/>
      <c r="Z20" s="1572"/>
      <c r="AA20" s="1573">
        <v>1</v>
      </c>
      <c r="AB20" s="1573">
        <v>1</v>
      </c>
      <c r="AC20" s="1573">
        <v>1</v>
      </c>
    </row>
    <row r="21" spans="1:29" ht="41.4">
      <c r="A21" s="531"/>
      <c r="B21" s="2612"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9"/>
      <c r="M21" s="2131"/>
      <c r="N21" s="2131"/>
      <c r="O21" s="2138"/>
      <c r="P21" s="3425"/>
      <c r="Q21" s="2600" t="str">
        <f>B21</f>
        <v>基础设施水平</v>
      </c>
      <c r="R21" s="1570" t="s">
        <v>8</v>
      </c>
      <c r="S21" s="1571">
        <f>F21</f>
        <v>100</v>
      </c>
      <c r="T21" s="1570" t="s">
        <v>8</v>
      </c>
      <c r="U21" s="1571">
        <f>H21</f>
        <v>100</v>
      </c>
      <c r="V21" s="1570" t="s">
        <v>8</v>
      </c>
      <c r="W21" s="1571">
        <f>J21</f>
        <v>100</v>
      </c>
      <c r="X21" s="2602"/>
      <c r="Y21" s="3425"/>
      <c r="Z21" s="2601"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3"/>
      <c r="L22" s="2139"/>
      <c r="M22" s="2131"/>
      <c r="N22" s="2131"/>
      <c r="O22" s="2138"/>
      <c r="P22" s="3425"/>
      <c r="Q22" s="2600"/>
      <c r="R22" s="1570"/>
      <c r="S22" s="1571"/>
      <c r="T22" s="1570"/>
      <c r="U22" s="1571"/>
      <c r="V22" s="1570"/>
      <c r="W22" s="1571"/>
      <c r="X22" s="2602"/>
      <c r="Y22" s="3425"/>
      <c r="Z22" s="2601"/>
      <c r="AA22" s="1573">
        <v>1</v>
      </c>
      <c r="AB22" s="1573">
        <v>1</v>
      </c>
      <c r="AC22" s="1573">
        <v>1</v>
      </c>
    </row>
    <row r="23" spans="1:29" ht="82.8">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9"/>
      <c r="M23" s="2131"/>
      <c r="N23" s="2131"/>
      <c r="O23" s="2138"/>
      <c r="P23" s="3425"/>
      <c r="Q23" s="1569" t="str">
        <f>B23</f>
        <v>环境质量</v>
      </c>
      <c r="R23" s="1570" t="s">
        <v>8</v>
      </c>
      <c r="S23" s="1571">
        <f>F23</f>
        <v>100</v>
      </c>
      <c r="T23" s="1570" t="s">
        <v>8</v>
      </c>
      <c r="U23" s="1571">
        <f>H23</f>
        <v>100</v>
      </c>
      <c r="V23" s="1570" t="s">
        <v>8</v>
      </c>
      <c r="W23" s="1571">
        <f>J23</f>
        <v>100</v>
      </c>
      <c r="X23" s="1564"/>
      <c r="Y23" s="3425"/>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39"/>
      <c r="M24" s="2131"/>
      <c r="N24" s="2131"/>
      <c r="O24" s="2138"/>
      <c r="P24" s="3425"/>
      <c r="Q24" s="1569"/>
      <c r="R24" s="1570"/>
      <c r="S24" s="1571"/>
      <c r="T24" s="1570"/>
      <c r="U24" s="1571"/>
      <c r="V24" s="1570"/>
      <c r="W24" s="1571"/>
      <c r="X24" s="1564"/>
      <c r="Y24" s="3425"/>
      <c r="Z24" s="1572"/>
      <c r="AA24" s="1573">
        <v>1</v>
      </c>
      <c r="AB24" s="1573">
        <v>1</v>
      </c>
      <c r="AC24" s="1573">
        <v>1</v>
      </c>
    </row>
    <row r="25" spans="1:29" ht="15">
      <c r="A25" s="515"/>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25"/>
      <c r="Q25" s="1569">
        <f>B25</f>
        <v>111</v>
      </c>
      <c r="R25" s="1570" t="s">
        <v>8</v>
      </c>
      <c r="S25" s="1571">
        <f>F25</f>
        <v>100</v>
      </c>
      <c r="T25" s="1570" t="s">
        <v>8</v>
      </c>
      <c r="U25" s="1571">
        <f>H25</f>
        <v>100</v>
      </c>
      <c r="V25" s="1570" t="s">
        <v>8</v>
      </c>
      <c r="W25" s="1571">
        <f>J25</f>
        <v>100</v>
      </c>
      <c r="X25" s="1564"/>
      <c r="Y25" s="3425"/>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25"/>
      <c r="Q26" s="1569">
        <f t="shared" ref="Q26:Q40" si="11">B26</f>
        <v>111</v>
      </c>
      <c r="R26" s="1570" t="s">
        <v>8</v>
      </c>
      <c r="S26" s="1571">
        <f>F26</f>
        <v>100</v>
      </c>
      <c r="T26" s="1570" t="s">
        <v>8</v>
      </c>
      <c r="U26" s="1571">
        <f>H26</f>
        <v>100</v>
      </c>
      <c r="V26" s="1570" t="s">
        <v>8</v>
      </c>
      <c r="W26" s="1571">
        <f>J26</f>
        <v>100</v>
      </c>
      <c r="X26" s="1564"/>
      <c r="Y26" s="3425"/>
      <c r="Z26" s="1572">
        <f>Q26</f>
        <v>111</v>
      </c>
      <c r="AA26" s="1573">
        <f t="shared" si="3"/>
        <v>1</v>
      </c>
      <c r="AB26" s="1573">
        <f t="shared" si="4"/>
        <v>1</v>
      </c>
      <c r="AC26" s="1573">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25"/>
      <c r="Q27" s="1150">
        <f t="shared" si="11"/>
        <v>111</v>
      </c>
      <c r="R27" s="1565" t="s">
        <v>8</v>
      </c>
      <c r="S27" s="1566">
        <f>F27</f>
        <v>100</v>
      </c>
      <c r="T27" s="1565" t="s">
        <v>8</v>
      </c>
      <c r="U27" s="1566">
        <f>H27</f>
        <v>100</v>
      </c>
      <c r="V27" s="1565" t="s">
        <v>8</v>
      </c>
      <c r="W27" s="1566">
        <f>J27</f>
        <v>100</v>
      </c>
      <c r="X27" s="1567"/>
      <c r="Y27" s="3425"/>
      <c r="Z27" s="1149">
        <f>Q27</f>
        <v>111</v>
      </c>
      <c r="AA27" s="1573">
        <f>D27/F27</f>
        <v>1</v>
      </c>
      <c r="AB27" s="1573">
        <f>D27/H27</f>
        <v>1</v>
      </c>
      <c r="AC27" s="1573">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9"/>
      <c r="M28" s="2131"/>
      <c r="N28" s="2131"/>
      <c r="O28" s="2138"/>
      <c r="P28" s="3425"/>
      <c r="Q28" s="1569">
        <f t="shared" si="11"/>
        <v>111</v>
      </c>
      <c r="R28" s="1570" t="s">
        <v>8</v>
      </c>
      <c r="S28" s="1571">
        <f t="shared" ref="S28:S40" si="12">F28</f>
        <v>100</v>
      </c>
      <c r="T28" s="1570" t="s">
        <v>8</v>
      </c>
      <c r="U28" s="1571">
        <f t="shared" ref="U28:U40" si="13">H28</f>
        <v>100</v>
      </c>
      <c r="V28" s="1570" t="s">
        <v>8</v>
      </c>
      <c r="W28" s="1571">
        <f t="shared" ref="W28:W40" si="14">J28</f>
        <v>100</v>
      </c>
      <c r="X28" s="1564"/>
      <c r="Y28" s="3425"/>
      <c r="Z28" s="1572">
        <f t="shared" ref="Z28:Z40" si="15">Q28</f>
        <v>111</v>
      </c>
      <c r="AA28" s="1573">
        <f t="shared" si="3"/>
        <v>1</v>
      </c>
      <c r="AB28" s="1573">
        <f t="shared" si="4"/>
        <v>1</v>
      </c>
      <c r="AC28" s="1573">
        <f t="shared" si="5"/>
        <v>1</v>
      </c>
    </row>
    <row r="29" spans="1:29" ht="15">
      <c r="A29" s="2928" t="s">
        <v>2753</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39"/>
      <c r="M29" s="2131"/>
      <c r="N29" s="2131"/>
      <c r="O29" s="2138"/>
      <c r="P29" s="3426" t="s">
        <v>549</v>
      </c>
      <c r="Q29" s="1569" t="str">
        <f t="shared" si="11"/>
        <v>建筑类型</v>
      </c>
      <c r="R29" s="1570" t="s">
        <v>8</v>
      </c>
      <c r="S29" s="1571">
        <f t="shared" si="12"/>
        <v>100</v>
      </c>
      <c r="T29" s="1570" t="s">
        <v>8</v>
      </c>
      <c r="U29" s="1571">
        <f t="shared" si="13"/>
        <v>100</v>
      </c>
      <c r="V29" s="1570" t="s">
        <v>8</v>
      </c>
      <c r="W29" s="1571">
        <f t="shared" si="14"/>
        <v>100</v>
      </c>
      <c r="X29" s="1564"/>
      <c r="Y29" s="3427" t="s">
        <v>549</v>
      </c>
      <c r="Z29" s="1572" t="str">
        <f t="shared" si="15"/>
        <v>建筑类型</v>
      </c>
      <c r="AA29" s="1573">
        <f t="shared" si="3"/>
        <v>1</v>
      </c>
      <c r="AB29" s="1573">
        <f t="shared" si="4"/>
        <v>1</v>
      </c>
      <c r="AC29" s="1573">
        <f t="shared" si="5"/>
        <v>1</v>
      </c>
    </row>
    <row r="30" spans="1:29" s="1338" customFormat="1" ht="15">
      <c r="A30" s="602"/>
      <c r="B30" s="527" t="s">
        <v>725</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37"/>
      <c r="M30" s="2168"/>
      <c r="N30" s="2168"/>
      <c r="O30" s="2140"/>
      <c r="P30" s="3427"/>
      <c r="Q30" s="1602" t="str">
        <f t="shared" si="11"/>
        <v>项目建筑规模</v>
      </c>
      <c r="R30" s="1574" t="s">
        <v>8</v>
      </c>
      <c r="S30" s="1575" t="e">
        <f t="shared" si="12"/>
        <v>#N/A</v>
      </c>
      <c r="T30" s="1574" t="s">
        <v>8</v>
      </c>
      <c r="U30" s="1575" t="e">
        <f t="shared" si="13"/>
        <v>#N/A</v>
      </c>
      <c r="V30" s="1574" t="s">
        <v>8</v>
      </c>
      <c r="W30" s="1575" t="e">
        <f t="shared" si="14"/>
        <v>#N/A</v>
      </c>
      <c r="X30" s="1576"/>
      <c r="Y30" s="3427"/>
      <c r="Z30" s="1577" t="str">
        <f t="shared" si="15"/>
        <v>项目建筑规模</v>
      </c>
      <c r="AA30" s="1573" t="e">
        <f t="shared" si="3"/>
        <v>#N/A</v>
      </c>
      <c r="AB30" s="1573" t="e">
        <f t="shared" si="4"/>
        <v>#N/A</v>
      </c>
      <c r="AC30" s="1573" t="e">
        <f t="shared" si="5"/>
        <v>#N/A</v>
      </c>
    </row>
    <row r="31" spans="1:29" ht="15">
      <c r="A31" s="593"/>
      <c r="B31" s="527" t="s">
        <v>726</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27"/>
      <c r="Q31" s="1569" t="str">
        <f t="shared" si="11"/>
        <v>建筑结构</v>
      </c>
      <c r="R31" s="1570" t="s">
        <v>8</v>
      </c>
      <c r="S31" s="1571">
        <f t="shared" si="12"/>
        <v>100</v>
      </c>
      <c r="T31" s="1570" t="s">
        <v>8</v>
      </c>
      <c r="U31" s="1571">
        <f t="shared" si="13"/>
        <v>100</v>
      </c>
      <c r="V31" s="1570" t="s">
        <v>8</v>
      </c>
      <c r="W31" s="1571">
        <f t="shared" si="14"/>
        <v>100</v>
      </c>
      <c r="X31" s="1564"/>
      <c r="Y31" s="3427"/>
      <c r="Z31" s="1572" t="str">
        <f t="shared" si="15"/>
        <v>建筑结构</v>
      </c>
      <c r="AA31" s="1573">
        <f t="shared" si="3"/>
        <v>1</v>
      </c>
      <c r="AB31" s="1573">
        <f t="shared" si="4"/>
        <v>1</v>
      </c>
      <c r="AC31" s="1573">
        <f t="shared" si="5"/>
        <v>1</v>
      </c>
    </row>
    <row r="32" spans="1:29" ht="15">
      <c r="A32" s="593"/>
      <c r="B32" s="527" t="s">
        <v>762</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27"/>
      <c r="Q32" s="1569" t="str">
        <f t="shared" si="11"/>
        <v>公共部分装修</v>
      </c>
      <c r="R32" s="1570" t="s">
        <v>8</v>
      </c>
      <c r="S32" s="1571">
        <f t="shared" si="12"/>
        <v>100</v>
      </c>
      <c r="T32" s="1570" t="s">
        <v>8</v>
      </c>
      <c r="U32" s="1571">
        <f t="shared" si="13"/>
        <v>100</v>
      </c>
      <c r="V32" s="1570" t="s">
        <v>8</v>
      </c>
      <c r="W32" s="1571">
        <f t="shared" si="14"/>
        <v>100</v>
      </c>
      <c r="X32" s="1564"/>
      <c r="Y32" s="3427"/>
      <c r="Z32" s="1572" t="str">
        <f t="shared" si="15"/>
        <v>公共部分装修</v>
      </c>
      <c r="AA32" s="1573">
        <f t="shared" si="3"/>
        <v>1</v>
      </c>
      <c r="AB32" s="1573">
        <f t="shared" si="4"/>
        <v>1</v>
      </c>
      <c r="AC32" s="1573">
        <f t="shared" si="5"/>
        <v>1</v>
      </c>
    </row>
    <row r="33" spans="1:29" ht="15">
      <c r="A33" s="593"/>
      <c r="B33" s="527"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9"/>
      <c r="M33" s="2131"/>
      <c r="N33" s="2131"/>
      <c r="O33" s="2138"/>
      <c r="P33" s="3427"/>
      <c r="Q33" s="1569" t="str">
        <f t="shared" si="11"/>
        <v>成新度</v>
      </c>
      <c r="R33" s="1570" t="s">
        <v>8</v>
      </c>
      <c r="S33" s="1571" t="e">
        <f t="shared" si="12"/>
        <v>#N/A</v>
      </c>
      <c r="T33" s="1570" t="s">
        <v>8</v>
      </c>
      <c r="U33" s="1571" t="e">
        <f t="shared" si="13"/>
        <v>#N/A</v>
      </c>
      <c r="V33" s="1570" t="s">
        <v>8</v>
      </c>
      <c r="W33" s="1571" t="e">
        <f t="shared" si="14"/>
        <v>#N/A</v>
      </c>
      <c r="X33" s="1564"/>
      <c r="Y33" s="3427"/>
      <c r="Z33" s="1572" t="str">
        <f t="shared" si="15"/>
        <v>成新度</v>
      </c>
      <c r="AA33" s="1573" t="e">
        <f t="shared" si="3"/>
        <v>#N/A</v>
      </c>
      <c r="AB33" s="1573" t="e">
        <f t="shared" si="4"/>
        <v>#N/A</v>
      </c>
      <c r="AC33" s="1573" t="e">
        <f t="shared" si="5"/>
        <v>#N/A</v>
      </c>
    </row>
    <row r="34" spans="1:29" s="1219" customFormat="1" ht="15">
      <c r="A34" s="599"/>
      <c r="B34" s="527" t="s">
        <v>781</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27"/>
      <c r="Q34" s="1150" t="str">
        <f t="shared" si="11"/>
        <v>物业管理</v>
      </c>
      <c r="R34" s="1565" t="s">
        <v>8</v>
      </c>
      <c r="S34" s="1566">
        <f t="shared" si="12"/>
        <v>100</v>
      </c>
      <c r="T34" s="1565" t="s">
        <v>8</v>
      </c>
      <c r="U34" s="1566">
        <f t="shared" si="13"/>
        <v>100</v>
      </c>
      <c r="V34" s="1565" t="s">
        <v>8</v>
      </c>
      <c r="W34" s="1566">
        <f t="shared" si="14"/>
        <v>100</v>
      </c>
      <c r="X34" s="1567"/>
      <c r="Y34" s="3427"/>
      <c r="Z34" s="1149" t="str">
        <f t="shared" si="15"/>
        <v>物业管理</v>
      </c>
      <c r="AA34" s="1568">
        <f t="shared" si="3"/>
        <v>1</v>
      </c>
      <c r="AB34" s="1568">
        <f t="shared" si="4"/>
        <v>1</v>
      </c>
      <c r="AC34" s="1568">
        <f t="shared" si="5"/>
        <v>1</v>
      </c>
    </row>
    <row r="35" spans="1:29" ht="15">
      <c r="A35" s="593"/>
      <c r="B35" s="1892"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27" t="s">
        <v>549</v>
      </c>
      <c r="Q35" s="1569" t="str">
        <f t="shared" si="11"/>
        <v>市政基础设施</v>
      </c>
      <c r="R35" s="1570" t="s">
        <v>8</v>
      </c>
      <c r="S35" s="1571">
        <f t="shared" si="12"/>
        <v>100</v>
      </c>
      <c r="T35" s="1570" t="s">
        <v>8</v>
      </c>
      <c r="U35" s="1571">
        <f t="shared" si="13"/>
        <v>100</v>
      </c>
      <c r="V35" s="1570" t="s">
        <v>8</v>
      </c>
      <c r="W35" s="1571">
        <f t="shared" si="14"/>
        <v>100</v>
      </c>
      <c r="X35" s="1564"/>
      <c r="Y35" s="3427" t="s">
        <v>549</v>
      </c>
      <c r="Z35" s="1572" t="str">
        <f t="shared" si="15"/>
        <v>市政基础设施</v>
      </c>
      <c r="AA35" s="1573">
        <f t="shared" si="3"/>
        <v>1</v>
      </c>
      <c r="AB35" s="1573">
        <f t="shared" si="4"/>
        <v>1</v>
      </c>
      <c r="AC35" s="1573">
        <f t="shared" si="5"/>
        <v>1</v>
      </c>
    </row>
    <row r="36" spans="1:29" ht="15">
      <c r="A36" s="593"/>
      <c r="B36" s="527"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27"/>
      <c r="Q36" s="1569" t="str">
        <f t="shared" si="11"/>
        <v>内部装修</v>
      </c>
      <c r="R36" s="1570" t="s">
        <v>8</v>
      </c>
      <c r="S36" s="1571">
        <f t="shared" si="12"/>
        <v>100</v>
      </c>
      <c r="T36" s="1570" t="s">
        <v>8</v>
      </c>
      <c r="U36" s="1571">
        <f t="shared" si="13"/>
        <v>100</v>
      </c>
      <c r="V36" s="1570" t="s">
        <v>8</v>
      </c>
      <c r="W36" s="1571">
        <f t="shared" si="14"/>
        <v>100</v>
      </c>
      <c r="X36" s="1564"/>
      <c r="Y36" s="3427"/>
      <c r="Z36" s="1572" t="str">
        <f t="shared" si="15"/>
        <v>内部装修</v>
      </c>
      <c r="AA36" s="1573">
        <f t="shared" si="3"/>
        <v>1</v>
      </c>
      <c r="AB36" s="1573">
        <f t="shared" si="4"/>
        <v>1</v>
      </c>
      <c r="AC36" s="1573">
        <f t="shared" si="5"/>
        <v>1</v>
      </c>
    </row>
    <row r="37" spans="1:29" ht="15">
      <c r="A37" s="593"/>
      <c r="B37" s="527"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27"/>
      <c r="Q37" s="1569" t="str">
        <f t="shared" si="11"/>
        <v>内部装修状况</v>
      </c>
      <c r="R37" s="1570" t="s">
        <v>8</v>
      </c>
      <c r="S37" s="1571">
        <f t="shared" si="12"/>
        <v>100</v>
      </c>
      <c r="T37" s="1570" t="s">
        <v>8</v>
      </c>
      <c r="U37" s="1571">
        <f t="shared" si="13"/>
        <v>100</v>
      </c>
      <c r="V37" s="1570" t="s">
        <v>8</v>
      </c>
      <c r="W37" s="1571">
        <f t="shared" si="14"/>
        <v>100</v>
      </c>
      <c r="X37" s="1564"/>
      <c r="Y37" s="3427"/>
      <c r="Z37" s="1572" t="str">
        <f t="shared" si="15"/>
        <v>内部装修状况</v>
      </c>
      <c r="AA37" s="1573">
        <f t="shared" si="3"/>
        <v>1</v>
      </c>
      <c r="AB37" s="1573">
        <f t="shared" si="4"/>
        <v>1</v>
      </c>
      <c r="AC37" s="1573">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7"/>
      <c r="M38" s="2168"/>
      <c r="N38" s="2168"/>
      <c r="O38" s="2140"/>
      <c r="P38" s="3427"/>
      <c r="Q38" s="1602">
        <f t="shared" si="11"/>
        <v>111</v>
      </c>
      <c r="R38" s="1574" t="s">
        <v>8</v>
      </c>
      <c r="S38" s="1575">
        <f t="shared" si="12"/>
        <v>100</v>
      </c>
      <c r="T38" s="1574" t="s">
        <v>8</v>
      </c>
      <c r="U38" s="1575">
        <f t="shared" si="13"/>
        <v>100</v>
      </c>
      <c r="V38" s="1574" t="s">
        <v>8</v>
      </c>
      <c r="W38" s="1575">
        <f t="shared" si="14"/>
        <v>100</v>
      </c>
      <c r="X38" s="1576"/>
      <c r="Y38" s="3427"/>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9"/>
      <c r="M39" s="2131"/>
      <c r="N39" s="2131"/>
      <c r="O39" s="2138"/>
      <c r="P39" s="3427"/>
      <c r="Q39" s="1569">
        <f t="shared" si="11"/>
        <v>111</v>
      </c>
      <c r="R39" s="1570" t="s">
        <v>8</v>
      </c>
      <c r="S39" s="1571">
        <f t="shared" si="12"/>
        <v>100</v>
      </c>
      <c r="T39" s="1570" t="s">
        <v>8</v>
      </c>
      <c r="U39" s="1571">
        <f t="shared" si="13"/>
        <v>100</v>
      </c>
      <c r="V39" s="1570" t="s">
        <v>8</v>
      </c>
      <c r="W39" s="1571">
        <f t="shared" si="14"/>
        <v>100</v>
      </c>
      <c r="X39" s="1564"/>
      <c r="Y39" s="3427"/>
      <c r="Z39" s="1572">
        <f t="shared" si="15"/>
        <v>111</v>
      </c>
      <c r="AA39" s="1573">
        <f t="shared" si="3"/>
        <v>1</v>
      </c>
      <c r="AB39" s="1573">
        <f t="shared" si="4"/>
        <v>1</v>
      </c>
      <c r="AC39" s="1573">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9"/>
      <c r="M40" s="2131"/>
      <c r="N40" s="2131"/>
      <c r="O40" s="2138"/>
      <c r="P40" s="3511"/>
      <c r="Q40" s="1569">
        <f t="shared" si="11"/>
        <v>111</v>
      </c>
      <c r="R40" s="1570" t="s">
        <v>8</v>
      </c>
      <c r="S40" s="1571">
        <f t="shared" si="12"/>
        <v>100</v>
      </c>
      <c r="T40" s="1570" t="s">
        <v>8</v>
      </c>
      <c r="U40" s="1571">
        <f t="shared" si="13"/>
        <v>100</v>
      </c>
      <c r="V40" s="1570" t="s">
        <v>8</v>
      </c>
      <c r="W40" s="1571">
        <f t="shared" si="14"/>
        <v>100</v>
      </c>
      <c r="X40" s="1564"/>
      <c r="Y40" s="3511"/>
      <c r="Z40" s="1572">
        <f t="shared" si="15"/>
        <v>111</v>
      </c>
      <c r="AA40" s="1573">
        <f t="shared" si="3"/>
        <v>1</v>
      </c>
      <c r="AB40" s="1573">
        <f t="shared" si="4"/>
        <v>1</v>
      </c>
      <c r="AC40" s="1573">
        <f t="shared" si="5"/>
        <v>1</v>
      </c>
    </row>
    <row r="41" spans="1:29" ht="14.4">
      <c r="A41" s="606" t="s">
        <v>735</v>
      </c>
      <c r="B41" s="886"/>
      <c r="C41" s="2648" t="s">
        <v>1</v>
      </c>
      <c r="D41" s="2649"/>
      <c r="E41" s="2650"/>
      <c r="F41" s="2651"/>
      <c r="G41" s="2652"/>
      <c r="H41" s="2653"/>
      <c r="I41" s="2650"/>
      <c r="J41" s="2653"/>
      <c r="K41" s="1608"/>
      <c r="L41" s="2141"/>
      <c r="M41" s="2142"/>
      <c r="N41" s="2131"/>
      <c r="O41" s="2142"/>
      <c r="P41" s="3388" t="str">
        <f>A41</f>
        <v>成交单价（元/平方米）</v>
      </c>
      <c r="Q41" s="3388"/>
      <c r="R41" s="3512">
        <f>E41</f>
        <v>0</v>
      </c>
      <c r="S41" s="3512"/>
      <c r="T41" s="3512">
        <f>G41</f>
        <v>0</v>
      </c>
      <c r="U41" s="3512"/>
      <c r="V41" s="3512">
        <f>I41</f>
        <v>0</v>
      </c>
      <c r="W41" s="3512"/>
      <c r="X41" s="1556"/>
      <c r="Y41" s="1578"/>
      <c r="Z41" s="1556"/>
      <c r="AA41" s="1556"/>
      <c r="AB41" s="1556"/>
      <c r="AC41" s="1556"/>
    </row>
    <row r="42" spans="1:29" ht="15" thickBot="1">
      <c r="A42" s="614" t="s">
        <v>2758</v>
      </c>
      <c r="B42" s="887"/>
      <c r="C42" s="2654" t="e">
        <f>R43</f>
        <v>#DIV/0!</v>
      </c>
      <c r="D42" s="2655"/>
      <c r="E42" s="2656" t="e">
        <f>R42</f>
        <v>#DIV/0!</v>
      </c>
      <c r="F42" s="2656"/>
      <c r="G42" s="2654" t="e">
        <f>T42</f>
        <v>#DIV/0!</v>
      </c>
      <c r="H42" s="2655"/>
      <c r="I42" s="2656" t="e">
        <f>V42</f>
        <v>#DIV/0!</v>
      </c>
      <c r="J42" s="2655"/>
      <c r="K42" s="1609"/>
      <c r="L42" s="2141"/>
      <c r="M42" s="2142"/>
      <c r="N42" s="2131"/>
      <c r="O42" s="2142"/>
      <c r="P42" s="3388" t="str">
        <f>A42</f>
        <v>比较价格（元/平方米）</v>
      </c>
      <c r="Q42" s="3388"/>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1556"/>
      <c r="Y42" s="1556"/>
      <c r="Z42" s="1556"/>
      <c r="AA42" s="1556"/>
      <c r="AB42" s="1556"/>
      <c r="AC42" s="1556"/>
    </row>
    <row r="43" spans="1:29" ht="15" thickBot="1">
      <c r="A43" s="620" t="s">
        <v>2931</v>
      </c>
      <c r="B43" s="621"/>
      <c r="C43" s="2657" t="e">
        <f>R43</f>
        <v>#DIV/0!</v>
      </c>
      <c r="D43" s="2657"/>
      <c r="E43" s="2657"/>
      <c r="F43" s="2657"/>
      <c r="G43" s="2657"/>
      <c r="H43" s="2657"/>
      <c r="I43" s="2657"/>
      <c r="J43" s="2657"/>
      <c r="K43" s="1610"/>
      <c r="L43" s="2141"/>
      <c r="M43" s="2142"/>
      <c r="N43" s="2142"/>
      <c r="O43" s="2142"/>
      <c r="P43" s="3385" t="str">
        <f>A43</f>
        <v>估价对象XX用房的比较价格（楼面单价，元/平方米）</v>
      </c>
      <c r="Q43" s="3386"/>
      <c r="R43" s="3513" t="e">
        <f>IF(F1="售价",ROUND(AVERAGE(R42:V42),0),ROUND(AVERAGE(R42:V42),1))</f>
        <v>#DIV/0!</v>
      </c>
      <c r="S43" s="3513"/>
      <c r="T43" s="3513"/>
      <c r="U43" s="3513"/>
      <c r="V43" s="3513"/>
      <c r="W43" s="3513"/>
      <c r="X43" s="1556"/>
      <c r="Y43" s="1556"/>
      <c r="Z43" s="1556"/>
      <c r="AA43" s="1556"/>
      <c r="AB43" s="1556"/>
      <c r="AC43" s="1556"/>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4" customFormat="1" ht="13.5" customHeight="1">
      <c r="A48" s="2143"/>
      <c r="B48" s="2143"/>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4"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2.2" thickBot="1">
      <c r="A51" s="1581" t="s">
        <v>573</v>
      </c>
      <c r="B51" s="1556"/>
      <c r="C51" s="1580"/>
      <c r="D51" s="1580"/>
      <c r="E51" s="1580"/>
      <c r="F51" s="1582"/>
      <c r="G51" s="1582"/>
      <c r="H51" s="1580"/>
      <c r="I51" s="1580"/>
      <c r="J51" s="1580"/>
      <c r="K51" s="1583"/>
      <c r="L51" s="1579"/>
      <c r="M51" s="1580"/>
      <c r="N51" s="1580"/>
      <c r="O51" s="1580"/>
      <c r="P51" s="2154"/>
      <c r="Q51" s="2155"/>
      <c r="R51" s="2142"/>
      <c r="S51" s="2142"/>
      <c r="T51" s="2142"/>
      <c r="U51" s="2142"/>
      <c r="V51" s="2142"/>
      <c r="W51" s="2142"/>
      <c r="X51" s="2142"/>
      <c r="Y51" s="2142"/>
      <c r="Z51" s="2142"/>
      <c r="AA51" s="2142"/>
      <c r="AB51" s="2142"/>
      <c r="AC51" s="2142"/>
    </row>
    <row r="52" spans="1:29" s="1346" customFormat="1" ht="14.4">
      <c r="A52" s="644" t="s">
        <v>528</v>
      </c>
      <c r="B52" s="645"/>
      <c r="C52" s="2823" t="str">
        <f>YEAR(C7)&amp;"-"&amp;MONTH(C7)</f>
        <v>2019-2</v>
      </c>
      <c r="D52" s="2825">
        <f>EDATE(C52,-1)</f>
        <v>43466</v>
      </c>
      <c r="E52" s="2825">
        <f t="shared" ref="E52:O52" si="16">EDATE(D52,-1)</f>
        <v>43435</v>
      </c>
      <c r="F52" s="2825">
        <f t="shared" si="16"/>
        <v>43405</v>
      </c>
      <c r="G52" s="2825">
        <f t="shared" si="16"/>
        <v>43374</v>
      </c>
      <c r="H52" s="2825">
        <f t="shared" si="16"/>
        <v>43344</v>
      </c>
      <c r="I52" s="2825">
        <f t="shared" si="16"/>
        <v>43313</v>
      </c>
      <c r="J52" s="2825">
        <f t="shared" si="16"/>
        <v>43282</v>
      </c>
      <c r="K52" s="2825">
        <f t="shared" si="16"/>
        <v>43252</v>
      </c>
      <c r="L52" s="2825">
        <f t="shared" si="16"/>
        <v>43221</v>
      </c>
      <c r="M52" s="2825">
        <f t="shared" si="16"/>
        <v>43191</v>
      </c>
      <c r="N52" s="2825">
        <f t="shared" si="16"/>
        <v>43160</v>
      </c>
      <c r="O52" s="2825">
        <f t="shared" si="16"/>
        <v>43132</v>
      </c>
      <c r="P52" s="2157"/>
      <c r="Q52" s="2158"/>
      <c r="R52" s="2158"/>
      <c r="S52" s="2158"/>
      <c r="T52" s="2158"/>
      <c r="U52" s="2158"/>
      <c r="V52" s="2158"/>
      <c r="W52" s="2158"/>
      <c r="X52" s="2158"/>
      <c r="Y52" s="2158"/>
      <c r="Z52" s="2158"/>
      <c r="AA52" s="2158"/>
      <c r="AB52" s="2158"/>
      <c r="AC52" s="2158"/>
    </row>
    <row r="53" spans="1:29" s="1219" customFormat="1">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9" customFormat="1" ht="15" thickBot="1">
      <c r="A54" s="652" t="s">
        <v>574</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9" customFormat="1" ht="14.4">
      <c r="A55" s="658" t="s">
        <v>530</v>
      </c>
      <c r="B55" s="647"/>
      <c r="C55" s="659" t="s">
        <v>575</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9" customFormat="1" ht="14.4"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ht="14.4">
      <c r="A57" s="663" t="s">
        <v>576</v>
      </c>
      <c r="B57" s="664" t="s">
        <v>533</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9.4" thickTop="1">
      <c r="A59" s="668"/>
      <c r="B59" s="672" t="s">
        <v>536</v>
      </c>
      <c r="C59" s="673" t="s">
        <v>736</v>
      </c>
      <c r="D59" s="673" t="s">
        <v>737</v>
      </c>
      <c r="E59" s="673" t="s">
        <v>738</v>
      </c>
      <c r="F59" s="673" t="s">
        <v>739</v>
      </c>
      <c r="G59" s="673" t="s">
        <v>740</v>
      </c>
      <c r="H59" s="673" t="s">
        <v>741</v>
      </c>
      <c r="I59" s="673" t="s">
        <v>742</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8" customFormat="1" ht="14.4"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8" customFormat="1" ht="14.4"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8" customFormat="1" ht="14.4"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8" customFormat="1" ht="14.4"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8" customFormat="1" ht="14.4"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8" customFormat="1" ht="14.4"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ht="14.4">
      <c r="A70" s="663" t="s">
        <v>538</v>
      </c>
      <c r="B70" s="664" t="s">
        <v>584</v>
      </c>
      <c r="C70" s="702" t="s">
        <v>578</v>
      </c>
      <c r="D70" s="702" t="s">
        <v>579</v>
      </c>
      <c r="E70" s="702" t="s">
        <v>580</v>
      </c>
      <c r="F70" s="702" t="s">
        <v>581</v>
      </c>
      <c r="G70" s="702" t="s">
        <v>582</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 thickTop="1">
      <c r="A72" s="668"/>
      <c r="B72" s="672" t="s">
        <v>585</v>
      </c>
      <c r="C72" s="707" t="s">
        <v>578</v>
      </c>
      <c r="D72" s="707" t="s">
        <v>579</v>
      </c>
      <c r="E72" s="707" t="s">
        <v>580</v>
      </c>
      <c r="F72" s="707" t="s">
        <v>581</v>
      </c>
      <c r="G72" s="707" t="s">
        <v>582</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 thickTop="1">
      <c r="A74" s="668"/>
      <c r="B74" s="1893" t="s">
        <v>2556</v>
      </c>
      <c r="C74" s="707" t="s">
        <v>578</v>
      </c>
      <c r="D74" s="707" t="s">
        <v>579</v>
      </c>
      <c r="E74" s="707" t="s">
        <v>580</v>
      </c>
      <c r="F74" s="707" t="s">
        <v>581</v>
      </c>
      <c r="G74" s="707" t="s">
        <v>582</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2618" t="s">
        <v>2557</v>
      </c>
      <c r="C76" s="2619" t="s">
        <v>2558</v>
      </c>
      <c r="D76" s="2619" t="s">
        <v>2559</v>
      </c>
      <c r="E76" s="2619" t="s">
        <v>2560</v>
      </c>
      <c r="F76" s="2619" t="s">
        <v>2561</v>
      </c>
      <c r="G76" s="2619" t="s">
        <v>2562</v>
      </c>
      <c r="H76" s="934"/>
      <c r="I76" s="934"/>
      <c r="J76" s="934"/>
      <c r="K76" s="934"/>
      <c r="L76" s="934"/>
      <c r="M76" s="558"/>
      <c r="N76" s="2163"/>
      <c r="O76" s="2163"/>
      <c r="P76" s="2162"/>
      <c r="Q76" s="2155"/>
      <c r="R76" s="2142"/>
      <c r="S76" s="2142"/>
      <c r="T76" s="2142"/>
      <c r="U76" s="2142"/>
      <c r="V76" s="2142"/>
      <c r="W76" s="2142"/>
      <c r="X76" s="2142"/>
      <c r="Y76" s="2142"/>
      <c r="Z76" s="2142"/>
      <c r="AA76" s="2142"/>
      <c r="AB76" s="2142"/>
      <c r="AC76" s="2142"/>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783</v>
      </c>
      <c r="C78" s="707" t="s">
        <v>578</v>
      </c>
      <c r="D78" s="707" t="s">
        <v>579</v>
      </c>
      <c r="E78" s="707" t="s">
        <v>580</v>
      </c>
      <c r="F78" s="707" t="s">
        <v>581</v>
      </c>
      <c r="G78" s="707" t="s">
        <v>582</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9" customFormat="1" ht="14.4" thickTop="1">
      <c r="A80" s="708"/>
      <c r="B80" s="672">
        <f>B25</f>
        <v>111</v>
      </c>
      <c r="C80" s="687"/>
      <c r="D80" s="687"/>
      <c r="E80" s="687"/>
      <c r="F80" s="687"/>
      <c r="G80" s="687"/>
      <c r="H80" s="687"/>
      <c r="I80" s="687"/>
      <c r="J80" s="687"/>
      <c r="K80" s="687"/>
      <c r="L80" s="889"/>
      <c r="M80" s="890"/>
      <c r="N80" s="2159"/>
      <c r="O80" s="2159"/>
      <c r="P80" s="2162"/>
      <c r="Q80" s="2155"/>
      <c r="R80" s="1990"/>
      <c r="S80" s="1990"/>
      <c r="T80" s="1990"/>
      <c r="U80" s="1990"/>
      <c r="V80" s="1990"/>
      <c r="W80" s="1990"/>
      <c r="X80" s="1990"/>
      <c r="Y80" s="1990"/>
      <c r="Z80" s="1990"/>
      <c r="AA80" s="1990"/>
      <c r="AB80" s="1990"/>
      <c r="AC80" s="1990"/>
    </row>
    <row r="81" spans="1:29" s="1219" customFormat="1" ht="14.4"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9" customFormat="1" ht="14.4" thickTop="1">
      <c r="A82" s="708"/>
      <c r="B82" s="672">
        <f>B26</f>
        <v>111</v>
      </c>
      <c r="C82" s="687"/>
      <c r="D82" s="687"/>
      <c r="E82" s="687"/>
      <c r="F82" s="687"/>
      <c r="G82" s="687"/>
      <c r="H82" s="687"/>
      <c r="I82" s="687"/>
      <c r="J82" s="687"/>
      <c r="K82" s="687"/>
      <c r="L82" s="889"/>
      <c r="M82" s="890"/>
      <c r="N82" s="2159"/>
      <c r="O82" s="2159"/>
      <c r="P82" s="2162"/>
      <c r="Q82" s="2155"/>
      <c r="R82" s="1990"/>
      <c r="S82" s="1990"/>
      <c r="T82" s="1990"/>
      <c r="U82" s="1990"/>
      <c r="V82" s="1990"/>
      <c r="W82" s="1990"/>
      <c r="X82" s="1990"/>
      <c r="Y82" s="1990"/>
      <c r="Z82" s="1990"/>
      <c r="AA82" s="1990"/>
      <c r="AB82" s="1990"/>
      <c r="AC82" s="1990"/>
    </row>
    <row r="83" spans="1:29" s="1219" customFormat="1" ht="14.4"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8" customFormat="1" ht="14.4" thickTop="1">
      <c r="A84" s="686"/>
      <c r="B84" s="672">
        <f>B27</f>
        <v>111</v>
      </c>
      <c r="C84" s="687"/>
      <c r="D84" s="687"/>
      <c r="E84" s="687"/>
      <c r="F84" s="687"/>
      <c r="G84" s="687"/>
      <c r="H84" s="687"/>
      <c r="I84" s="687"/>
      <c r="J84" s="687"/>
      <c r="K84" s="687"/>
      <c r="L84" s="889"/>
      <c r="M84" s="890"/>
      <c r="N84" s="2164"/>
      <c r="O84" s="2164"/>
      <c r="P84" s="2165"/>
      <c r="Q84" s="2166"/>
      <c r="R84" s="2167"/>
      <c r="S84" s="2167"/>
      <c r="T84" s="2167"/>
      <c r="U84" s="2167"/>
      <c r="V84" s="2167"/>
      <c r="W84" s="2167"/>
      <c r="X84" s="2167"/>
      <c r="Y84" s="2167"/>
      <c r="Z84" s="2167"/>
      <c r="AA84" s="2167"/>
      <c r="AB84" s="2167"/>
      <c r="AC84" s="2167"/>
    </row>
    <row r="85" spans="1:29" s="1338" customFormat="1" ht="14.4"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4.4"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4.4" thickBot="1">
      <c r="A87" s="892"/>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ht="14.4">
      <c r="A88" s="663" t="s">
        <v>550</v>
      </c>
      <c r="B88" s="664" t="s">
        <v>746</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8"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4.4"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748</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750</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3">
        <v>0.5</v>
      </c>
      <c r="D98" s="893">
        <v>0.6</v>
      </c>
      <c r="E98" s="893">
        <v>0.7</v>
      </c>
      <c r="F98" s="893">
        <v>0.8</v>
      </c>
      <c r="G98" s="893">
        <v>0.9</v>
      </c>
      <c r="H98" s="893">
        <v>1.0001</v>
      </c>
      <c r="I98" s="904"/>
      <c r="J98" s="904"/>
      <c r="K98" s="905"/>
      <c r="L98" s="906"/>
      <c r="M98" s="907"/>
      <c r="N98" s="2161"/>
      <c r="O98" s="2161"/>
      <c r="P98" s="2162"/>
      <c r="Q98" s="2155"/>
      <c r="R98" s="2142"/>
      <c r="S98" s="2142"/>
      <c r="T98" s="2142"/>
      <c r="U98" s="2142"/>
      <c r="V98" s="2142"/>
      <c r="W98" s="2142"/>
      <c r="X98" s="2142"/>
      <c r="Y98" s="2142"/>
      <c r="Z98" s="2142"/>
      <c r="AA98" s="2142"/>
      <c r="AB98" s="2142"/>
      <c r="AC98" s="2142"/>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8" customFormat="1" ht="15" thickTop="1">
      <c r="A100" s="727"/>
      <c r="B100" s="672" t="s">
        <v>752</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8"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2555</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754</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9.4" thickTop="1">
      <c r="A106" s="734"/>
      <c r="B106" s="916" t="s">
        <v>790</v>
      </c>
      <c r="C106" s="707" t="s">
        <v>578</v>
      </c>
      <c r="D106" s="707" t="s">
        <v>579</v>
      </c>
      <c r="E106" s="707" t="s">
        <v>580</v>
      </c>
      <c r="F106" s="707" t="s">
        <v>581</v>
      </c>
      <c r="G106" s="707" t="s">
        <v>582</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8" customFormat="1" ht="14.4"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8" customFormat="1" ht="14.4"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4.4"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4.4"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892"/>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1904</v>
      </c>
    </row>
    <row r="2" spans="1:4">
      <c r="A2" s="1776"/>
    </row>
    <row r="3" spans="1:4" ht="17.399999999999999">
      <c r="A3" s="1794" t="str">
        <f>项目基本情况!B5&amp;"："</f>
        <v>中诚信托有限责任公司：</v>
      </c>
    </row>
    <row r="4" spans="1:4" ht="34.799999999999997">
      <c r="A4" s="1788" t="str">
        <f>"受贵公司委托，我公司对"&amp;项目基本情况!K2&amp;项目基本情况!B9&amp;"进行了预评估。"</f>
        <v>受贵公司委托，我公司对陕西省西安市新城区“东方宸院”项目出让国有建设用地使用权市场价格进行了预评估。</v>
      </c>
    </row>
    <row r="5" spans="1:4" ht="17.399999999999999">
      <c r="A5" s="1791" t="s">
        <v>1905</v>
      </c>
    </row>
    <row r="6" spans="1:4" ht="87">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西安融创胤达置业有限公司使用的、位于陕西省西安市新城区“东方宸院”项目出让国有建设用地使用权。根据《国有土地使用证》[]，估价对象（分摊）出让国有建设用地使用权面积为65565平方米。根据《建设工程规划许可证》[]、《出让合同》[]，估价对象规划建筑面积为237470平方米。</v>
      </c>
    </row>
    <row r="7" spans="1:4" ht="87">
      <c r="A7" s="2894" t="s">
        <v>2746</v>
      </c>
    </row>
    <row r="8" spans="1:4" ht="17.399999999999999">
      <c r="A8" s="1791" t="s">
        <v>1906</v>
      </c>
    </row>
    <row r="9" spans="1:4" ht="34.799999999999997">
      <c r="A9" s="1793"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4" t="s">
        <v>2027</v>
      </c>
    </row>
    <row r="11" spans="1:4" ht="17.399999999999999">
      <c r="A11" s="1777" t="str">
        <f>TEXT(项目基本情况!D3,"yyyy年m月d日;;")&amp;IF(项目基本情况!B3=项目基本情况!D3,"（评估专业人员勘察现场之日）","")</f>
        <v>2019年2月11日（评估专业人员勘察现场之日）</v>
      </c>
    </row>
    <row r="12" spans="1:4" ht="17.399999999999999">
      <c r="A12" s="1794" t="s">
        <v>2026</v>
      </c>
    </row>
    <row r="13" spans="1:4" ht="17.399999999999999">
      <c r="A13" s="1788" t="s">
        <v>2072</v>
      </c>
    </row>
    <row r="14" spans="1:4" ht="17.399999999999999">
      <c r="A14" s="1788" t="str">
        <f>"根据"&amp;项目基本情况!F12&amp;"，本次评估估价对象证载（地类）用途为"&amp;项目基本情况!B12&amp;"。"</f>
        <v>根据《国有土地使用证》[]，本次评估估价对象证载（地类）用途为。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7.399999999999999">
      <c r="A16" s="1788" t="s">
        <v>2073</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2.2">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8" t="s">
        <v>2074</v>
      </c>
    </row>
    <row r="20" spans="1:1" ht="52.2">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根据《国有土地使用证》[]，估价对象（分摊）出让国有建设用地使用权面积为65565平方米。根据《建设工程规划许可证》[]、《出让合同》[]，估价对象规划建筑面积为237470平方米。</v>
      </c>
    </row>
    <row r="21" spans="1:1" ht="87">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8" t="s">
        <v>2075</v>
      </c>
    </row>
    <row r="23" spans="1:1" ht="17.399999999999999">
      <c r="A23" s="2896" t="s">
        <v>2747</v>
      </c>
    </row>
    <row r="24" spans="1:1" ht="17.399999999999999">
      <c r="A24" s="1788" t="s">
        <v>2076</v>
      </c>
    </row>
    <row r="25" spans="1:1" ht="87">
      <c r="A25" s="1788" t="str">
        <f>定义!C53</f>
        <v>本次估价的“出让国有建设用地使用权价格”是指在估价对象土地所有权为国家所有，使用权性质为出让，在公开市场条件下、于估价期日2019年2月11日，在规划利用条件下、设定土地开发程度为红线外“七通”、宗地内场地，设定用途为住宅，剩余土地使用年限为的出让国有建设用地使用权价格。</v>
      </c>
    </row>
    <row r="26" spans="1:1" ht="52.2">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7.399999999999999">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7.399999999999999">
      <c r="A28" s="1788" t="str">
        <f>IF(项目基本情况!E9="——","",定义!C57)</f>
        <v/>
      </c>
    </row>
    <row r="29" spans="1:1" ht="17.399999999999999">
      <c r="A29" s="1794" t="s">
        <v>2028</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922"/>
      <c r="C1" s="504" t="s">
        <v>791</v>
      </c>
      <c r="D1" s="848"/>
      <c r="E1" s="506"/>
      <c r="F1" s="2828"/>
      <c r="G1" s="1598" t="s">
        <v>792</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793</v>
      </c>
      <c r="B2" s="849" t="e">
        <f>IF(B37="元/平方米",ROUND(B3*D3/10000,0),ROUND(F3*C39/10000,0))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794</v>
      </c>
      <c r="B3" s="510" t="e">
        <f>IF(B37="元/平方米",C39,ROUND(B2*10000/D3,0))</f>
        <v>#DIV/0!</v>
      </c>
      <c r="C3" s="851" t="s">
        <v>795</v>
      </c>
      <c r="D3" s="850">
        <f>SUMIF('数据-汇总表'!$C19:$C33,D1,'数据-汇总表'!$E19:$E33)</f>
        <v>0</v>
      </c>
      <c r="E3" s="1845" t="s">
        <v>2077</v>
      </c>
      <c r="F3" s="850">
        <f>SUMIF('数据-取费表'!A5:A15,D1,'数据-取费表'!AH5:AH15)</f>
        <v>0</v>
      </c>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4.4">
      <c r="A4" s="512" t="s">
        <v>796</v>
      </c>
      <c r="B4" s="513"/>
      <c r="C4" s="3394" t="s">
        <v>797</v>
      </c>
      <c r="D4" s="3395"/>
      <c r="E4" s="3394" t="s">
        <v>798</v>
      </c>
      <c r="F4" s="3395"/>
      <c r="G4" s="3394" t="s">
        <v>799</v>
      </c>
      <c r="H4" s="3395"/>
      <c r="I4" s="3394" t="s">
        <v>800</v>
      </c>
      <c r="J4" s="3395"/>
      <c r="K4" s="514" t="s">
        <v>801</v>
      </c>
      <c r="L4" s="2130"/>
      <c r="M4" s="2131"/>
      <c r="N4" s="2131"/>
      <c r="O4" s="2131"/>
      <c r="P4" s="3396" t="s">
        <v>802</v>
      </c>
      <c r="Q4" s="3397"/>
      <c r="R4" s="3402" t="s">
        <v>798</v>
      </c>
      <c r="S4" s="3403"/>
      <c r="T4" s="3402" t="s">
        <v>799</v>
      </c>
      <c r="U4" s="3403"/>
      <c r="V4" s="3389" t="s">
        <v>800</v>
      </c>
      <c r="W4" s="3389"/>
      <c r="X4" s="1564"/>
      <c r="Y4" s="3402" t="s">
        <v>802</v>
      </c>
      <c r="Z4" s="3403"/>
      <c r="AA4" s="3391" t="s">
        <v>798</v>
      </c>
      <c r="AB4" s="3392" t="s">
        <v>799</v>
      </c>
      <c r="AC4" s="3391" t="s">
        <v>800</v>
      </c>
    </row>
    <row r="5" spans="1:29">
      <c r="A5" s="515"/>
      <c r="B5" s="516"/>
      <c r="C5" s="3428" t="s">
        <v>2925</v>
      </c>
      <c r="D5" s="3429"/>
      <c r="E5" s="3428" t="s">
        <v>2926</v>
      </c>
      <c r="F5" s="3429"/>
      <c r="G5" s="3428" t="s">
        <v>2927</v>
      </c>
      <c r="H5" s="3429"/>
      <c r="I5" s="3428" t="s">
        <v>2928</v>
      </c>
      <c r="J5" s="3429"/>
      <c r="K5" s="514"/>
      <c r="L5" s="2130"/>
      <c r="M5" s="2131"/>
      <c r="N5" s="2131"/>
      <c r="O5" s="2131"/>
      <c r="P5" s="3398"/>
      <c r="Q5" s="3399"/>
      <c r="R5" s="3404"/>
      <c r="S5" s="3405"/>
      <c r="T5" s="3404"/>
      <c r="U5" s="3405"/>
      <c r="V5" s="3389"/>
      <c r="W5" s="3389"/>
      <c r="X5" s="1564"/>
      <c r="Y5" s="3404"/>
      <c r="Z5" s="3405"/>
      <c r="AA5" s="3392"/>
      <c r="AB5" s="3392"/>
      <c r="AC5" s="3392"/>
    </row>
    <row r="6" spans="1:29" ht="15" thickBot="1">
      <c r="A6" s="517"/>
      <c r="B6" s="518"/>
      <c r="C6" s="3430" t="s">
        <v>2929</v>
      </c>
      <c r="D6" s="3431"/>
      <c r="E6" s="3518" t="s">
        <v>2929</v>
      </c>
      <c r="F6" s="3519"/>
      <c r="G6" s="3430" t="s">
        <v>2929</v>
      </c>
      <c r="H6" s="3431"/>
      <c r="I6" s="3430" t="s">
        <v>2929</v>
      </c>
      <c r="J6" s="3431"/>
      <c r="K6" s="514" t="s">
        <v>527</v>
      </c>
      <c r="L6" s="2130"/>
      <c r="M6" s="2131"/>
      <c r="N6" s="2131"/>
      <c r="O6" s="2131"/>
      <c r="P6" s="3400"/>
      <c r="Q6" s="3401"/>
      <c r="R6" s="3404"/>
      <c r="S6" s="3405"/>
      <c r="T6" s="3406"/>
      <c r="U6" s="3407"/>
      <c r="V6" s="3389"/>
      <c r="W6" s="3389"/>
      <c r="X6" s="1564"/>
      <c r="Y6" s="3406"/>
      <c r="Z6" s="3407"/>
      <c r="AA6" s="3393"/>
      <c r="AB6" s="3393"/>
      <c r="AC6" s="3393"/>
    </row>
    <row r="7" spans="1:29" s="1219" customFormat="1" ht="15" thickBot="1">
      <c r="A7" s="2933"/>
      <c r="B7" s="2940" t="s">
        <v>528</v>
      </c>
      <c r="C7" s="519">
        <f>'数据-取费表'!B2</f>
        <v>43507</v>
      </c>
      <c r="D7" s="520">
        <v>100</v>
      </c>
      <c r="E7" s="521"/>
      <c r="F7" s="522">
        <f>SUMIF(48:48,YEAR(E7)&amp;"-"&amp;MONTH(E7),49:49)</f>
        <v>0</v>
      </c>
      <c r="G7" s="523"/>
      <c r="H7" s="520">
        <f>SUMIF(48:48,YEAR(G7)&amp;"-"&amp;MONTH(G7),49:49)</f>
        <v>0</v>
      </c>
      <c r="I7" s="523"/>
      <c r="J7" s="520">
        <f>SUMIF(48:48,YEAR(I7)&amp;"-"&amp;MONTH(I7),49:49)</f>
        <v>0</v>
      </c>
      <c r="K7" s="524"/>
      <c r="L7" s="2132"/>
      <c r="M7" s="2133"/>
      <c r="N7" s="2133"/>
      <c r="O7" s="2133"/>
      <c r="P7" s="3421" t="s">
        <v>529</v>
      </c>
      <c r="Q7" s="3423"/>
      <c r="R7" s="1565" t="s">
        <v>8</v>
      </c>
      <c r="S7" s="1566">
        <f t="shared" ref="S7:S14" si="0">F7</f>
        <v>0</v>
      </c>
      <c r="T7" s="1565" t="s">
        <v>8</v>
      </c>
      <c r="U7" s="1566">
        <f t="shared" ref="U7:U14" si="1">H7</f>
        <v>0</v>
      </c>
      <c r="V7" s="1565" t="s">
        <v>8</v>
      </c>
      <c r="W7" s="1566">
        <f t="shared" ref="W7:W14" si="2">J7</f>
        <v>0</v>
      </c>
      <c r="X7" s="1567"/>
      <c r="Y7" s="3421" t="s">
        <v>529</v>
      </c>
      <c r="Z7" s="3422"/>
      <c r="AA7" s="1568" t="e">
        <f>D7/F7</f>
        <v>#DIV/0!</v>
      </c>
      <c r="AB7" s="1568" t="e">
        <f>D7/H7</f>
        <v>#DIV/0!</v>
      </c>
      <c r="AC7" s="1568" t="e">
        <f>D7/J7</f>
        <v>#DIV/0!</v>
      </c>
    </row>
    <row r="8" spans="1:29" s="1219" customFormat="1" ht="15" thickBot="1">
      <c r="A8" s="2934"/>
      <c r="B8" s="2941" t="s">
        <v>530</v>
      </c>
      <c r="C8" s="525" t="s">
        <v>575</v>
      </c>
      <c r="D8" s="520">
        <v>100</v>
      </c>
      <c r="E8" s="525"/>
      <c r="F8" s="522">
        <f>SUMIF(51:51,E8,52:52)-SUMIF(51:51,C8,52:52)+100</f>
        <v>0</v>
      </c>
      <c r="G8" s="525"/>
      <c r="H8" s="520">
        <f>SUMIF(51:51,G8,52:52)-SUMIF(51:51,C8,52:52)+100</f>
        <v>0</v>
      </c>
      <c r="I8" s="525"/>
      <c r="J8" s="520">
        <f>SUMIF(51:51,I8,52:52)-SUMIF(51:51,C8,52:52)+100</f>
        <v>0</v>
      </c>
      <c r="K8" s="524"/>
      <c r="L8" s="2132"/>
      <c r="M8" s="2133"/>
      <c r="N8" s="2133"/>
      <c r="O8" s="2133"/>
      <c r="P8" s="3421" t="s">
        <v>532</v>
      </c>
      <c r="Q8" s="3422"/>
      <c r="R8" s="1565" t="s">
        <v>8</v>
      </c>
      <c r="S8" s="1566">
        <f t="shared" si="0"/>
        <v>0</v>
      </c>
      <c r="T8" s="1565" t="s">
        <v>8</v>
      </c>
      <c r="U8" s="1566">
        <f t="shared" si="1"/>
        <v>0</v>
      </c>
      <c r="V8" s="1565" t="s">
        <v>8</v>
      </c>
      <c r="W8" s="1566">
        <f t="shared" si="2"/>
        <v>0</v>
      </c>
      <c r="X8" s="1567"/>
      <c r="Y8" s="3421" t="s">
        <v>532</v>
      </c>
      <c r="Z8" s="3422"/>
      <c r="AA8" s="1568" t="e">
        <f t="shared" ref="AA8:AA36" si="3">D8/F8</f>
        <v>#DIV/0!</v>
      </c>
      <c r="AB8" s="1568" t="e">
        <f t="shared" ref="AB8:AB36" si="4">D8/H8</f>
        <v>#DIV/0!</v>
      </c>
      <c r="AC8" s="1568" t="e">
        <f t="shared" ref="AC8:AC36" si="5">D8/J8</f>
        <v>#DIV/0!</v>
      </c>
    </row>
    <row r="9" spans="1:29" s="1219" customFormat="1" ht="14.4">
      <c r="A9" s="2935"/>
      <c r="B9" s="2942" t="s">
        <v>2754</v>
      </c>
      <c r="C9" s="856"/>
      <c r="D9" s="254">
        <v>100</v>
      </c>
      <c r="E9" s="859"/>
      <c r="F9" s="254">
        <f>SUMIF(53:53,E9,54:54)-SUMIF(53:53,C9,54:54)+100</f>
        <v>100</v>
      </c>
      <c r="G9" s="857"/>
      <c r="H9" s="254">
        <f>SUMIF(53:53,G9,54:54)-SUMIF(53:53,C9,54:54)+100</f>
        <v>100</v>
      </c>
      <c r="I9" s="857"/>
      <c r="J9" s="254">
        <f>SUMIF(53:53,I9,54:54)-SUMIF(53:53,C9,54:54)+100</f>
        <v>100</v>
      </c>
      <c r="K9" s="524"/>
      <c r="L9" s="2132"/>
      <c r="M9" s="2133"/>
      <c r="N9" s="2133"/>
      <c r="O9" s="2134"/>
      <c r="P9" s="3388" t="s">
        <v>534</v>
      </c>
      <c r="Q9" s="1150" t="str">
        <f t="shared" ref="Q9:Q14" si="6">B9</f>
        <v>用途</v>
      </c>
      <c r="R9" s="1565" t="s">
        <v>8</v>
      </c>
      <c r="S9" s="1566">
        <f t="shared" si="0"/>
        <v>100</v>
      </c>
      <c r="T9" s="1565" t="s">
        <v>8</v>
      </c>
      <c r="U9" s="1566">
        <f t="shared" si="1"/>
        <v>100</v>
      </c>
      <c r="V9" s="1565" t="s">
        <v>8</v>
      </c>
      <c r="W9" s="1566">
        <f t="shared" si="2"/>
        <v>100</v>
      </c>
      <c r="X9" s="1567"/>
      <c r="Y9" s="3334" t="s">
        <v>535</v>
      </c>
      <c r="Z9" s="1149" t="str">
        <f t="shared" ref="Z9:Z14" si="7">Q9</f>
        <v>用途</v>
      </c>
      <c r="AA9" s="1568">
        <f t="shared" si="3"/>
        <v>1</v>
      </c>
      <c r="AB9" s="1568">
        <f t="shared" si="4"/>
        <v>1</v>
      </c>
      <c r="AC9" s="1568">
        <f t="shared" si="5"/>
        <v>1</v>
      </c>
    </row>
    <row r="10" spans="1:29" s="1337" customFormat="1" ht="28.8">
      <c r="A10" s="2936"/>
      <c r="B10" s="2941" t="s">
        <v>2755</v>
      </c>
      <c r="C10" s="860"/>
      <c r="D10" s="255">
        <v>100</v>
      </c>
      <c r="E10" s="860"/>
      <c r="F10" s="255">
        <f>SUMIF(55:55,E10,56:56)-SUMIF(55:55,C10,56:56)+100</f>
        <v>100</v>
      </c>
      <c r="G10" s="861"/>
      <c r="H10" s="255">
        <f>SUMIF(55:55,G10,56:56)-SUMIF(55:55,C10,56:56)+100</f>
        <v>100</v>
      </c>
      <c r="I10" s="860"/>
      <c r="J10" s="255">
        <f>SUMIF(55:55,I10,56:56)-SUMIF(55:55,C10,56:56)+100</f>
        <v>100</v>
      </c>
      <c r="K10" s="583"/>
      <c r="L10" s="2135"/>
      <c r="M10" s="2175"/>
      <c r="N10" s="2175"/>
      <c r="O10" s="2136"/>
      <c r="P10" s="3388"/>
      <c r="Q10" s="1150" t="str">
        <f t="shared" si="6"/>
        <v>土地使用年限（年）</v>
      </c>
      <c r="R10" s="1565" t="s">
        <v>8</v>
      </c>
      <c r="S10" s="1566">
        <f t="shared" si="0"/>
        <v>100</v>
      </c>
      <c r="T10" s="1565" t="s">
        <v>8</v>
      </c>
      <c r="U10" s="1566">
        <f t="shared" si="1"/>
        <v>100</v>
      </c>
      <c r="V10" s="1565" t="s">
        <v>8</v>
      </c>
      <c r="W10" s="1566">
        <f t="shared" si="2"/>
        <v>100</v>
      </c>
      <c r="X10" s="1567"/>
      <c r="Y10" s="3334"/>
      <c r="Z10" s="1149" t="str">
        <f t="shared" si="7"/>
        <v>土地使用年限（年）</v>
      </c>
      <c r="AA10" s="1568">
        <f t="shared" si="3"/>
        <v>1</v>
      </c>
      <c r="AB10" s="1568">
        <f t="shared" si="4"/>
        <v>1</v>
      </c>
      <c r="AC10" s="1568">
        <f t="shared" si="5"/>
        <v>1</v>
      </c>
    </row>
    <row r="11" spans="1:29" ht="15">
      <c r="A11" s="2938"/>
      <c r="B11" s="2944">
        <v>111</v>
      </c>
      <c r="C11" s="528"/>
      <c r="D11" s="255">
        <v>100</v>
      </c>
      <c r="E11" s="528"/>
      <c r="F11" s="255">
        <f>SUMIF(57:57,E11,58:58)-SUMIF(57:57,C11,58:58)+100</f>
        <v>100</v>
      </c>
      <c r="G11" s="528"/>
      <c r="H11" s="255">
        <f>SUMIF(57:57,G11,58:58)-SUMIF(57:57,C11,58:58)+100</f>
        <v>100</v>
      </c>
      <c r="I11" s="528"/>
      <c r="J11" s="255">
        <f>SUMIF(57:57,I11,58:58)-SUMIF(57:57,C11,58:58)+100</f>
        <v>100</v>
      </c>
      <c r="K11" s="580"/>
      <c r="L11" s="2137"/>
      <c r="M11" s="2131"/>
      <c r="N11" s="2131"/>
      <c r="O11" s="2138"/>
      <c r="P11" s="3388"/>
      <c r="Q11" s="1150">
        <f t="shared" si="6"/>
        <v>111</v>
      </c>
      <c r="R11" s="1565" t="s">
        <v>8</v>
      </c>
      <c r="S11" s="1566">
        <f t="shared" si="0"/>
        <v>100</v>
      </c>
      <c r="T11" s="1565" t="s">
        <v>8</v>
      </c>
      <c r="U11" s="1566">
        <f t="shared" si="1"/>
        <v>100</v>
      </c>
      <c r="V11" s="1565" t="s">
        <v>8</v>
      </c>
      <c r="W11" s="1566">
        <f t="shared" si="2"/>
        <v>100</v>
      </c>
      <c r="X11" s="1567"/>
      <c r="Y11" s="3334"/>
      <c r="Z11" s="1149">
        <f t="shared" si="7"/>
        <v>111</v>
      </c>
      <c r="AA11" s="1568">
        <f t="shared" si="3"/>
        <v>1</v>
      </c>
      <c r="AB11" s="1568">
        <f t="shared" si="4"/>
        <v>1</v>
      </c>
      <c r="AC11" s="1568">
        <f t="shared" si="5"/>
        <v>1</v>
      </c>
    </row>
    <row r="12" spans="1:29" s="1219" customFormat="1" ht="15">
      <c r="A12" s="2938"/>
      <c r="B12" s="2944">
        <v>111</v>
      </c>
      <c r="C12" s="528"/>
      <c r="D12" s="537">
        <v>100</v>
      </c>
      <c r="E12" s="528"/>
      <c r="F12" s="255">
        <f>SUMIF(59:59,E12,60:60)-SUMIF(59:59,C12,60:60)+100</f>
        <v>100</v>
      </c>
      <c r="G12" s="528"/>
      <c r="H12" s="255">
        <f>SUMIF(59:59,G12,60:60)-SUMIF(59:59,C12,60:60)+100</f>
        <v>100</v>
      </c>
      <c r="I12" s="528"/>
      <c r="J12" s="255">
        <f>SUMIF(59:59,I12,60:60)-SUMIF(59:59,C12,60:60)+100</f>
        <v>100</v>
      </c>
      <c r="K12" s="580"/>
      <c r="L12" s="2132"/>
      <c r="M12" s="2133"/>
      <c r="N12" s="2133"/>
      <c r="O12" s="2134"/>
      <c r="P12" s="3388"/>
      <c r="Q12" s="1150">
        <f t="shared" si="6"/>
        <v>111</v>
      </c>
      <c r="R12" s="1565" t="s">
        <v>8</v>
      </c>
      <c r="S12" s="1566">
        <f t="shared" si="0"/>
        <v>100</v>
      </c>
      <c r="T12" s="1565" t="s">
        <v>8</v>
      </c>
      <c r="U12" s="1566">
        <f t="shared" si="1"/>
        <v>100</v>
      </c>
      <c r="V12" s="1565" t="s">
        <v>8</v>
      </c>
      <c r="W12" s="1566">
        <f t="shared" si="2"/>
        <v>100</v>
      </c>
      <c r="X12" s="1567"/>
      <c r="Y12" s="3334"/>
      <c r="Z12" s="1149">
        <f t="shared" si="7"/>
        <v>111</v>
      </c>
      <c r="AA12" s="1568">
        <f>D12/F12</f>
        <v>1</v>
      </c>
      <c r="AB12" s="1568">
        <f>D12/H12</f>
        <v>1</v>
      </c>
      <c r="AC12" s="1568">
        <f>D12/J12</f>
        <v>1</v>
      </c>
    </row>
    <row r="13" spans="1:29" ht="15.6" thickBot="1">
      <c r="A13" s="2939"/>
      <c r="B13" s="2945">
        <v>111</v>
      </c>
      <c r="C13" s="538"/>
      <c r="D13" s="539">
        <v>100</v>
      </c>
      <c r="E13" s="528"/>
      <c r="F13" s="255">
        <f>SUMIF(61:61,E13,62:62)-SUMIF(61:61,C13,62:62)+100</f>
        <v>100</v>
      </c>
      <c r="G13" s="528"/>
      <c r="H13" s="539">
        <f>SUMIF(61:61,G13,62:62)-SUMIF(61:61,C13,62:62)+100</f>
        <v>100</v>
      </c>
      <c r="I13" s="528"/>
      <c r="J13" s="539">
        <f>SUMIF(61:61,I13,62:62)-SUMIF(61:61,C13,62:62)+100</f>
        <v>100</v>
      </c>
      <c r="K13" s="580"/>
      <c r="L13" s="2139"/>
      <c r="M13" s="2131"/>
      <c r="N13" s="2131"/>
      <c r="O13" s="2138"/>
      <c r="P13" s="3388"/>
      <c r="Q13" s="1150">
        <f t="shared" si="6"/>
        <v>111</v>
      </c>
      <c r="R13" s="1565" t="s">
        <v>8</v>
      </c>
      <c r="S13" s="1566">
        <f t="shared" si="0"/>
        <v>100</v>
      </c>
      <c r="T13" s="1565" t="s">
        <v>8</v>
      </c>
      <c r="U13" s="1566">
        <f t="shared" si="1"/>
        <v>100</v>
      </c>
      <c r="V13" s="1565" t="s">
        <v>8</v>
      </c>
      <c r="W13" s="1566">
        <f t="shared" si="2"/>
        <v>100</v>
      </c>
      <c r="X13" s="1567"/>
      <c r="Y13" s="3334"/>
      <c r="Z13" s="1149">
        <f t="shared" si="7"/>
        <v>111</v>
      </c>
      <c r="AA13" s="1568">
        <f t="shared" si="3"/>
        <v>1</v>
      </c>
      <c r="AB13" s="1568">
        <f t="shared" si="4"/>
        <v>1</v>
      </c>
      <c r="AC13" s="1568">
        <f t="shared" si="5"/>
        <v>1</v>
      </c>
    </row>
    <row r="14" spans="1:29" ht="96.6">
      <c r="A14" s="2931" t="s">
        <v>2752</v>
      </c>
      <c r="B14" s="546" t="s">
        <v>542</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39"/>
      <c r="M14" s="2131"/>
      <c r="N14" s="2131"/>
      <c r="O14" s="2138"/>
      <c r="P14" s="3424" t="s">
        <v>539</v>
      </c>
      <c r="Q14" s="1569" t="str">
        <f t="shared" si="6"/>
        <v>交通便捷度</v>
      </c>
      <c r="R14" s="1570" t="s">
        <v>8</v>
      </c>
      <c r="S14" s="1571">
        <f t="shared" si="0"/>
        <v>100</v>
      </c>
      <c r="T14" s="1570" t="s">
        <v>8</v>
      </c>
      <c r="U14" s="1571">
        <f t="shared" si="1"/>
        <v>100</v>
      </c>
      <c r="V14" s="1570" t="s">
        <v>8</v>
      </c>
      <c r="W14" s="1571">
        <f t="shared" si="2"/>
        <v>100</v>
      </c>
      <c r="X14" s="1564"/>
      <c r="Y14" s="3424" t="s">
        <v>539</v>
      </c>
      <c r="Z14" s="1572" t="str">
        <f t="shared" si="7"/>
        <v>交通便捷度</v>
      </c>
      <c r="AA14" s="1573">
        <f t="shared" si="3"/>
        <v>1</v>
      </c>
      <c r="AB14" s="1573">
        <f t="shared" si="4"/>
        <v>1</v>
      </c>
      <c r="AC14" s="1573">
        <f t="shared" si="5"/>
        <v>1</v>
      </c>
    </row>
    <row r="15" spans="1:29" ht="15">
      <c r="A15" s="515"/>
      <c r="B15" s="923"/>
      <c r="C15" s="575"/>
      <c r="D15" s="554"/>
      <c r="E15" s="575"/>
      <c r="F15" s="556"/>
      <c r="G15" s="575"/>
      <c r="H15" s="558"/>
      <c r="I15" s="575"/>
      <c r="J15" s="554"/>
      <c r="K15" s="898"/>
      <c r="L15" s="2139"/>
      <c r="M15" s="2131"/>
      <c r="N15" s="2131"/>
      <c r="O15" s="2138"/>
      <c r="P15" s="3425"/>
      <c r="Q15" s="1569"/>
      <c r="R15" s="1570"/>
      <c r="S15" s="1571"/>
      <c r="T15" s="1570"/>
      <c r="U15" s="1571"/>
      <c r="V15" s="1570"/>
      <c r="W15" s="1571"/>
      <c r="X15" s="1564"/>
      <c r="Y15" s="3425"/>
      <c r="Z15" s="1572"/>
      <c r="AA15" s="1573">
        <v>1</v>
      </c>
      <c r="AB15" s="1573">
        <v>1</v>
      </c>
      <c r="AC15" s="1573">
        <v>1</v>
      </c>
    </row>
    <row r="16" spans="1:29" ht="41.4">
      <c r="A16" s="515"/>
      <c r="B16" s="2624"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39"/>
      <c r="M16" s="2131"/>
      <c r="N16" s="2131"/>
      <c r="O16" s="2138"/>
      <c r="P16" s="3425"/>
      <c r="Q16" s="1569" t="str">
        <f>B16</f>
        <v>公共配套设施</v>
      </c>
      <c r="R16" s="1570" t="s">
        <v>8</v>
      </c>
      <c r="S16" s="1571">
        <f>F16</f>
        <v>100</v>
      </c>
      <c r="T16" s="1570" t="s">
        <v>8</v>
      </c>
      <c r="U16" s="1571">
        <f>H16</f>
        <v>100</v>
      </c>
      <c r="V16" s="1570" t="s">
        <v>8</v>
      </c>
      <c r="W16" s="1571">
        <f>J16</f>
        <v>100</v>
      </c>
      <c r="X16" s="1564"/>
      <c r="Y16" s="3425"/>
      <c r="Z16" s="1572" t="str">
        <f>Q16</f>
        <v>公共配套设施</v>
      </c>
      <c r="AA16" s="1573">
        <f t="shared" si="3"/>
        <v>1</v>
      </c>
      <c r="AB16" s="1573">
        <f t="shared" si="4"/>
        <v>1</v>
      </c>
      <c r="AC16" s="1573">
        <f t="shared" si="5"/>
        <v>1</v>
      </c>
    </row>
    <row r="17" spans="1:29" ht="15">
      <c r="A17" s="515"/>
      <c r="B17" s="565"/>
      <c r="C17" s="872"/>
      <c r="D17" s="554"/>
      <c r="E17" s="575"/>
      <c r="F17" s="556"/>
      <c r="G17" s="575"/>
      <c r="H17" s="554"/>
      <c r="I17" s="575"/>
      <c r="J17" s="554"/>
      <c r="K17" s="898"/>
      <c r="L17" s="2139"/>
      <c r="M17" s="2131"/>
      <c r="N17" s="2131"/>
      <c r="O17" s="2138"/>
      <c r="P17" s="3425"/>
      <c r="Q17" s="1569"/>
      <c r="R17" s="1570"/>
      <c r="S17" s="1571"/>
      <c r="T17" s="1570"/>
      <c r="U17" s="1571"/>
      <c r="V17" s="1570"/>
      <c r="W17" s="1571"/>
      <c r="X17" s="1564"/>
      <c r="Y17" s="3425"/>
      <c r="Z17" s="1572"/>
      <c r="AA17" s="1573">
        <v>1</v>
      </c>
      <c r="AB17" s="1573">
        <v>1</v>
      </c>
      <c r="AC17" s="1573">
        <v>1</v>
      </c>
    </row>
    <row r="18" spans="1:29" ht="41.4">
      <c r="A18" s="515"/>
      <c r="B18" s="2612"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39"/>
      <c r="M18" s="2131"/>
      <c r="N18" s="2131"/>
      <c r="O18" s="2138"/>
      <c r="P18" s="3425"/>
      <c r="Q18" s="2600" t="str">
        <f>B18</f>
        <v>基础设施水平</v>
      </c>
      <c r="R18" s="1570" t="s">
        <v>8</v>
      </c>
      <c r="S18" s="1571">
        <f>F18</f>
        <v>100</v>
      </c>
      <c r="T18" s="1570" t="s">
        <v>8</v>
      </c>
      <c r="U18" s="1571">
        <f>H18</f>
        <v>100</v>
      </c>
      <c r="V18" s="1570" t="s">
        <v>8</v>
      </c>
      <c r="W18" s="1571">
        <f>J18</f>
        <v>100</v>
      </c>
      <c r="X18" s="2602"/>
      <c r="Y18" s="3425"/>
      <c r="Z18" s="2601" t="str">
        <f>Q18</f>
        <v>基础设施水平</v>
      </c>
      <c r="AA18" s="1573">
        <f t="shared" ref="AA18" si="8">D18/F18</f>
        <v>1</v>
      </c>
      <c r="AB18" s="1573">
        <f t="shared" ref="AB18" si="9">D18/H18</f>
        <v>1</v>
      </c>
      <c r="AC18" s="1573">
        <f t="shared" ref="AC18" si="10">D18/J18</f>
        <v>1</v>
      </c>
    </row>
    <row r="19" spans="1:29" ht="15">
      <c r="A19" s="515"/>
      <c r="B19" s="577"/>
      <c r="C19" s="872"/>
      <c r="D19" s="558"/>
      <c r="E19" s="575"/>
      <c r="F19" s="556"/>
      <c r="G19" s="575"/>
      <c r="H19" s="554"/>
      <c r="I19" s="575"/>
      <c r="J19" s="554"/>
      <c r="K19" s="2623"/>
      <c r="L19" s="2139"/>
      <c r="M19" s="2131"/>
      <c r="N19" s="2131"/>
      <c r="O19" s="2138"/>
      <c r="P19" s="3425"/>
      <c r="Q19" s="2600"/>
      <c r="R19" s="1570"/>
      <c r="S19" s="1571"/>
      <c r="T19" s="1570"/>
      <c r="U19" s="1571"/>
      <c r="V19" s="1570"/>
      <c r="W19" s="1571"/>
      <c r="X19" s="2602"/>
      <c r="Y19" s="3425"/>
      <c r="Z19" s="2601"/>
      <c r="AA19" s="1573">
        <v>1</v>
      </c>
      <c r="AB19" s="1573">
        <v>1</v>
      </c>
      <c r="AC19" s="1573">
        <v>1</v>
      </c>
    </row>
    <row r="20" spans="1:29" ht="55.2">
      <c r="A20" s="515"/>
      <c r="B20" s="559" t="s">
        <v>803</v>
      </c>
      <c r="C20" s="871" t="str">
        <f>IF(B1="工业",估价对象房地状况!G7,估价对象房地状况!C9)</f>
        <v>区域自然环境：；人文环境；综合评价好</v>
      </c>
      <c r="D20" s="564">
        <v>100</v>
      </c>
      <c r="E20" s="561"/>
      <c r="F20" s="562">
        <f>SUMIF(69:69,E21,70:70)-SUMIF(69:69,C21,70:70)+100</f>
        <v>100</v>
      </c>
      <c r="G20" s="563"/>
      <c r="H20" s="558">
        <f>SUMIF(69:69,G21,70:70)-SUMIF(69:69,C21,70:70)+100</f>
        <v>100</v>
      </c>
      <c r="I20" s="561"/>
      <c r="J20" s="558">
        <f>SUMIF(69:69,I21,70:70)-SUMIF(69:69,C21,70:70)+100</f>
        <v>100</v>
      </c>
      <c r="K20" s="897"/>
      <c r="L20" s="2139"/>
      <c r="M20" s="2131"/>
      <c r="N20" s="2131"/>
      <c r="O20" s="2138"/>
      <c r="P20" s="3425"/>
      <c r="Q20" s="1569" t="str">
        <f>B20</f>
        <v>自然及人文环境</v>
      </c>
      <c r="R20" s="1570" t="s">
        <v>8</v>
      </c>
      <c r="S20" s="1571">
        <f>F20</f>
        <v>100</v>
      </c>
      <c r="T20" s="1570" t="s">
        <v>8</v>
      </c>
      <c r="U20" s="1571">
        <f>H20</f>
        <v>100</v>
      </c>
      <c r="V20" s="1570" t="s">
        <v>8</v>
      </c>
      <c r="W20" s="1571">
        <f>J20</f>
        <v>100</v>
      </c>
      <c r="X20" s="1564"/>
      <c r="Y20" s="3425"/>
      <c r="Z20" s="1572" t="str">
        <f>Q20</f>
        <v>自然及人文环境</v>
      </c>
      <c r="AA20" s="1573">
        <f t="shared" si="3"/>
        <v>1</v>
      </c>
      <c r="AB20" s="1573">
        <f t="shared" si="4"/>
        <v>1</v>
      </c>
      <c r="AC20" s="1573">
        <f t="shared" si="5"/>
        <v>1</v>
      </c>
    </row>
    <row r="21" spans="1:29" ht="15">
      <c r="A21" s="515"/>
      <c r="B21" s="565"/>
      <c r="C21" s="575"/>
      <c r="D21" s="554"/>
      <c r="E21" s="575"/>
      <c r="F21" s="556"/>
      <c r="G21" s="575"/>
      <c r="H21" s="554"/>
      <c r="I21" s="575"/>
      <c r="J21" s="554"/>
      <c r="K21" s="898"/>
      <c r="L21" s="2139"/>
      <c r="M21" s="2131"/>
      <c r="N21" s="2131"/>
      <c r="O21" s="2138"/>
      <c r="P21" s="3425"/>
      <c r="Q21" s="1569"/>
      <c r="R21" s="1570"/>
      <c r="S21" s="1571"/>
      <c r="T21" s="1570"/>
      <c r="U21" s="1571"/>
      <c r="V21" s="1570"/>
      <c r="W21" s="1571"/>
      <c r="X21" s="1564"/>
      <c r="Y21" s="3425"/>
      <c r="Z21" s="1572"/>
      <c r="AA21" s="1573">
        <v>1</v>
      </c>
      <c r="AB21" s="1573">
        <v>1</v>
      </c>
      <c r="AC21" s="1573">
        <v>1</v>
      </c>
    </row>
    <row r="22" spans="1:29" ht="15">
      <c r="A22" s="515"/>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25"/>
      <c r="Q22" s="1569" t="str">
        <f>B22</f>
        <v>楼层</v>
      </c>
      <c r="R22" s="1570" t="s">
        <v>8</v>
      </c>
      <c r="S22" s="1571">
        <f>F22</f>
        <v>100</v>
      </c>
      <c r="T22" s="1570" t="s">
        <v>8</v>
      </c>
      <c r="U22" s="1571">
        <f>H22</f>
        <v>100</v>
      </c>
      <c r="V22" s="1570" t="s">
        <v>8</v>
      </c>
      <c r="W22" s="1571">
        <f>J22</f>
        <v>100</v>
      </c>
      <c r="X22" s="1564"/>
      <c r="Y22" s="3425"/>
      <c r="Z22" s="1572" t="str">
        <f>Q22</f>
        <v>楼层</v>
      </c>
      <c r="AA22" s="1573">
        <f t="shared" si="3"/>
        <v>1</v>
      </c>
      <c r="AB22" s="1573">
        <f t="shared" si="4"/>
        <v>1</v>
      </c>
      <c r="AC22" s="1573">
        <f t="shared" si="5"/>
        <v>1</v>
      </c>
    </row>
    <row r="23" spans="1:29" ht="15">
      <c r="A23" s="515"/>
      <c r="B23" s="924">
        <v>111</v>
      </c>
      <c r="C23" s="528"/>
      <c r="D23" s="539">
        <v>100</v>
      </c>
      <c r="E23" s="528"/>
      <c r="F23" s="574">
        <f>SUMIF(73:73,E23,74:74)-SUMIF(73:73,C23,74:74)+100</f>
        <v>100</v>
      </c>
      <c r="G23" s="528"/>
      <c r="H23" s="539">
        <f>SUMIF(73:73,G23,74:74)-SUMIF(73:73,C23,74:74)+100</f>
        <v>100</v>
      </c>
      <c r="I23" s="528"/>
      <c r="J23" s="539">
        <f>SUMIF(73:73,I23,74:74)-SUMIF(73:73,C23,74:74)+100</f>
        <v>100</v>
      </c>
      <c r="K23" s="580"/>
      <c r="L23" s="2139"/>
      <c r="M23" s="2131"/>
      <c r="N23" s="2131"/>
      <c r="O23" s="2138"/>
      <c r="P23" s="3425"/>
      <c r="Q23" s="1569">
        <f>B23</f>
        <v>111</v>
      </c>
      <c r="R23" s="1570" t="s">
        <v>8</v>
      </c>
      <c r="S23" s="1571">
        <f>F23</f>
        <v>100</v>
      </c>
      <c r="T23" s="1570" t="s">
        <v>8</v>
      </c>
      <c r="U23" s="1571">
        <f>H23</f>
        <v>100</v>
      </c>
      <c r="V23" s="1570" t="s">
        <v>8</v>
      </c>
      <c r="W23" s="1571">
        <f>J23</f>
        <v>100</v>
      </c>
      <c r="X23" s="1564"/>
      <c r="Y23" s="3425"/>
      <c r="Z23" s="1572">
        <f>Q23</f>
        <v>111</v>
      </c>
      <c r="AA23" s="1573">
        <f t="shared" si="3"/>
        <v>1</v>
      </c>
      <c r="AB23" s="1573">
        <f t="shared" si="4"/>
        <v>1</v>
      </c>
      <c r="AC23" s="1573">
        <f t="shared" si="5"/>
        <v>1</v>
      </c>
    </row>
    <row r="24" spans="1:29" ht="15">
      <c r="A24" s="515"/>
      <c r="B24" s="924">
        <v>111</v>
      </c>
      <c r="C24" s="528"/>
      <c r="D24" s="539">
        <v>100</v>
      </c>
      <c r="E24" s="528"/>
      <c r="F24" s="574">
        <f>SUMIF(75:75,E24,76:76)-SUMIF(75:75,C24,76:76)+100</f>
        <v>100</v>
      </c>
      <c r="G24" s="528"/>
      <c r="H24" s="539">
        <f>SUMIF(75:75,G24,76:76)-SUMIF(75:75,C24,76:76)+100</f>
        <v>100</v>
      </c>
      <c r="I24" s="528"/>
      <c r="J24" s="539">
        <f>SUMIF(75:75,I24,76:76)-SUMIF(75:75,C24,76:76)+100</f>
        <v>100</v>
      </c>
      <c r="K24" s="580"/>
      <c r="L24" s="2139"/>
      <c r="M24" s="2131"/>
      <c r="N24" s="2131"/>
      <c r="O24" s="2138"/>
      <c r="P24" s="3425"/>
      <c r="Q24" s="1569">
        <f t="shared" ref="Q24:Q36" si="11">B24</f>
        <v>111</v>
      </c>
      <c r="R24" s="1570" t="s">
        <v>8</v>
      </c>
      <c r="S24" s="1571">
        <f>F24</f>
        <v>100</v>
      </c>
      <c r="T24" s="1570" t="s">
        <v>8</v>
      </c>
      <c r="U24" s="1571">
        <f>H24</f>
        <v>100</v>
      </c>
      <c r="V24" s="1570" t="s">
        <v>8</v>
      </c>
      <c r="W24" s="1571">
        <f>J24</f>
        <v>100</v>
      </c>
      <c r="X24" s="1564"/>
      <c r="Y24" s="3425"/>
      <c r="Z24" s="1572">
        <f>Q24</f>
        <v>111</v>
      </c>
      <c r="AA24" s="1573">
        <f t="shared" si="3"/>
        <v>1</v>
      </c>
      <c r="AB24" s="1573">
        <f t="shared" si="4"/>
        <v>1</v>
      </c>
      <c r="AC24" s="1573">
        <f t="shared" si="5"/>
        <v>1</v>
      </c>
    </row>
    <row r="25" spans="1:29" s="1219"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2"/>
      <c r="M25" s="2133"/>
      <c r="N25" s="2133"/>
      <c r="O25" s="2134"/>
      <c r="P25" s="3425"/>
      <c r="Q25" s="1150">
        <f t="shared" si="11"/>
        <v>111</v>
      </c>
      <c r="R25" s="1565" t="s">
        <v>8</v>
      </c>
      <c r="S25" s="1566">
        <f>F25</f>
        <v>100</v>
      </c>
      <c r="T25" s="1565" t="s">
        <v>8</v>
      </c>
      <c r="U25" s="1566">
        <f>H25</f>
        <v>100</v>
      </c>
      <c r="V25" s="1565" t="s">
        <v>8</v>
      </c>
      <c r="W25" s="1566">
        <f>J25</f>
        <v>100</v>
      </c>
      <c r="X25" s="1567"/>
      <c r="Y25" s="3425"/>
      <c r="Z25" s="1149">
        <f>Q25</f>
        <v>111</v>
      </c>
      <c r="AA25" s="1573">
        <f>D25/F25</f>
        <v>1</v>
      </c>
      <c r="AB25" s="1573">
        <f>D25/H25</f>
        <v>1</v>
      </c>
      <c r="AC25" s="1573">
        <f>D25/J25</f>
        <v>1</v>
      </c>
    </row>
    <row r="26" spans="1:29" ht="15">
      <c r="A26" s="2928" t="s">
        <v>2753</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39"/>
      <c r="M26" s="2131"/>
      <c r="N26" s="2131"/>
      <c r="O26" s="2138"/>
      <c r="P26" s="3426" t="s">
        <v>549</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27" t="s">
        <v>549</v>
      </c>
      <c r="Z26" s="1572" t="str">
        <f t="shared" ref="Z26:Z36" si="15">Q26</f>
        <v>配套类型</v>
      </c>
      <c r="AA26" s="1573">
        <f t="shared" si="3"/>
        <v>1</v>
      </c>
      <c r="AB26" s="1573">
        <f t="shared" si="4"/>
        <v>1</v>
      </c>
      <c r="AC26" s="1573">
        <f t="shared" si="5"/>
        <v>1</v>
      </c>
    </row>
    <row r="27" spans="1:29" s="1338" customFormat="1" ht="15">
      <c r="A27" s="928"/>
      <c r="B27" s="581" t="s">
        <v>806</v>
      </c>
      <c r="C27" s="929"/>
      <c r="D27" s="255">
        <v>100</v>
      </c>
      <c r="E27" s="929"/>
      <c r="F27" s="574">
        <f>SUMIF(81:81,E27,82:82)-SUMIF(81:81,C27,82:82)+100</f>
        <v>100</v>
      </c>
      <c r="G27" s="929"/>
      <c r="H27" s="539">
        <f>SUMIF(81:81,G27,82:82)-SUMIF(81:81,C27,82:82)+100</f>
        <v>100</v>
      </c>
      <c r="I27" s="929"/>
      <c r="J27" s="539">
        <f>SUMIF(81:81,I27,82:82)-SUMIF(81:81,C27,82:82)+100</f>
        <v>100</v>
      </c>
      <c r="K27" s="580"/>
      <c r="L27" s="2137"/>
      <c r="M27" s="2168"/>
      <c r="N27" s="2168"/>
      <c r="O27" s="2140"/>
      <c r="P27" s="3427"/>
      <c r="Q27" s="1602" t="str">
        <f t="shared" si="11"/>
        <v>项目停车位配比</v>
      </c>
      <c r="R27" s="1574" t="s">
        <v>8</v>
      </c>
      <c r="S27" s="1575">
        <f t="shared" si="12"/>
        <v>100</v>
      </c>
      <c r="T27" s="1574" t="s">
        <v>8</v>
      </c>
      <c r="U27" s="1575">
        <f t="shared" si="13"/>
        <v>100</v>
      </c>
      <c r="V27" s="1574" t="s">
        <v>8</v>
      </c>
      <c r="W27" s="1575">
        <f t="shared" si="14"/>
        <v>100</v>
      </c>
      <c r="X27" s="1576"/>
      <c r="Y27" s="3427"/>
      <c r="Z27" s="1577" t="str">
        <f t="shared" si="15"/>
        <v>项目停车位配比</v>
      </c>
      <c r="AA27" s="1573">
        <f t="shared" si="3"/>
        <v>1</v>
      </c>
      <c r="AB27" s="1573">
        <f t="shared" si="4"/>
        <v>1</v>
      </c>
      <c r="AC27" s="1573">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39"/>
      <c r="M28" s="2131"/>
      <c r="N28" s="2131"/>
      <c r="O28" s="2138"/>
      <c r="P28" s="3427"/>
      <c r="Q28" s="1569" t="str">
        <f t="shared" si="11"/>
        <v>公共部分装修</v>
      </c>
      <c r="R28" s="1570" t="s">
        <v>8</v>
      </c>
      <c r="S28" s="1571">
        <f t="shared" si="12"/>
        <v>100</v>
      </c>
      <c r="T28" s="1570" t="s">
        <v>8</v>
      </c>
      <c r="U28" s="1571">
        <f t="shared" si="13"/>
        <v>100</v>
      </c>
      <c r="V28" s="1570" t="s">
        <v>8</v>
      </c>
      <c r="W28" s="1571">
        <f t="shared" si="14"/>
        <v>100</v>
      </c>
      <c r="X28" s="1564"/>
      <c r="Y28" s="3427"/>
      <c r="Z28" s="1572" t="str">
        <f t="shared" si="15"/>
        <v>公共部分装修</v>
      </c>
      <c r="AA28" s="1573">
        <f t="shared" si="3"/>
        <v>1</v>
      </c>
      <c r="AB28" s="1573">
        <f t="shared" si="4"/>
        <v>1</v>
      </c>
      <c r="AC28" s="1573">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39"/>
      <c r="M29" s="2131"/>
      <c r="N29" s="2131"/>
      <c r="O29" s="2138"/>
      <c r="P29" s="3427"/>
      <c r="Q29" s="1569" t="str">
        <f t="shared" si="11"/>
        <v>成新率</v>
      </c>
      <c r="R29" s="1570" t="s">
        <v>8</v>
      </c>
      <c r="S29" s="1571" t="e">
        <f t="shared" si="12"/>
        <v>#N/A</v>
      </c>
      <c r="T29" s="1570" t="s">
        <v>8</v>
      </c>
      <c r="U29" s="1571" t="e">
        <f t="shared" si="13"/>
        <v>#N/A</v>
      </c>
      <c r="V29" s="1570" t="s">
        <v>8</v>
      </c>
      <c r="W29" s="1571" t="e">
        <f t="shared" si="14"/>
        <v>#N/A</v>
      </c>
      <c r="X29" s="1564"/>
      <c r="Y29" s="3427"/>
      <c r="Z29" s="1572" t="str">
        <f t="shared" si="15"/>
        <v>成新率</v>
      </c>
      <c r="AA29" s="1573" t="e">
        <f t="shared" si="3"/>
        <v>#N/A</v>
      </c>
      <c r="AB29" s="1573" t="e">
        <f t="shared" si="4"/>
        <v>#N/A</v>
      </c>
      <c r="AC29" s="1573"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39"/>
      <c r="M30" s="2131"/>
      <c r="N30" s="2131"/>
      <c r="O30" s="2138"/>
      <c r="P30" s="3427"/>
      <c r="Q30" s="1569" t="str">
        <f t="shared" si="11"/>
        <v>物业等级</v>
      </c>
      <c r="R30" s="1570" t="s">
        <v>8</v>
      </c>
      <c r="S30" s="1571">
        <f t="shared" si="12"/>
        <v>100</v>
      </c>
      <c r="T30" s="1570" t="s">
        <v>8</v>
      </c>
      <c r="U30" s="1571">
        <f t="shared" si="13"/>
        <v>100</v>
      </c>
      <c r="V30" s="1570" t="s">
        <v>8</v>
      </c>
      <c r="W30" s="1571">
        <f t="shared" si="14"/>
        <v>100</v>
      </c>
      <c r="X30" s="1564"/>
      <c r="Y30" s="3427"/>
      <c r="Z30" s="1572" t="str">
        <f t="shared" si="15"/>
        <v>物业等级</v>
      </c>
      <c r="AA30" s="1573">
        <f t="shared" si="3"/>
        <v>1</v>
      </c>
      <c r="AB30" s="1573">
        <f t="shared" si="4"/>
        <v>1</v>
      </c>
      <c r="AC30" s="1573">
        <f t="shared" si="5"/>
        <v>1</v>
      </c>
    </row>
    <row r="31" spans="1:29" s="1219" customFormat="1" ht="15">
      <c r="A31" s="932"/>
      <c r="B31" s="581" t="s">
        <v>810</v>
      </c>
      <c r="C31" s="879"/>
      <c r="D31" s="255">
        <v>100</v>
      </c>
      <c r="E31" s="879"/>
      <c r="F31" s="574" t="e">
        <f>LOOKUP(E31,91:91,92:92)-LOOKUP(C31,91:91,92:92)+100</f>
        <v>#N/A</v>
      </c>
      <c r="G31" s="879"/>
      <c r="H31" s="539" t="e">
        <f>LOOKUP(G31,91:91,92:92)-LOOKUP(C31,91:91,92:92)+100</f>
        <v>#N/A</v>
      </c>
      <c r="I31" s="879"/>
      <c r="J31" s="539" t="e">
        <f>LOOKUP(I31,91:91,92:92)-LOOKUP(C31,91:91,92:92)+100</f>
        <v>#N/A</v>
      </c>
      <c r="K31" s="583"/>
      <c r="L31" s="2132"/>
      <c r="M31" s="2133"/>
      <c r="N31" s="2133"/>
      <c r="O31" s="2134"/>
      <c r="P31" s="3427"/>
      <c r="Q31" s="1150" t="str">
        <f t="shared" si="11"/>
        <v>停车位面积</v>
      </c>
      <c r="R31" s="1565" t="s">
        <v>8</v>
      </c>
      <c r="S31" s="1566" t="e">
        <f t="shared" si="12"/>
        <v>#N/A</v>
      </c>
      <c r="T31" s="1565" t="s">
        <v>8</v>
      </c>
      <c r="U31" s="1566" t="e">
        <f t="shared" si="13"/>
        <v>#N/A</v>
      </c>
      <c r="V31" s="1565" t="s">
        <v>8</v>
      </c>
      <c r="W31" s="1566" t="e">
        <f t="shared" si="14"/>
        <v>#N/A</v>
      </c>
      <c r="X31" s="1567"/>
      <c r="Y31" s="3427"/>
      <c r="Z31" s="1149" t="str">
        <f t="shared" si="15"/>
        <v>停车位面积</v>
      </c>
      <c r="AA31" s="1568" t="e">
        <f t="shared" si="3"/>
        <v>#N/A</v>
      </c>
      <c r="AB31" s="1568" t="e">
        <f t="shared" si="4"/>
        <v>#N/A</v>
      </c>
      <c r="AC31" s="1568"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39"/>
      <c r="M32" s="2131"/>
      <c r="N32" s="2131"/>
      <c r="O32" s="2138"/>
      <c r="P32" s="3427" t="s">
        <v>549</v>
      </c>
      <c r="Q32" s="1569" t="str">
        <f t="shared" si="11"/>
        <v>车位类型</v>
      </c>
      <c r="R32" s="1570" t="s">
        <v>8</v>
      </c>
      <c r="S32" s="1571">
        <f t="shared" si="12"/>
        <v>100</v>
      </c>
      <c r="T32" s="1570" t="s">
        <v>8</v>
      </c>
      <c r="U32" s="1571">
        <f t="shared" si="13"/>
        <v>100</v>
      </c>
      <c r="V32" s="1570" t="s">
        <v>8</v>
      </c>
      <c r="W32" s="1571">
        <f t="shared" si="14"/>
        <v>100</v>
      </c>
      <c r="X32" s="1564"/>
      <c r="Y32" s="3427" t="s">
        <v>549</v>
      </c>
      <c r="Z32" s="1572" t="str">
        <f t="shared" si="15"/>
        <v>车位类型</v>
      </c>
      <c r="AA32" s="1573">
        <f t="shared" si="3"/>
        <v>1</v>
      </c>
      <c r="AB32" s="1573">
        <f t="shared" si="4"/>
        <v>1</v>
      </c>
      <c r="AC32" s="1573">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39"/>
      <c r="M33" s="2131"/>
      <c r="N33" s="2131"/>
      <c r="O33" s="2138"/>
      <c r="P33" s="3427"/>
      <c r="Q33" s="1569" t="str">
        <f t="shared" si="11"/>
        <v>是否直接入户</v>
      </c>
      <c r="R33" s="1570" t="s">
        <v>8</v>
      </c>
      <c r="S33" s="1571">
        <f t="shared" si="12"/>
        <v>100</v>
      </c>
      <c r="T33" s="1570" t="s">
        <v>8</v>
      </c>
      <c r="U33" s="1571">
        <f t="shared" si="13"/>
        <v>100</v>
      </c>
      <c r="V33" s="1570" t="s">
        <v>8</v>
      </c>
      <c r="W33" s="1571">
        <f t="shared" si="14"/>
        <v>100</v>
      </c>
      <c r="X33" s="1564"/>
      <c r="Y33" s="3427"/>
      <c r="Z33" s="1572" t="str">
        <f t="shared" si="15"/>
        <v>是否直接入户</v>
      </c>
      <c r="AA33" s="1573">
        <f t="shared" si="3"/>
        <v>1</v>
      </c>
      <c r="AB33" s="1573">
        <f t="shared" si="4"/>
        <v>1</v>
      </c>
      <c r="AC33" s="1573">
        <f t="shared" si="5"/>
        <v>1</v>
      </c>
    </row>
    <row r="34" spans="1:29" ht="15">
      <c r="A34" s="930"/>
      <c r="B34" s="924">
        <v>111</v>
      </c>
      <c r="C34" s="528"/>
      <c r="D34" s="539">
        <v>100</v>
      </c>
      <c r="E34" s="528"/>
      <c r="F34" s="574">
        <f>SUMIF(97:97,E34,98:98)-SUMIF(97:97,C34,98:98)+100</f>
        <v>100</v>
      </c>
      <c r="G34" s="528"/>
      <c r="H34" s="539">
        <f>SUMIF(97:97,G34,98:98)-SUMIF(97:97,C34,98:98)+100</f>
        <v>100</v>
      </c>
      <c r="I34" s="528"/>
      <c r="J34" s="539">
        <f>SUMIF(97:97,I34,98:98)-SUMIF(97:97,C34,98:98)+100</f>
        <v>100</v>
      </c>
      <c r="K34" s="580"/>
      <c r="L34" s="2139"/>
      <c r="M34" s="2131"/>
      <c r="N34" s="2131"/>
      <c r="O34" s="2138"/>
      <c r="P34" s="3427"/>
      <c r="Q34" s="1569">
        <f t="shared" si="11"/>
        <v>111</v>
      </c>
      <c r="R34" s="1570" t="s">
        <v>8</v>
      </c>
      <c r="S34" s="1571">
        <f t="shared" si="12"/>
        <v>100</v>
      </c>
      <c r="T34" s="1570" t="s">
        <v>8</v>
      </c>
      <c r="U34" s="1571">
        <f t="shared" si="13"/>
        <v>100</v>
      </c>
      <c r="V34" s="1570" t="s">
        <v>8</v>
      </c>
      <c r="W34" s="1571">
        <f t="shared" si="14"/>
        <v>100</v>
      </c>
      <c r="X34" s="1564"/>
      <c r="Y34" s="3427"/>
      <c r="Z34" s="1572">
        <f t="shared" si="15"/>
        <v>111</v>
      </c>
      <c r="AA34" s="1573">
        <f t="shared" si="3"/>
        <v>1</v>
      </c>
      <c r="AB34" s="1573">
        <f t="shared" si="4"/>
        <v>1</v>
      </c>
      <c r="AC34" s="1573">
        <f t="shared" si="5"/>
        <v>1</v>
      </c>
    </row>
    <row r="35" spans="1:29" s="1338" customFormat="1" ht="15">
      <c r="A35" s="928"/>
      <c r="B35" s="924">
        <v>111</v>
      </c>
      <c r="C35" s="528"/>
      <c r="D35" s="539">
        <v>100</v>
      </c>
      <c r="E35" s="528"/>
      <c r="F35" s="574">
        <f>SUMIF(99:99,E35,100:100)-SUMIF(99:99,C35,100:100)+100</f>
        <v>100</v>
      </c>
      <c r="G35" s="528"/>
      <c r="H35" s="539">
        <f>SUMIF(99:99,G35,100:100)-SUMIF(99:99,C35,100:100)+100</f>
        <v>100</v>
      </c>
      <c r="I35" s="528"/>
      <c r="J35" s="539">
        <f>SUMIF(99:99,I35,100:100)-SUMIF(99:99,C35,100:100)+100</f>
        <v>100</v>
      </c>
      <c r="K35" s="580"/>
      <c r="L35" s="2137"/>
      <c r="M35" s="2168"/>
      <c r="N35" s="2168"/>
      <c r="O35" s="2140"/>
      <c r="P35" s="3427"/>
      <c r="Q35" s="1602">
        <f t="shared" si="11"/>
        <v>111</v>
      </c>
      <c r="R35" s="1574" t="s">
        <v>8</v>
      </c>
      <c r="S35" s="1575">
        <f t="shared" si="12"/>
        <v>100</v>
      </c>
      <c r="T35" s="1574" t="s">
        <v>8</v>
      </c>
      <c r="U35" s="1575">
        <f t="shared" si="13"/>
        <v>100</v>
      </c>
      <c r="V35" s="1574" t="s">
        <v>8</v>
      </c>
      <c r="W35" s="1575">
        <f t="shared" si="14"/>
        <v>100</v>
      </c>
      <c r="X35" s="1576"/>
      <c r="Y35" s="3427"/>
      <c r="Z35" s="1577">
        <f t="shared" si="15"/>
        <v>111</v>
      </c>
      <c r="AA35" s="1573">
        <f t="shared" si="3"/>
        <v>1</v>
      </c>
      <c r="AB35" s="1573">
        <f t="shared" si="4"/>
        <v>1</v>
      </c>
      <c r="AC35" s="1573">
        <f t="shared" si="5"/>
        <v>1</v>
      </c>
    </row>
    <row r="36" spans="1:29" ht="15.6" thickBot="1">
      <c r="A36" s="933"/>
      <c r="B36" s="913">
        <v>111</v>
      </c>
      <c r="C36" s="538"/>
      <c r="D36" s="539">
        <v>100</v>
      </c>
      <c r="E36" s="528"/>
      <c r="F36" s="574">
        <f>SUMIF(101:101,E36,102:102)-SUMIF(101:101,C36,102:102)+100</f>
        <v>100</v>
      </c>
      <c r="G36" s="528"/>
      <c r="H36" s="539">
        <f>SUMIF(101:101,G36,102:102)-SUMIF(101:101,C36,102:102)+100</f>
        <v>100</v>
      </c>
      <c r="I36" s="528"/>
      <c r="J36" s="539">
        <f>SUMIF(101:101,I36,102:102)-SUMIF(101:101,C36,102:102)+100</f>
        <v>100</v>
      </c>
      <c r="K36" s="580"/>
      <c r="L36" s="2139"/>
      <c r="M36" s="2131"/>
      <c r="N36" s="2131"/>
      <c r="O36" s="2138"/>
      <c r="P36" s="3427"/>
      <c r="Q36" s="1569">
        <f t="shared" si="11"/>
        <v>111</v>
      </c>
      <c r="R36" s="1570" t="s">
        <v>8</v>
      </c>
      <c r="S36" s="1571">
        <f t="shared" si="12"/>
        <v>100</v>
      </c>
      <c r="T36" s="1570" t="s">
        <v>8</v>
      </c>
      <c r="U36" s="1571">
        <f t="shared" si="13"/>
        <v>100</v>
      </c>
      <c r="V36" s="1570" t="s">
        <v>8</v>
      </c>
      <c r="W36" s="1571">
        <f t="shared" si="14"/>
        <v>100</v>
      </c>
      <c r="X36" s="1564"/>
      <c r="Y36" s="3427"/>
      <c r="Z36" s="1572">
        <f t="shared" si="15"/>
        <v>111</v>
      </c>
      <c r="AA36" s="1573">
        <f t="shared" si="3"/>
        <v>1</v>
      </c>
      <c r="AB36" s="1573">
        <f t="shared" si="4"/>
        <v>1</v>
      </c>
      <c r="AC36" s="1573">
        <f t="shared" si="5"/>
        <v>1</v>
      </c>
    </row>
    <row r="37" spans="1:29" ht="14.4">
      <c r="A37" s="1843" t="s">
        <v>2078</v>
      </c>
      <c r="B37" s="1844" t="s">
        <v>2079</v>
      </c>
      <c r="C37" s="2648" t="s">
        <v>1</v>
      </c>
      <c r="D37" s="2649"/>
      <c r="E37" s="2650"/>
      <c r="F37" s="2651"/>
      <c r="G37" s="2652"/>
      <c r="H37" s="2653"/>
      <c r="I37" s="2650"/>
      <c r="J37" s="2653"/>
      <c r="K37" s="1608"/>
      <c r="L37" s="2141"/>
      <c r="M37" s="2142"/>
      <c r="N37" s="2131"/>
      <c r="O37" s="2142"/>
      <c r="P37" s="3388" t="str">
        <f>A37</f>
        <v>成交单价</v>
      </c>
      <c r="Q37" s="3388"/>
      <c r="R37" s="3512">
        <f>E37</f>
        <v>0</v>
      </c>
      <c r="S37" s="3512"/>
      <c r="T37" s="3512">
        <f>G37</f>
        <v>0</v>
      </c>
      <c r="U37" s="3512"/>
      <c r="V37" s="3512">
        <f>I37</f>
        <v>0</v>
      </c>
      <c r="W37" s="3512"/>
      <c r="X37" s="1556"/>
      <c r="Y37" s="1578"/>
      <c r="Z37" s="1556"/>
      <c r="AA37" s="1556"/>
      <c r="AB37" s="1556"/>
      <c r="AC37" s="1556"/>
    </row>
    <row r="38" spans="1:29" ht="15" thickBot="1">
      <c r="A38" s="614" t="s">
        <v>2758</v>
      </c>
      <c r="B38" s="887"/>
      <c r="C38" s="2654" t="e">
        <f>R39</f>
        <v>#DIV/0!</v>
      </c>
      <c r="D38" s="2655"/>
      <c r="E38" s="2656" t="e">
        <f>R38</f>
        <v>#DIV/0!</v>
      </c>
      <c r="F38" s="2656"/>
      <c r="G38" s="2654" t="e">
        <f>T38</f>
        <v>#DIV/0!</v>
      </c>
      <c r="H38" s="2655"/>
      <c r="I38" s="2656" t="e">
        <f>V38</f>
        <v>#DIV/0!</v>
      </c>
      <c r="J38" s="2655"/>
      <c r="K38" s="1609"/>
      <c r="L38" s="2141"/>
      <c r="M38" s="2142"/>
      <c r="N38" s="2142"/>
      <c r="O38" s="2142"/>
      <c r="P38" s="3388" t="str">
        <f>A38</f>
        <v>比较价格（元/平方米）</v>
      </c>
      <c r="Q38" s="3388"/>
      <c r="R38" s="3512" t="e">
        <f>IF(F1="售价",ROUND(PRODUCT(R37,AA7:AA36),0),ROUND(PRODUCT(R37,AA7:AA36),1))</f>
        <v>#DIV/0!</v>
      </c>
      <c r="S38" s="3512"/>
      <c r="T38" s="3512" t="e">
        <f>IF(F1="售价",ROUND(PRODUCT(T37,AB7:AB36),0),ROUND(PRODUCT(T37,AB7:AB36),1))</f>
        <v>#DIV/0!</v>
      </c>
      <c r="U38" s="3512"/>
      <c r="V38" s="3512" t="e">
        <f>IF(F1="售价",ROUND(PRODUCT(V37,AC7:AC36),0),ROUND(PRODUCT(V37,AC7:AC36),1))</f>
        <v>#DIV/0!</v>
      </c>
      <c r="W38" s="3512"/>
      <c r="X38" s="1556"/>
      <c r="Y38" s="1556"/>
      <c r="Z38" s="1556"/>
      <c r="AA38" s="1556"/>
      <c r="AB38" s="1556"/>
      <c r="AC38" s="1556"/>
    </row>
    <row r="39" spans="1:29" ht="15" thickBot="1">
      <c r="A39" s="620" t="s">
        <v>2931</v>
      </c>
      <c r="B39" s="621"/>
      <c r="C39" s="2657" t="e">
        <f>R39</f>
        <v>#DIV/0!</v>
      </c>
      <c r="D39" s="2657"/>
      <c r="E39" s="2657"/>
      <c r="F39" s="2657"/>
      <c r="G39" s="2657"/>
      <c r="H39" s="2657"/>
      <c r="I39" s="2657"/>
      <c r="J39" s="2657"/>
      <c r="K39" s="1610"/>
      <c r="L39" s="2141"/>
      <c r="M39" s="2142"/>
      <c r="N39" s="2142"/>
      <c r="O39" s="2142"/>
      <c r="P39" s="3385" t="str">
        <f>A39</f>
        <v>估价对象XX用房的比较价格（楼面单价，元/平方米）</v>
      </c>
      <c r="Q39" s="3386"/>
      <c r="R39" s="3513" t="e">
        <f>IF(F1="售价",ROUND(AVERAGE(R38:V38),0),ROUND(AVERAGE(R38:V38),1))</f>
        <v>#DIV/0!</v>
      </c>
      <c r="S39" s="3513"/>
      <c r="T39" s="3513"/>
      <c r="U39" s="3513"/>
      <c r="V39" s="3513"/>
      <c r="W39" s="3513"/>
      <c r="X39" s="1556"/>
      <c r="Y39" s="1556"/>
      <c r="Z39" s="1556"/>
      <c r="AA39" s="1556"/>
      <c r="AB39" s="1556"/>
      <c r="AC39" s="1556"/>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4" customFormat="1" ht="13.5" customHeight="1">
      <c r="A44" s="2143"/>
      <c r="B44" s="2143"/>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4"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2.2" thickBot="1">
      <c r="A47" s="1581" t="s">
        <v>573</v>
      </c>
      <c r="B47" s="1556"/>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6" customFormat="1" ht="14.4">
      <c r="A48" s="644" t="s">
        <v>528</v>
      </c>
      <c r="B48" s="645"/>
      <c r="C48" s="2823" t="str">
        <f>YEAR(C7)&amp;"-"&amp;MONTH(C7)</f>
        <v>2019-2</v>
      </c>
      <c r="D48" s="2825">
        <f>EDATE(C48,-1)</f>
        <v>43466</v>
      </c>
      <c r="E48" s="2825">
        <f t="shared" ref="E48:O48" si="16">EDATE(D48,-1)</f>
        <v>43435</v>
      </c>
      <c r="F48" s="2825">
        <f t="shared" si="16"/>
        <v>43405</v>
      </c>
      <c r="G48" s="2825">
        <f t="shared" si="16"/>
        <v>43374</v>
      </c>
      <c r="H48" s="2825">
        <f t="shared" si="16"/>
        <v>43344</v>
      </c>
      <c r="I48" s="2825">
        <f t="shared" si="16"/>
        <v>43313</v>
      </c>
      <c r="J48" s="2825">
        <f t="shared" si="16"/>
        <v>43282</v>
      </c>
      <c r="K48" s="2825">
        <f t="shared" si="16"/>
        <v>43252</v>
      </c>
      <c r="L48" s="2825">
        <f t="shared" si="16"/>
        <v>43221</v>
      </c>
      <c r="M48" s="2825">
        <f t="shared" si="16"/>
        <v>43191</v>
      </c>
      <c r="N48" s="2825">
        <f t="shared" si="16"/>
        <v>43160</v>
      </c>
      <c r="O48" s="2825">
        <f t="shared" si="16"/>
        <v>43132</v>
      </c>
      <c r="P48" s="2157"/>
      <c r="Q48" s="2158"/>
      <c r="R48" s="2158"/>
      <c r="S48" s="2158"/>
      <c r="T48" s="2158"/>
      <c r="U48" s="2158"/>
      <c r="V48" s="2158"/>
      <c r="W48" s="2158"/>
      <c r="X48" s="2158"/>
      <c r="Y48" s="2158"/>
      <c r="Z48" s="2158"/>
      <c r="AA48" s="2158"/>
      <c r="AB48" s="2158"/>
      <c r="AC48" s="2158"/>
    </row>
    <row r="49" spans="1:29" s="1219" customFormat="1">
      <c r="A49" s="646"/>
      <c r="B49" s="647"/>
      <c r="C49" s="2824">
        <v>100</v>
      </c>
      <c r="D49" s="649"/>
      <c r="E49" s="649"/>
      <c r="F49" s="649"/>
      <c r="G49" s="649"/>
      <c r="H49" s="649"/>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9" customFormat="1" ht="15" thickBot="1">
      <c r="A50" s="652" t="s">
        <v>574</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9" customFormat="1" ht="14.4">
      <c r="A51" s="658" t="s">
        <v>530</v>
      </c>
      <c r="B51" s="647"/>
      <c r="C51" s="659" t="s">
        <v>575</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9" customFormat="1" ht="14.4"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ht="14.4">
      <c r="A53" s="663" t="s">
        <v>576</v>
      </c>
      <c r="B53" s="664" t="s">
        <v>533</v>
      </c>
      <c r="C53" s="703">
        <f>C9</f>
        <v>0</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4.4"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9.4" thickTop="1">
      <c r="A55" s="668"/>
      <c r="B55" s="672" t="s">
        <v>536</v>
      </c>
      <c r="C55" s="673" t="s">
        <v>736</v>
      </c>
      <c r="D55" s="673" t="s">
        <v>737</v>
      </c>
      <c r="E55" s="673" t="s">
        <v>738</v>
      </c>
      <c r="F55" s="673" t="s">
        <v>739</v>
      </c>
      <c r="G55" s="673" t="s">
        <v>740</v>
      </c>
      <c r="H55" s="673" t="s">
        <v>741</v>
      </c>
      <c r="I55" s="673" t="s">
        <v>742</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4.4" thickTop="1">
      <c r="A57" s="668"/>
      <c r="B57" s="934">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8" customFormat="1" ht="14.4"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8" customFormat="1" ht="14.4"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8" customFormat="1" ht="14.4"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8" customFormat="1" ht="14.4"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1893" t="s">
        <v>2556</v>
      </c>
      <c r="C65" s="707" t="s">
        <v>578</v>
      </c>
      <c r="D65" s="707" t="s">
        <v>579</v>
      </c>
      <c r="E65" s="707" t="s">
        <v>580</v>
      </c>
      <c r="F65" s="707" t="s">
        <v>581</v>
      </c>
      <c r="G65" s="707" t="s">
        <v>582</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2618" t="s">
        <v>2557</v>
      </c>
      <c r="C67" s="2619" t="s">
        <v>2558</v>
      </c>
      <c r="D67" s="2619" t="s">
        <v>2559</v>
      </c>
      <c r="E67" s="2619" t="s">
        <v>2560</v>
      </c>
      <c r="F67" s="2619" t="s">
        <v>2561</v>
      </c>
      <c r="G67" s="2619" t="s">
        <v>2562</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4.4" thickBot="1">
      <c r="A68" s="668"/>
      <c r="B68" s="680"/>
      <c r="C68" s="678">
        <v>100</v>
      </c>
      <c r="D68" s="678">
        <f>C68-$K18</f>
        <v>100</v>
      </c>
      <c r="E68" s="678">
        <f>D68-$K18</f>
        <v>100</v>
      </c>
      <c r="F68" s="678">
        <f>E68-$K18</f>
        <v>100</v>
      </c>
      <c r="G68" s="678">
        <f>F68-$K18</f>
        <v>100</v>
      </c>
      <c r="H68" s="934"/>
      <c r="I68" s="934"/>
      <c r="J68" s="934"/>
      <c r="K68" s="934"/>
      <c r="L68" s="934"/>
      <c r="M68" s="558"/>
      <c r="N68" s="2163"/>
      <c r="O68" s="2163"/>
      <c r="P68" s="2162"/>
      <c r="Q68" s="2155"/>
      <c r="R68" s="2142"/>
      <c r="S68" s="2142"/>
      <c r="T68" s="2142"/>
      <c r="U68" s="2142"/>
      <c r="V68" s="2142"/>
      <c r="W68" s="2142"/>
      <c r="X68" s="2142"/>
      <c r="Y68" s="2142"/>
      <c r="Z68" s="2142"/>
      <c r="AA68" s="2142"/>
      <c r="AB68" s="2142"/>
      <c r="AC68" s="2142"/>
    </row>
    <row r="69" spans="1:29" ht="15" thickTop="1">
      <c r="A69" s="668"/>
      <c r="B69" s="672" t="s">
        <v>743</v>
      </c>
      <c r="C69" s="707" t="s">
        <v>578</v>
      </c>
      <c r="D69" s="707" t="s">
        <v>579</v>
      </c>
      <c r="E69" s="707" t="s">
        <v>580</v>
      </c>
      <c r="F69" s="707" t="s">
        <v>581</v>
      </c>
      <c r="G69" s="707" t="s">
        <v>582</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 thickTop="1">
      <c r="A71" s="668"/>
      <c r="B71" s="672" t="s">
        <v>744</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9" customFormat="1" ht="14.4" thickTop="1">
      <c r="A73" s="708"/>
      <c r="B73" s="672">
        <f>B23</f>
        <v>111</v>
      </c>
      <c r="C73" s="540"/>
      <c r="D73" s="540"/>
      <c r="E73" s="540"/>
      <c r="F73" s="540"/>
      <c r="G73" s="687"/>
      <c r="H73" s="687"/>
      <c r="I73" s="687"/>
      <c r="J73" s="687"/>
      <c r="K73" s="687"/>
      <c r="L73" s="889"/>
      <c r="M73" s="890"/>
      <c r="N73" s="2159"/>
      <c r="O73" s="2159"/>
      <c r="P73" s="2162"/>
      <c r="Q73" s="2155"/>
      <c r="R73" s="1990"/>
      <c r="S73" s="1990"/>
      <c r="T73" s="1990"/>
      <c r="U73" s="1990"/>
      <c r="V73" s="1990"/>
      <c r="W73" s="1990"/>
      <c r="X73" s="1990"/>
      <c r="Y73" s="1990"/>
      <c r="Z73" s="1990"/>
      <c r="AA73" s="1990"/>
      <c r="AB73" s="1990"/>
      <c r="AC73" s="1990"/>
    </row>
    <row r="74" spans="1:29" s="1219"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9" customFormat="1" ht="14.4" thickTop="1">
      <c r="A75" s="708"/>
      <c r="B75" s="672">
        <f>B24</f>
        <v>111</v>
      </c>
      <c r="C75" s="540"/>
      <c r="D75" s="540"/>
      <c r="E75" s="540"/>
      <c r="F75" s="540"/>
      <c r="G75" s="687"/>
      <c r="H75" s="687"/>
      <c r="I75" s="687"/>
      <c r="J75" s="687"/>
      <c r="K75" s="687"/>
      <c r="L75" s="687"/>
      <c r="M75" s="890"/>
      <c r="N75" s="2159"/>
      <c r="O75" s="2159"/>
      <c r="P75" s="2162"/>
      <c r="Q75" s="2155"/>
      <c r="R75" s="1990"/>
      <c r="S75" s="1990"/>
      <c r="T75" s="1990"/>
      <c r="U75" s="1990"/>
      <c r="V75" s="1990"/>
      <c r="W75" s="1990"/>
      <c r="X75" s="1990"/>
      <c r="Y75" s="1990"/>
      <c r="Z75" s="1990"/>
      <c r="AA75" s="1990"/>
      <c r="AB75" s="1990"/>
      <c r="AC75" s="1990"/>
    </row>
    <row r="76" spans="1:29" s="1219" customFormat="1" ht="14.4"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8" customFormat="1" ht="14.4" thickTop="1">
      <c r="A77" s="686"/>
      <c r="B77" s="672">
        <f>B25</f>
        <v>111</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8" customFormat="1" ht="14.4"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9.4" thickTop="1">
      <c r="A79" s="663" t="s">
        <v>550</v>
      </c>
      <c r="B79" s="664" t="s">
        <v>813</v>
      </c>
      <c r="C79" s="703">
        <f>C26</f>
        <v>0</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 thickTop="1">
      <c r="A81" s="668"/>
      <c r="B81" s="672" t="s">
        <v>814</v>
      </c>
      <c r="C81" s="935"/>
      <c r="D81" s="935"/>
      <c r="E81" s="935"/>
      <c r="F81" s="935"/>
      <c r="G81" s="935"/>
      <c r="H81" s="935"/>
      <c r="I81" s="935"/>
      <c r="J81" s="935"/>
      <c r="K81" s="936"/>
      <c r="L81" s="937"/>
      <c r="M81" s="938"/>
      <c r="N81" s="2159"/>
      <c r="O81" s="2159"/>
      <c r="P81" s="2162"/>
      <c r="Q81" s="2155"/>
      <c r="R81" s="2142"/>
      <c r="S81" s="2142"/>
      <c r="T81" s="2142"/>
      <c r="U81" s="2142"/>
      <c r="V81" s="2142"/>
      <c r="W81" s="2142"/>
      <c r="X81" s="2142"/>
      <c r="Y81" s="2142"/>
      <c r="Z81" s="2142"/>
      <c r="AA81" s="2142"/>
      <c r="AB81" s="2142"/>
      <c r="AC81" s="2142"/>
    </row>
    <row r="82" spans="1:29" s="1338" customFormat="1" ht="14.4"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750</v>
      </c>
      <c r="C83" s="687"/>
      <c r="D83" s="687"/>
      <c r="E83" s="717"/>
      <c r="F83" s="717"/>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3">
        <v>0.5</v>
      </c>
      <c r="D86" s="893">
        <v>0.6</v>
      </c>
      <c r="E86" s="893">
        <v>0.7</v>
      </c>
      <c r="F86" s="893">
        <v>0.8</v>
      </c>
      <c r="G86" s="893">
        <v>0.9</v>
      </c>
      <c r="H86" s="893">
        <v>1.0001</v>
      </c>
      <c r="I86" s="904"/>
      <c r="J86" s="904"/>
      <c r="K86" s="905"/>
      <c r="L86" s="906"/>
      <c r="M86" s="907"/>
      <c r="N86" s="2161"/>
      <c r="O86" s="2161"/>
      <c r="P86" s="2162"/>
      <c r="Q86" s="2155"/>
      <c r="R86" s="2142"/>
      <c r="S86" s="2142"/>
      <c r="T86" s="2142"/>
      <c r="U86" s="2142"/>
      <c r="V86" s="2142"/>
      <c r="W86" s="2142"/>
      <c r="X86" s="2142"/>
      <c r="Y86" s="2142"/>
      <c r="Z86" s="2142"/>
      <c r="AA86" s="2142"/>
      <c r="AB86" s="2142"/>
      <c r="AC86" s="2142"/>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816</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3"/>
      <c r="O89" s="2163"/>
      <c r="P89" s="2162"/>
      <c r="Q89" s="2155"/>
      <c r="R89" s="2142"/>
      <c r="S89" s="2142"/>
      <c r="T89" s="2142"/>
      <c r="U89" s="2142"/>
      <c r="V89" s="2142"/>
      <c r="W89" s="2142"/>
      <c r="X89" s="2142"/>
      <c r="Y89" s="2142"/>
      <c r="Z89" s="2142"/>
      <c r="AA89" s="2142"/>
      <c r="AB89" s="2142"/>
      <c r="AC89" s="2142"/>
    </row>
    <row r="90" spans="1:29" s="1338"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8" customFormat="1">
      <c r="A91" s="727"/>
      <c r="B91" s="680"/>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4.4" thickBot="1">
      <c r="A92" s="686"/>
      <c r="B92" s="677"/>
      <c r="C92" s="691"/>
      <c r="D92" s="670"/>
      <c r="E92" s="670"/>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818</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819</v>
      </c>
      <c r="C95" s="597"/>
      <c r="D95" s="597"/>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4.4" thickTop="1">
      <c r="A97" s="734"/>
      <c r="B97" s="916">
        <f>B34</f>
        <v>111</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4.4"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8" customFormat="1" ht="14.4" thickTop="1">
      <c r="A99" s="727"/>
      <c r="B99" s="672">
        <f>B35</f>
        <v>111</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8" customFormat="1" ht="14.4"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4.4"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4.4"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922"/>
      <c r="C1" s="504" t="s">
        <v>791</v>
      </c>
      <c r="D1" s="848"/>
      <c r="E1" s="506"/>
      <c r="F1" s="2828"/>
      <c r="G1" s="1598" t="s">
        <v>792</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3" t="s">
        <v>793</v>
      </c>
      <c r="B2" s="849" t="e">
        <f>ROUND(B3*D3/10000,0)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5" customFormat="1" ht="28.5" customHeight="1" thickBot="1">
      <c r="A3" s="509" t="s">
        <v>794</v>
      </c>
      <c r="B3" s="510" t="e">
        <f>C37</f>
        <v>#DIV/0!</v>
      </c>
      <c r="C3" s="851" t="s">
        <v>795</v>
      </c>
      <c r="D3" s="850">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8"/>
    </row>
    <row r="4" spans="1:29" ht="14.4">
      <c r="A4" s="512" t="s">
        <v>796</v>
      </c>
      <c r="B4" s="513"/>
      <c r="C4" s="3394" t="s">
        <v>797</v>
      </c>
      <c r="D4" s="3395"/>
      <c r="E4" s="3434" t="s">
        <v>798</v>
      </c>
      <c r="F4" s="3435"/>
      <c r="G4" s="3394" t="s">
        <v>799</v>
      </c>
      <c r="H4" s="3395"/>
      <c r="I4" s="3394" t="s">
        <v>800</v>
      </c>
      <c r="J4" s="3395"/>
      <c r="K4" s="514" t="s">
        <v>801</v>
      </c>
      <c r="L4" s="2130"/>
      <c r="M4" s="2131"/>
      <c r="N4" s="2131"/>
      <c r="O4" s="2131"/>
      <c r="P4" s="3396" t="s">
        <v>802</v>
      </c>
      <c r="Q4" s="3397"/>
      <c r="R4" s="3402" t="s">
        <v>798</v>
      </c>
      <c r="S4" s="3403"/>
      <c r="T4" s="3402" t="s">
        <v>799</v>
      </c>
      <c r="U4" s="3403"/>
      <c r="V4" s="3389" t="s">
        <v>800</v>
      </c>
      <c r="W4" s="3389"/>
      <c r="X4" s="1564"/>
      <c r="Y4" s="3402" t="s">
        <v>802</v>
      </c>
      <c r="Z4" s="3403"/>
      <c r="AA4" s="3391" t="s">
        <v>798</v>
      </c>
      <c r="AB4" s="3392" t="s">
        <v>799</v>
      </c>
      <c r="AC4" s="3391" t="s">
        <v>800</v>
      </c>
    </row>
    <row r="5" spans="1:29">
      <c r="A5" s="515"/>
      <c r="B5" s="516"/>
      <c r="C5" s="3428" t="s">
        <v>2925</v>
      </c>
      <c r="D5" s="3429"/>
      <c r="E5" s="3436" t="s">
        <v>2926</v>
      </c>
      <c r="F5" s="3437"/>
      <c r="G5" s="3428" t="s">
        <v>2927</v>
      </c>
      <c r="H5" s="3429"/>
      <c r="I5" s="3428" t="s">
        <v>2928</v>
      </c>
      <c r="J5" s="3429"/>
      <c r="K5" s="514"/>
      <c r="L5" s="2130"/>
      <c r="M5" s="2131"/>
      <c r="N5" s="2131"/>
      <c r="O5" s="2131"/>
      <c r="P5" s="3398"/>
      <c r="Q5" s="3399"/>
      <c r="R5" s="3404"/>
      <c r="S5" s="3405"/>
      <c r="T5" s="3404"/>
      <c r="U5" s="3405"/>
      <c r="V5" s="3389"/>
      <c r="W5" s="3389"/>
      <c r="X5" s="1564"/>
      <c r="Y5" s="3404"/>
      <c r="Z5" s="3405"/>
      <c r="AA5" s="3392"/>
      <c r="AB5" s="3392"/>
      <c r="AC5" s="3392"/>
    </row>
    <row r="6" spans="1:29" ht="15" thickBot="1">
      <c r="A6" s="517"/>
      <c r="B6" s="518"/>
      <c r="C6" s="3430" t="s">
        <v>2929</v>
      </c>
      <c r="D6" s="3431"/>
      <c r="E6" s="3432" t="s">
        <v>2929</v>
      </c>
      <c r="F6" s="3433"/>
      <c r="G6" s="3430" t="s">
        <v>2929</v>
      </c>
      <c r="H6" s="3431"/>
      <c r="I6" s="3430" t="s">
        <v>2929</v>
      </c>
      <c r="J6" s="3431"/>
      <c r="K6" s="514" t="s">
        <v>527</v>
      </c>
      <c r="L6" s="2130"/>
      <c r="M6" s="2131"/>
      <c r="N6" s="2131"/>
      <c r="O6" s="2131"/>
      <c r="P6" s="3400"/>
      <c r="Q6" s="3401"/>
      <c r="R6" s="3404"/>
      <c r="S6" s="3405"/>
      <c r="T6" s="3406"/>
      <c r="U6" s="3407"/>
      <c r="V6" s="3389"/>
      <c r="W6" s="3389"/>
      <c r="X6" s="1564"/>
      <c r="Y6" s="3406"/>
      <c r="Z6" s="3407"/>
      <c r="AA6" s="3393"/>
      <c r="AB6" s="3393"/>
      <c r="AC6" s="3393"/>
    </row>
    <row r="7" spans="1:29" s="1219" customFormat="1" ht="15" thickBot="1">
      <c r="A7" s="2933"/>
      <c r="B7" s="2940" t="s">
        <v>528</v>
      </c>
      <c r="C7" s="519">
        <f>'数据-取费表'!B2</f>
        <v>43507</v>
      </c>
      <c r="D7" s="520">
        <v>100</v>
      </c>
      <c r="E7" s="521"/>
      <c r="F7" s="522">
        <f>SUMIF(46:46,YEAR(E7)&amp;"-"&amp;MONTH(E7),47:47)</f>
        <v>0</v>
      </c>
      <c r="G7" s="523"/>
      <c r="H7" s="520">
        <f>SUMIF(46:46,YEAR(G7)&amp;"-"&amp;MONTH(G7),47:47)</f>
        <v>0</v>
      </c>
      <c r="I7" s="523"/>
      <c r="J7" s="520">
        <f>SUMIF(46:46,YEAR(I7)&amp;"-"&amp;MONTH(I7),47:47)</f>
        <v>0</v>
      </c>
      <c r="K7" s="524"/>
      <c r="L7" s="2132"/>
      <c r="M7" s="2133"/>
      <c r="N7" s="2133"/>
      <c r="O7" s="2133"/>
      <c r="P7" s="3421" t="s">
        <v>529</v>
      </c>
      <c r="Q7" s="3423"/>
      <c r="R7" s="1565" t="s">
        <v>8</v>
      </c>
      <c r="S7" s="1566">
        <f t="shared" ref="S7:S14" si="0">F7</f>
        <v>0</v>
      </c>
      <c r="T7" s="1565" t="s">
        <v>8</v>
      </c>
      <c r="U7" s="1566">
        <f t="shared" ref="U7:U14" si="1">H7</f>
        <v>0</v>
      </c>
      <c r="V7" s="1565" t="s">
        <v>8</v>
      </c>
      <c r="W7" s="1566">
        <f t="shared" ref="W7:W14" si="2">J7</f>
        <v>0</v>
      </c>
      <c r="X7" s="1567"/>
      <c r="Y7" s="3421" t="s">
        <v>529</v>
      </c>
      <c r="Z7" s="3422"/>
      <c r="AA7" s="1568" t="e">
        <f>D7/F7</f>
        <v>#DIV/0!</v>
      </c>
      <c r="AB7" s="1568" t="e">
        <f>D7/H7</f>
        <v>#DIV/0!</v>
      </c>
      <c r="AC7" s="1568" t="e">
        <f>D7/J7</f>
        <v>#DIV/0!</v>
      </c>
    </row>
    <row r="8" spans="1:29" s="1219" customFormat="1" ht="15" thickBot="1">
      <c r="A8" s="2934"/>
      <c r="B8" s="2941" t="s">
        <v>530</v>
      </c>
      <c r="C8" s="525" t="s">
        <v>575</v>
      </c>
      <c r="D8" s="520">
        <v>100</v>
      </c>
      <c r="E8" s="525"/>
      <c r="F8" s="522">
        <f>SUMIF(49:49,E8,50:50)-SUMIF(49:49,C8,50:50)+100</f>
        <v>0</v>
      </c>
      <c r="G8" s="525"/>
      <c r="H8" s="520">
        <f>SUMIF(49:49,G8,50:50)-SUMIF(49:49,C8,50:50)+100</f>
        <v>0</v>
      </c>
      <c r="I8" s="525"/>
      <c r="J8" s="520">
        <f>SUMIF(49:49,I8,50:50)-SUMIF(49:49,C8,50:50)+100</f>
        <v>0</v>
      </c>
      <c r="K8" s="524"/>
      <c r="L8" s="2132"/>
      <c r="M8" s="2133"/>
      <c r="N8" s="2133"/>
      <c r="O8" s="2133"/>
      <c r="P8" s="3421" t="s">
        <v>532</v>
      </c>
      <c r="Q8" s="3422"/>
      <c r="R8" s="1565" t="s">
        <v>8</v>
      </c>
      <c r="S8" s="1566">
        <f t="shared" si="0"/>
        <v>0</v>
      </c>
      <c r="T8" s="1565" t="s">
        <v>8</v>
      </c>
      <c r="U8" s="1566">
        <f t="shared" si="1"/>
        <v>0</v>
      </c>
      <c r="V8" s="1565" t="s">
        <v>8</v>
      </c>
      <c r="W8" s="1566">
        <f t="shared" si="2"/>
        <v>0</v>
      </c>
      <c r="X8" s="1567"/>
      <c r="Y8" s="3421" t="s">
        <v>532</v>
      </c>
      <c r="Z8" s="3422"/>
      <c r="AA8" s="1568" t="e">
        <f t="shared" ref="AA8:AA34" si="3">D8/F8</f>
        <v>#DIV/0!</v>
      </c>
      <c r="AB8" s="1568" t="e">
        <f t="shared" ref="AB8:AB34" si="4">D8/H8</f>
        <v>#DIV/0!</v>
      </c>
      <c r="AC8" s="1568" t="e">
        <f t="shared" ref="AC8:AC34" si="5">D8/J8</f>
        <v>#DIV/0!</v>
      </c>
    </row>
    <row r="9" spans="1:29" s="1219" customFormat="1" ht="14.4">
      <c r="A9" s="2935"/>
      <c r="B9" s="2942" t="s">
        <v>2754</v>
      </c>
      <c r="C9" s="856"/>
      <c r="D9" s="254">
        <v>100</v>
      </c>
      <c r="E9" s="859"/>
      <c r="F9" s="254">
        <f>SUMIF(51:51,E9,52:52)-SUMIF(51:51,C9,52:52)+100</f>
        <v>100</v>
      </c>
      <c r="G9" s="859"/>
      <c r="H9" s="254">
        <f>SUMIF(51:51,G9,52:52)-SUMIF(51:51,C9,52:52)+100</f>
        <v>100</v>
      </c>
      <c r="I9" s="859"/>
      <c r="J9" s="254">
        <f>SUMIF(51:51,I9,52:52)-SUMIF(51:51,C9,52:52)+100</f>
        <v>100</v>
      </c>
      <c r="K9" s="524"/>
      <c r="L9" s="2132"/>
      <c r="M9" s="2133"/>
      <c r="N9" s="2133"/>
      <c r="O9" s="2134"/>
      <c r="P9" s="3388" t="s">
        <v>534</v>
      </c>
      <c r="Q9" s="1150" t="str">
        <f t="shared" ref="Q9:Q14" si="6">B9</f>
        <v>用途</v>
      </c>
      <c r="R9" s="1565" t="s">
        <v>8</v>
      </c>
      <c r="S9" s="1566">
        <f t="shared" si="0"/>
        <v>100</v>
      </c>
      <c r="T9" s="1565" t="s">
        <v>8</v>
      </c>
      <c r="U9" s="1566">
        <f t="shared" si="1"/>
        <v>100</v>
      </c>
      <c r="V9" s="1565" t="s">
        <v>8</v>
      </c>
      <c r="W9" s="1566">
        <f t="shared" si="2"/>
        <v>100</v>
      </c>
      <c r="X9" s="1567"/>
      <c r="Y9" s="3334" t="s">
        <v>535</v>
      </c>
      <c r="Z9" s="1149" t="str">
        <f t="shared" ref="Z9:Z14" si="7">Q9</f>
        <v>用途</v>
      </c>
      <c r="AA9" s="1568">
        <f t="shared" si="3"/>
        <v>1</v>
      </c>
      <c r="AB9" s="1568">
        <f t="shared" si="4"/>
        <v>1</v>
      </c>
      <c r="AC9" s="1568">
        <f t="shared" si="5"/>
        <v>1</v>
      </c>
    </row>
    <row r="10" spans="1:29" s="1337" customFormat="1" ht="28.8">
      <c r="A10" s="2936"/>
      <c r="B10" s="2941" t="s">
        <v>2755</v>
      </c>
      <c r="C10" s="860"/>
      <c r="D10" s="255">
        <v>100</v>
      </c>
      <c r="E10" s="860"/>
      <c r="F10" s="255">
        <f>SUMIF(53:53,E10,54:54)-SUMIF(53:53,C10,54:54)+100</f>
        <v>100</v>
      </c>
      <c r="G10" s="861"/>
      <c r="H10" s="255">
        <f>SUMIF(53:53,G10,54:54)-SUMIF(53:53,C10,54:54)+100</f>
        <v>100</v>
      </c>
      <c r="I10" s="860"/>
      <c r="J10" s="255">
        <f>SUMIF(53:53,I10,54:54)-SUMIF(53:53,C10,54:54)+100</f>
        <v>100</v>
      </c>
      <c r="K10" s="583"/>
      <c r="L10" s="2135"/>
      <c r="M10" s="2175"/>
      <c r="N10" s="2175"/>
      <c r="O10" s="2136"/>
      <c r="P10" s="3388"/>
      <c r="Q10" s="1150" t="str">
        <f t="shared" si="6"/>
        <v>土地使用年限（年）</v>
      </c>
      <c r="R10" s="1565" t="s">
        <v>8</v>
      </c>
      <c r="S10" s="1566">
        <f t="shared" si="0"/>
        <v>100</v>
      </c>
      <c r="T10" s="1565" t="s">
        <v>8</v>
      </c>
      <c r="U10" s="1566">
        <f t="shared" si="1"/>
        <v>100</v>
      </c>
      <c r="V10" s="1565" t="s">
        <v>8</v>
      </c>
      <c r="W10" s="1566">
        <f t="shared" si="2"/>
        <v>100</v>
      </c>
      <c r="X10" s="1567"/>
      <c r="Y10" s="3334"/>
      <c r="Z10" s="1149" t="str">
        <f t="shared" si="7"/>
        <v>土地使用年限（年）</v>
      </c>
      <c r="AA10" s="1568">
        <f t="shared" si="3"/>
        <v>1</v>
      </c>
      <c r="AB10" s="1568">
        <f t="shared" si="4"/>
        <v>1</v>
      </c>
      <c r="AC10" s="1568">
        <f t="shared" si="5"/>
        <v>1</v>
      </c>
    </row>
    <row r="11" spans="1:29" ht="15">
      <c r="A11" s="2938"/>
      <c r="B11" s="2944">
        <v>111</v>
      </c>
      <c r="C11" s="528"/>
      <c r="D11" s="255">
        <v>100</v>
      </c>
      <c r="E11" s="879"/>
      <c r="F11" s="255">
        <f>SUMIF(55:55,E11,56:56)-SUMIF(55:55,C11,56:56)+100</f>
        <v>100</v>
      </c>
      <c r="G11" s="879"/>
      <c r="H11" s="255">
        <f>SUMIF(55:55,G11,56:56)-SUMIF(55:55,C11,56:56)+100</f>
        <v>100</v>
      </c>
      <c r="I11" s="879"/>
      <c r="J11" s="255">
        <f>SUMIF(55:55,I11,56:56)-SUMIF(55:55,C11,56:56)+100</f>
        <v>100</v>
      </c>
      <c r="K11" s="580"/>
      <c r="L11" s="2137"/>
      <c r="M11" s="2131"/>
      <c r="N11" s="2131"/>
      <c r="O11" s="2138"/>
      <c r="P11" s="3388"/>
      <c r="Q11" s="1150">
        <f t="shared" si="6"/>
        <v>111</v>
      </c>
      <c r="R11" s="1565" t="s">
        <v>8</v>
      </c>
      <c r="S11" s="1566">
        <f t="shared" si="0"/>
        <v>100</v>
      </c>
      <c r="T11" s="1565" t="s">
        <v>8</v>
      </c>
      <c r="U11" s="1566">
        <f t="shared" si="1"/>
        <v>100</v>
      </c>
      <c r="V11" s="1565" t="s">
        <v>8</v>
      </c>
      <c r="W11" s="1566">
        <f t="shared" si="2"/>
        <v>100</v>
      </c>
      <c r="X11" s="1567"/>
      <c r="Y11" s="3334"/>
      <c r="Z11" s="1149">
        <f t="shared" si="7"/>
        <v>111</v>
      </c>
      <c r="AA11" s="1568">
        <f t="shared" si="3"/>
        <v>1</v>
      </c>
      <c r="AB11" s="1568">
        <f t="shared" si="4"/>
        <v>1</v>
      </c>
      <c r="AC11" s="1568">
        <f t="shared" si="5"/>
        <v>1</v>
      </c>
    </row>
    <row r="12" spans="1:29" s="1219" customFormat="1" ht="15">
      <c r="A12" s="2938"/>
      <c r="B12" s="2944">
        <v>111</v>
      </c>
      <c r="C12" s="528"/>
      <c r="D12" s="537">
        <v>100</v>
      </c>
      <c r="E12" s="879"/>
      <c r="F12" s="255">
        <f>SUMIF(57:57,E12,58:58)-SUMIF(57:57,C12,58:58)+100</f>
        <v>100</v>
      </c>
      <c r="G12" s="879"/>
      <c r="H12" s="255">
        <f>SUMIF(57:57,G12,58:58)-SUMIF(57:57,C12,58:58)+100</f>
        <v>100</v>
      </c>
      <c r="I12" s="879"/>
      <c r="J12" s="255">
        <f>SUMIF(57:57,I12,58:58)-SUMIF(57:57,C12,58:58)+100</f>
        <v>100</v>
      </c>
      <c r="K12" s="580"/>
      <c r="L12" s="2132"/>
      <c r="M12" s="2133"/>
      <c r="N12" s="2133"/>
      <c r="O12" s="2134"/>
      <c r="P12" s="3388"/>
      <c r="Q12" s="1150">
        <f t="shared" si="6"/>
        <v>111</v>
      </c>
      <c r="R12" s="1565" t="s">
        <v>8</v>
      </c>
      <c r="S12" s="1566">
        <f t="shared" si="0"/>
        <v>100</v>
      </c>
      <c r="T12" s="1565" t="s">
        <v>8</v>
      </c>
      <c r="U12" s="1566">
        <f t="shared" si="1"/>
        <v>100</v>
      </c>
      <c r="V12" s="1565" t="s">
        <v>8</v>
      </c>
      <c r="W12" s="1566">
        <f t="shared" si="2"/>
        <v>100</v>
      </c>
      <c r="X12" s="1567"/>
      <c r="Y12" s="3334"/>
      <c r="Z12" s="1149">
        <f t="shared" si="7"/>
        <v>111</v>
      </c>
      <c r="AA12" s="1568">
        <f>D12/F12</f>
        <v>1</v>
      </c>
      <c r="AB12" s="1568">
        <f>D12/H12</f>
        <v>1</v>
      </c>
      <c r="AC12" s="1568">
        <f>D12/J12</f>
        <v>1</v>
      </c>
    </row>
    <row r="13" spans="1:29" ht="15.6" thickBot="1">
      <c r="A13" s="2939"/>
      <c r="B13" s="2945">
        <v>111</v>
      </c>
      <c r="C13" s="538"/>
      <c r="D13" s="539">
        <v>100</v>
      </c>
      <c r="E13" s="879"/>
      <c r="F13" s="255">
        <f>SUMIF(59:59,E13,60:60)-SUMIF(59:59,C13,60:60)+100</f>
        <v>100</v>
      </c>
      <c r="G13" s="879"/>
      <c r="H13" s="539">
        <f>SUMIF(59:59,G13,60:60)-SUMIF(59:59,C13,60:60)+100</f>
        <v>100</v>
      </c>
      <c r="I13" s="879"/>
      <c r="J13" s="539">
        <f>SUMIF(59:59,I13,60:60)-SUMIF(59:59,C13,60:60)+100</f>
        <v>100</v>
      </c>
      <c r="K13" s="580"/>
      <c r="L13" s="2139"/>
      <c r="M13" s="2131"/>
      <c r="N13" s="2131"/>
      <c r="O13" s="2138"/>
      <c r="P13" s="3388"/>
      <c r="Q13" s="1150">
        <f t="shared" si="6"/>
        <v>111</v>
      </c>
      <c r="R13" s="1565" t="s">
        <v>8</v>
      </c>
      <c r="S13" s="1566">
        <f t="shared" si="0"/>
        <v>100</v>
      </c>
      <c r="T13" s="1565" t="s">
        <v>8</v>
      </c>
      <c r="U13" s="1566">
        <f t="shared" si="1"/>
        <v>100</v>
      </c>
      <c r="V13" s="1565" t="s">
        <v>8</v>
      </c>
      <c r="W13" s="1566">
        <f t="shared" si="2"/>
        <v>100</v>
      </c>
      <c r="X13" s="1567"/>
      <c r="Y13" s="3334"/>
      <c r="Z13" s="1149">
        <f t="shared" si="7"/>
        <v>111</v>
      </c>
      <c r="AA13" s="1568">
        <f t="shared" si="3"/>
        <v>1</v>
      </c>
      <c r="AB13" s="1568">
        <f t="shared" si="4"/>
        <v>1</v>
      </c>
      <c r="AC13" s="1568">
        <f t="shared" si="5"/>
        <v>1</v>
      </c>
    </row>
    <row r="14" spans="1:29" ht="96.6">
      <c r="A14" s="2931" t="s">
        <v>2752</v>
      </c>
      <c r="B14" s="166" t="s">
        <v>542</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39"/>
      <c r="M14" s="2131"/>
      <c r="N14" s="2131"/>
      <c r="O14" s="2138"/>
      <c r="P14" s="3424" t="s">
        <v>539</v>
      </c>
      <c r="Q14" s="1569" t="str">
        <f t="shared" si="6"/>
        <v>交通便捷度</v>
      </c>
      <c r="R14" s="1570" t="s">
        <v>8</v>
      </c>
      <c r="S14" s="1571">
        <f t="shared" si="0"/>
        <v>100</v>
      </c>
      <c r="T14" s="1570" t="s">
        <v>8</v>
      </c>
      <c r="U14" s="1571">
        <f t="shared" si="1"/>
        <v>100</v>
      </c>
      <c r="V14" s="1570" t="s">
        <v>8</v>
      </c>
      <c r="W14" s="1571">
        <f t="shared" si="2"/>
        <v>100</v>
      </c>
      <c r="X14" s="1564"/>
      <c r="Y14" s="3424" t="s">
        <v>539</v>
      </c>
      <c r="Z14" s="1572" t="str">
        <f t="shared" si="7"/>
        <v>交通便捷度</v>
      </c>
      <c r="AA14" s="1573">
        <f t="shared" si="3"/>
        <v>1</v>
      </c>
      <c r="AB14" s="1573">
        <f t="shared" si="4"/>
        <v>1</v>
      </c>
      <c r="AC14" s="1573">
        <f t="shared" si="5"/>
        <v>1</v>
      </c>
    </row>
    <row r="15" spans="1:29" ht="15">
      <c r="A15" s="531"/>
      <c r="B15" s="868"/>
      <c r="C15" s="575"/>
      <c r="D15" s="554"/>
      <c r="E15" s="575"/>
      <c r="F15" s="556"/>
      <c r="G15" s="575"/>
      <c r="H15" s="558"/>
      <c r="I15" s="575"/>
      <c r="J15" s="554"/>
      <c r="K15" s="898"/>
      <c r="L15" s="2139"/>
      <c r="M15" s="2131"/>
      <c r="N15" s="2131"/>
      <c r="O15" s="2138"/>
      <c r="P15" s="3425"/>
      <c r="Q15" s="1569"/>
      <c r="R15" s="1570"/>
      <c r="S15" s="1571"/>
      <c r="T15" s="1570"/>
      <c r="U15" s="1571"/>
      <c r="V15" s="1570"/>
      <c r="W15" s="1571"/>
      <c r="X15" s="1564"/>
      <c r="Y15" s="3425"/>
      <c r="Z15" s="1572"/>
      <c r="AA15" s="1573">
        <v>1</v>
      </c>
      <c r="AB15" s="1573">
        <v>1</v>
      </c>
      <c r="AC15" s="1573">
        <v>1</v>
      </c>
    </row>
    <row r="16" spans="1:29" ht="41.4">
      <c r="A16" s="531"/>
      <c r="B16" s="2624"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39"/>
      <c r="M16" s="2131"/>
      <c r="N16" s="2131"/>
      <c r="O16" s="2138"/>
      <c r="P16" s="3425"/>
      <c r="Q16" s="1569" t="str">
        <f>B16</f>
        <v>公共配套设施</v>
      </c>
      <c r="R16" s="1570" t="s">
        <v>8</v>
      </c>
      <c r="S16" s="1571">
        <f>F16</f>
        <v>100</v>
      </c>
      <c r="T16" s="1570" t="s">
        <v>8</v>
      </c>
      <c r="U16" s="1571">
        <f>H16</f>
        <v>100</v>
      </c>
      <c r="V16" s="1570" t="s">
        <v>8</v>
      </c>
      <c r="W16" s="1571">
        <f>J16</f>
        <v>100</v>
      </c>
      <c r="X16" s="1564"/>
      <c r="Y16" s="3425"/>
      <c r="Z16" s="1572" t="str">
        <f>Q16</f>
        <v>公共配套设施</v>
      </c>
      <c r="AA16" s="1573">
        <f t="shared" si="3"/>
        <v>1</v>
      </c>
      <c r="AB16" s="1573">
        <f t="shared" si="4"/>
        <v>1</v>
      </c>
      <c r="AC16" s="1573">
        <f t="shared" si="5"/>
        <v>1</v>
      </c>
    </row>
    <row r="17" spans="1:29" ht="15">
      <c r="A17" s="531"/>
      <c r="B17" s="565"/>
      <c r="C17" s="872"/>
      <c r="D17" s="554"/>
      <c r="E17" s="575"/>
      <c r="F17" s="556"/>
      <c r="G17" s="575"/>
      <c r="H17" s="554"/>
      <c r="I17" s="575"/>
      <c r="J17" s="554"/>
      <c r="K17" s="898"/>
      <c r="L17" s="2139"/>
      <c r="M17" s="2131"/>
      <c r="N17" s="2131"/>
      <c r="O17" s="2138"/>
      <c r="P17" s="3425"/>
      <c r="Q17" s="1569"/>
      <c r="R17" s="1570"/>
      <c r="S17" s="1571"/>
      <c r="T17" s="1570"/>
      <c r="U17" s="1571"/>
      <c r="V17" s="1570"/>
      <c r="W17" s="1571"/>
      <c r="X17" s="1564"/>
      <c r="Y17" s="3425"/>
      <c r="Z17" s="1572"/>
      <c r="AA17" s="1573">
        <v>1</v>
      </c>
      <c r="AB17" s="1573">
        <v>1</v>
      </c>
      <c r="AC17" s="1573">
        <v>1</v>
      </c>
    </row>
    <row r="18" spans="1:29" ht="41.4">
      <c r="A18" s="531"/>
      <c r="B18" s="2612"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39"/>
      <c r="M18" s="2131"/>
      <c r="N18" s="2131"/>
      <c r="O18" s="2138"/>
      <c r="P18" s="3425"/>
      <c r="Q18" s="2600" t="str">
        <f>B18</f>
        <v>基础设施水平</v>
      </c>
      <c r="R18" s="1570" t="s">
        <v>8</v>
      </c>
      <c r="S18" s="1571">
        <f>F18</f>
        <v>100</v>
      </c>
      <c r="T18" s="1570" t="s">
        <v>8</v>
      </c>
      <c r="U18" s="1571">
        <f>H18</f>
        <v>100</v>
      </c>
      <c r="V18" s="1570" t="s">
        <v>8</v>
      </c>
      <c r="W18" s="1571">
        <f>J18</f>
        <v>100</v>
      </c>
      <c r="X18" s="2602"/>
      <c r="Y18" s="3425"/>
      <c r="Z18" s="2601" t="str">
        <f>Q18</f>
        <v>基础设施水平</v>
      </c>
      <c r="AA18" s="1573">
        <f t="shared" ref="AA18" si="8">D18/F18</f>
        <v>1</v>
      </c>
      <c r="AB18" s="1573">
        <f t="shared" ref="AB18" si="9">D18/H18</f>
        <v>1</v>
      </c>
      <c r="AC18" s="1573">
        <f t="shared" ref="AC18" si="10">D18/J18</f>
        <v>1</v>
      </c>
    </row>
    <row r="19" spans="1:29" ht="15">
      <c r="A19" s="531"/>
      <c r="B19" s="577"/>
      <c r="C19" s="872"/>
      <c r="D19" s="558"/>
      <c r="E19" s="872"/>
      <c r="F19" s="562"/>
      <c r="G19" s="872"/>
      <c r="H19" s="554"/>
      <c r="I19" s="575"/>
      <c r="J19" s="554"/>
      <c r="K19" s="2623"/>
      <c r="L19" s="2139"/>
      <c r="M19" s="2131"/>
      <c r="N19" s="2131"/>
      <c r="O19" s="2138"/>
      <c r="P19" s="3425"/>
      <c r="Q19" s="2600"/>
      <c r="R19" s="1570"/>
      <c r="S19" s="1571"/>
      <c r="T19" s="1570"/>
      <c r="U19" s="1571"/>
      <c r="V19" s="1570"/>
      <c r="W19" s="1571"/>
      <c r="X19" s="2602"/>
      <c r="Y19" s="3425"/>
      <c r="Z19" s="2601"/>
      <c r="AA19" s="1573">
        <v>1</v>
      </c>
      <c r="AB19" s="1573">
        <v>1</v>
      </c>
      <c r="AC19" s="1573">
        <v>1</v>
      </c>
    </row>
    <row r="20" spans="1:29" ht="55.2">
      <c r="A20" s="531"/>
      <c r="B20" s="870" t="s">
        <v>803</v>
      </c>
      <c r="C20" s="871" t="str">
        <f>IF(B1="工业",估价对象房地状况!G7,估价对象房地状况!C9)</f>
        <v>区域自然环境：；人文环境；综合评价好</v>
      </c>
      <c r="D20" s="564">
        <v>100</v>
      </c>
      <c r="E20" s="569"/>
      <c r="F20" s="570">
        <f>SUMIF(67:67,E21,68:68)-SUMIF(67:67,C21,68:68)+100</f>
        <v>100</v>
      </c>
      <c r="G20" s="571"/>
      <c r="H20" s="558">
        <f>SUMIF(67:67,G21,68:68)-SUMIF(67:67,C21,68:68)+100</f>
        <v>100</v>
      </c>
      <c r="I20" s="561"/>
      <c r="J20" s="558">
        <f>SUMIF(67:67,I21,68:68)-SUMIF(67:67,C21,68:68)+100</f>
        <v>100</v>
      </c>
      <c r="K20" s="897"/>
      <c r="L20" s="2139"/>
      <c r="M20" s="2131"/>
      <c r="N20" s="2131"/>
      <c r="O20" s="2138"/>
      <c r="P20" s="3425"/>
      <c r="Q20" s="1569" t="str">
        <f>B20</f>
        <v>自然及人文环境</v>
      </c>
      <c r="R20" s="1570" t="s">
        <v>8</v>
      </c>
      <c r="S20" s="1571">
        <f>F20</f>
        <v>100</v>
      </c>
      <c r="T20" s="1570" t="s">
        <v>8</v>
      </c>
      <c r="U20" s="1571">
        <f>H20</f>
        <v>100</v>
      </c>
      <c r="V20" s="1570" t="s">
        <v>8</v>
      </c>
      <c r="W20" s="1571">
        <f>J20</f>
        <v>100</v>
      </c>
      <c r="X20" s="1564"/>
      <c r="Y20" s="3425"/>
      <c r="Z20" s="1572" t="str">
        <f>Q20</f>
        <v>自然及人文环境</v>
      </c>
      <c r="AA20" s="1573">
        <f t="shared" si="3"/>
        <v>1</v>
      </c>
      <c r="AB20" s="1573">
        <f t="shared" si="4"/>
        <v>1</v>
      </c>
      <c r="AC20" s="1573">
        <f t="shared" si="5"/>
        <v>1</v>
      </c>
    </row>
    <row r="21" spans="1:29" ht="15">
      <c r="A21" s="531"/>
      <c r="B21" s="594"/>
      <c r="C21" s="575"/>
      <c r="D21" s="554"/>
      <c r="E21" s="575"/>
      <c r="F21" s="556"/>
      <c r="G21" s="575"/>
      <c r="H21" s="554"/>
      <c r="I21" s="575"/>
      <c r="J21" s="554"/>
      <c r="K21" s="898"/>
      <c r="L21" s="2139"/>
      <c r="M21" s="2131"/>
      <c r="N21" s="2131"/>
      <c r="O21" s="2138"/>
      <c r="P21" s="3425"/>
      <c r="Q21" s="1569"/>
      <c r="R21" s="1570"/>
      <c r="S21" s="1571"/>
      <c r="T21" s="1570"/>
      <c r="U21" s="1571"/>
      <c r="V21" s="1570"/>
      <c r="W21" s="1571"/>
      <c r="X21" s="1564"/>
      <c r="Y21" s="3425"/>
      <c r="Z21" s="1572"/>
      <c r="AA21" s="1573">
        <v>1</v>
      </c>
      <c r="AB21" s="1573">
        <v>1</v>
      </c>
      <c r="AC21" s="1573">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25"/>
      <c r="Q22" s="1569" t="str">
        <f>B22</f>
        <v>楼层</v>
      </c>
      <c r="R22" s="1570" t="s">
        <v>8</v>
      </c>
      <c r="S22" s="1571">
        <f>F22</f>
        <v>100</v>
      </c>
      <c r="T22" s="1570" t="s">
        <v>8</v>
      </c>
      <c r="U22" s="1571">
        <f>H22</f>
        <v>100</v>
      </c>
      <c r="V22" s="1570" t="s">
        <v>8</v>
      </c>
      <c r="W22" s="1571">
        <f>J22</f>
        <v>100</v>
      </c>
      <c r="X22" s="1564"/>
      <c r="Y22" s="3425"/>
      <c r="Z22" s="1572" t="str">
        <f>Q22</f>
        <v>楼层</v>
      </c>
      <c r="AA22" s="1573">
        <f t="shared" si="3"/>
        <v>1</v>
      </c>
      <c r="AB22" s="1573">
        <f t="shared" si="4"/>
        <v>1</v>
      </c>
      <c r="AC22" s="1573">
        <f t="shared" si="5"/>
        <v>1</v>
      </c>
    </row>
    <row r="23" spans="1:29" ht="15">
      <c r="A23" s="515"/>
      <c r="B23" s="536">
        <v>111</v>
      </c>
      <c r="C23" s="528"/>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25"/>
      <c r="Q23" s="1569">
        <f>B23</f>
        <v>111</v>
      </c>
      <c r="R23" s="1570" t="s">
        <v>8</v>
      </c>
      <c r="S23" s="1571">
        <f>F23</f>
        <v>100</v>
      </c>
      <c r="T23" s="1570" t="s">
        <v>8</v>
      </c>
      <c r="U23" s="1571">
        <f>H23</f>
        <v>100</v>
      </c>
      <c r="V23" s="1570" t="s">
        <v>8</v>
      </c>
      <c r="W23" s="1571">
        <f>J23</f>
        <v>100</v>
      </c>
      <c r="X23" s="1564"/>
      <c r="Y23" s="3425"/>
      <c r="Z23" s="1572">
        <f>Q23</f>
        <v>111</v>
      </c>
      <c r="AA23" s="1573">
        <f t="shared" si="3"/>
        <v>1</v>
      </c>
      <c r="AB23" s="1573">
        <f t="shared" si="4"/>
        <v>1</v>
      </c>
      <c r="AC23" s="1573">
        <f t="shared" si="5"/>
        <v>1</v>
      </c>
    </row>
    <row r="24" spans="1:29" ht="15">
      <c r="A24" s="531"/>
      <c r="B24" s="536">
        <v>111</v>
      </c>
      <c r="C24" s="528"/>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25"/>
      <c r="Q24" s="1569">
        <f t="shared" ref="Q24:Q34" si="11">B24</f>
        <v>111</v>
      </c>
      <c r="R24" s="1570" t="s">
        <v>8</v>
      </c>
      <c r="S24" s="1571">
        <f>F24</f>
        <v>100</v>
      </c>
      <c r="T24" s="1570" t="s">
        <v>8</v>
      </c>
      <c r="U24" s="1571">
        <f>H24</f>
        <v>100</v>
      </c>
      <c r="V24" s="1570" t="s">
        <v>8</v>
      </c>
      <c r="W24" s="1571">
        <f>J24</f>
        <v>100</v>
      </c>
      <c r="X24" s="1564"/>
      <c r="Y24" s="3425"/>
      <c r="Z24" s="1572">
        <f>Q24</f>
        <v>111</v>
      </c>
      <c r="AA24" s="1573">
        <f t="shared" si="3"/>
        <v>1</v>
      </c>
      <c r="AB24" s="1573">
        <f t="shared" si="4"/>
        <v>1</v>
      </c>
      <c r="AC24" s="1573">
        <f t="shared" si="5"/>
        <v>1</v>
      </c>
    </row>
    <row r="25" spans="1:29" s="1219"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2"/>
      <c r="M25" s="2133"/>
      <c r="N25" s="2133"/>
      <c r="O25" s="2134"/>
      <c r="P25" s="3425"/>
      <c r="Q25" s="1150">
        <f t="shared" si="11"/>
        <v>111</v>
      </c>
      <c r="R25" s="1565" t="s">
        <v>8</v>
      </c>
      <c r="S25" s="1566">
        <f>F25</f>
        <v>100</v>
      </c>
      <c r="T25" s="1565" t="s">
        <v>8</v>
      </c>
      <c r="U25" s="1566">
        <f>H25</f>
        <v>100</v>
      </c>
      <c r="V25" s="1565" t="s">
        <v>8</v>
      </c>
      <c r="W25" s="1566">
        <f>J25</f>
        <v>100</v>
      </c>
      <c r="X25" s="1567"/>
      <c r="Y25" s="3425"/>
      <c r="Z25" s="1149">
        <f>Q25</f>
        <v>111</v>
      </c>
      <c r="AA25" s="1573">
        <f>D25/F25</f>
        <v>1</v>
      </c>
      <c r="AB25" s="1573">
        <f>D25/H25</f>
        <v>1</v>
      </c>
      <c r="AC25" s="1573">
        <f>D25/J25</f>
        <v>1</v>
      </c>
    </row>
    <row r="26" spans="1:29" ht="15">
      <c r="A26" s="2928" t="s">
        <v>2753</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39"/>
      <c r="M26" s="2131"/>
      <c r="N26" s="2131"/>
      <c r="O26" s="2138"/>
      <c r="P26" s="3426"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27" t="s">
        <v>820</v>
      </c>
      <c r="Z26" s="1572" t="str">
        <f t="shared" ref="Z26:Z34" si="15">Q26</f>
        <v>公共部分装修</v>
      </c>
      <c r="AA26" s="1573">
        <f t="shared" si="3"/>
        <v>1</v>
      </c>
      <c r="AB26" s="1573">
        <f t="shared" si="4"/>
        <v>1</v>
      </c>
      <c r="AC26" s="1573">
        <f t="shared" si="5"/>
        <v>1</v>
      </c>
    </row>
    <row r="27" spans="1:29" s="1338" customFormat="1" ht="15">
      <c r="A27" s="602"/>
      <c r="B27" s="527" t="s">
        <v>808</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37"/>
      <c r="M27" s="2168"/>
      <c r="N27" s="2168"/>
      <c r="O27" s="2140"/>
      <c r="P27" s="3427"/>
      <c r="Q27" s="1602" t="str">
        <f t="shared" si="11"/>
        <v>成新率</v>
      </c>
      <c r="R27" s="1574" t="s">
        <v>8</v>
      </c>
      <c r="S27" s="1575" t="e">
        <f t="shared" si="12"/>
        <v>#N/A</v>
      </c>
      <c r="T27" s="1574" t="s">
        <v>8</v>
      </c>
      <c r="U27" s="1575" t="e">
        <f t="shared" si="13"/>
        <v>#N/A</v>
      </c>
      <c r="V27" s="1574" t="s">
        <v>8</v>
      </c>
      <c r="W27" s="1575" t="e">
        <f t="shared" si="14"/>
        <v>#N/A</v>
      </c>
      <c r="X27" s="1576"/>
      <c r="Y27" s="3427"/>
      <c r="Z27" s="1577" t="str">
        <f t="shared" si="15"/>
        <v>成新率</v>
      </c>
      <c r="AA27" s="1573" t="e">
        <f t="shared" si="3"/>
        <v>#N/A</v>
      </c>
      <c r="AB27" s="1573" t="e">
        <f t="shared" si="4"/>
        <v>#N/A</v>
      </c>
      <c r="AC27" s="1573" t="e">
        <f t="shared" si="5"/>
        <v>#N/A</v>
      </c>
    </row>
    <row r="28" spans="1:29" ht="15">
      <c r="A28" s="593"/>
      <c r="B28" s="527" t="s">
        <v>809</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27"/>
      <c r="Q28" s="1569" t="str">
        <f t="shared" si="11"/>
        <v>物业等级</v>
      </c>
      <c r="R28" s="1570" t="s">
        <v>8</v>
      </c>
      <c r="S28" s="1571">
        <f t="shared" si="12"/>
        <v>100</v>
      </c>
      <c r="T28" s="1570" t="s">
        <v>8</v>
      </c>
      <c r="U28" s="1571">
        <f t="shared" si="13"/>
        <v>100</v>
      </c>
      <c r="V28" s="1570" t="s">
        <v>8</v>
      </c>
      <c r="W28" s="1571">
        <f t="shared" si="14"/>
        <v>100</v>
      </c>
      <c r="X28" s="1564"/>
      <c r="Y28" s="3427"/>
      <c r="Z28" s="1572" t="str">
        <f t="shared" si="15"/>
        <v>物业等级</v>
      </c>
      <c r="AA28" s="1573">
        <f t="shared" si="3"/>
        <v>1</v>
      </c>
      <c r="AB28" s="1573">
        <f t="shared" si="4"/>
        <v>1</v>
      </c>
      <c r="AC28" s="1573">
        <f t="shared" si="5"/>
        <v>1</v>
      </c>
    </row>
    <row r="29" spans="1:29" ht="15">
      <c r="A29" s="593"/>
      <c r="B29" s="527" t="s">
        <v>821</v>
      </c>
      <c r="C29" s="931"/>
      <c r="D29" s="539">
        <v>100</v>
      </c>
      <c r="E29" s="931"/>
      <c r="F29" s="574">
        <f>SUMIF(84:84,E29,85:85)-SUMIF(84:84,C29,85:85)+100</f>
        <v>100</v>
      </c>
      <c r="G29" s="931"/>
      <c r="H29" s="539">
        <f>SUMIF(84:84,G29,85:85)-SUMIF(84:84,C29,85:85)+100</f>
        <v>100</v>
      </c>
      <c r="I29" s="931"/>
      <c r="J29" s="539">
        <f>SUMIF(84:84,I29,85:85)-SUMIF(84:84,C29,85:85)+100</f>
        <v>100</v>
      </c>
      <c r="K29" s="583"/>
      <c r="L29" s="2139"/>
      <c r="M29" s="2131"/>
      <c r="N29" s="2131"/>
      <c r="O29" s="2138"/>
      <c r="P29" s="3427"/>
      <c r="Q29" s="1569" t="str">
        <f t="shared" si="11"/>
        <v>有无电梯</v>
      </c>
      <c r="R29" s="1570" t="s">
        <v>8</v>
      </c>
      <c r="S29" s="1571">
        <f t="shared" si="12"/>
        <v>100</v>
      </c>
      <c r="T29" s="1570" t="s">
        <v>8</v>
      </c>
      <c r="U29" s="1571">
        <f t="shared" si="13"/>
        <v>100</v>
      </c>
      <c r="V29" s="1570" t="s">
        <v>8</v>
      </c>
      <c r="W29" s="1571">
        <f t="shared" si="14"/>
        <v>100</v>
      </c>
      <c r="X29" s="1564"/>
      <c r="Y29" s="3427"/>
      <c r="Z29" s="1572" t="str">
        <f t="shared" si="15"/>
        <v>有无电梯</v>
      </c>
      <c r="AA29" s="1573">
        <f t="shared" si="3"/>
        <v>1</v>
      </c>
      <c r="AB29" s="1573">
        <f t="shared" si="4"/>
        <v>1</v>
      </c>
      <c r="AC29" s="1573">
        <f t="shared" si="5"/>
        <v>1</v>
      </c>
    </row>
    <row r="30" spans="1:29" ht="15">
      <c r="A30" s="593"/>
      <c r="B30" s="527"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39"/>
      <c r="M30" s="2131"/>
      <c r="N30" s="2131"/>
      <c r="O30" s="2138"/>
      <c r="P30" s="3427"/>
      <c r="Q30" s="1569" t="str">
        <f t="shared" si="11"/>
        <v>建筑面积</v>
      </c>
      <c r="R30" s="1570" t="s">
        <v>8</v>
      </c>
      <c r="S30" s="1571" t="e">
        <f t="shared" si="12"/>
        <v>#N/A</v>
      </c>
      <c r="T30" s="1570" t="s">
        <v>8</v>
      </c>
      <c r="U30" s="1571" t="e">
        <f t="shared" si="13"/>
        <v>#N/A</v>
      </c>
      <c r="V30" s="1570" t="s">
        <v>8</v>
      </c>
      <c r="W30" s="1571" t="e">
        <f t="shared" si="14"/>
        <v>#N/A</v>
      </c>
      <c r="X30" s="1564"/>
      <c r="Y30" s="3427"/>
      <c r="Z30" s="1572" t="str">
        <f t="shared" si="15"/>
        <v>建筑面积</v>
      </c>
      <c r="AA30" s="1573" t="e">
        <f t="shared" si="3"/>
        <v>#N/A</v>
      </c>
      <c r="AB30" s="1573" t="e">
        <f t="shared" si="4"/>
        <v>#N/A</v>
      </c>
      <c r="AC30" s="1573" t="e">
        <f t="shared" si="5"/>
        <v>#N/A</v>
      </c>
    </row>
    <row r="31" spans="1:29" s="1219" customFormat="1" ht="15">
      <c r="A31" s="599"/>
      <c r="B31" s="527" t="s">
        <v>823</v>
      </c>
      <c r="C31" s="931"/>
      <c r="D31" s="255">
        <v>100</v>
      </c>
      <c r="E31" s="931"/>
      <c r="F31" s="574">
        <f>SUMIF(89:89,E31,90:90)-SUMIF(89:89,C31,90:90)+100</f>
        <v>100</v>
      </c>
      <c r="G31" s="931"/>
      <c r="H31" s="539">
        <f>SUMIF(89:89,G31,90:90)-SUMIF(89:89,C31,90:90)+100</f>
        <v>100</v>
      </c>
      <c r="I31" s="931"/>
      <c r="J31" s="539">
        <f>SUMIF(89:89,I31,90:90)-SUMIF(89:89,C31,90:90)+100</f>
        <v>100</v>
      </c>
      <c r="K31" s="583"/>
      <c r="L31" s="2132"/>
      <c r="M31" s="2133"/>
      <c r="N31" s="2133"/>
      <c r="O31" s="2134"/>
      <c r="P31" s="3427"/>
      <c r="Q31" s="1150" t="str">
        <f t="shared" si="11"/>
        <v>是否封闭</v>
      </c>
      <c r="R31" s="1565" t="s">
        <v>8</v>
      </c>
      <c r="S31" s="1566">
        <f t="shared" si="12"/>
        <v>100</v>
      </c>
      <c r="T31" s="1565" t="s">
        <v>8</v>
      </c>
      <c r="U31" s="1566">
        <f t="shared" si="13"/>
        <v>100</v>
      </c>
      <c r="V31" s="1565" t="s">
        <v>8</v>
      </c>
      <c r="W31" s="1566">
        <f t="shared" si="14"/>
        <v>100</v>
      </c>
      <c r="X31" s="1567"/>
      <c r="Y31" s="3427"/>
      <c r="Z31" s="1149" t="str">
        <f t="shared" si="15"/>
        <v>是否封闭</v>
      </c>
      <c r="AA31" s="1568">
        <f t="shared" si="3"/>
        <v>1</v>
      </c>
      <c r="AB31" s="1568">
        <f t="shared" si="4"/>
        <v>1</v>
      </c>
      <c r="AC31" s="1568">
        <f t="shared" si="5"/>
        <v>1</v>
      </c>
    </row>
    <row r="32" spans="1:29" ht="15">
      <c r="A32" s="593"/>
      <c r="B32" s="536">
        <v>111</v>
      </c>
      <c r="C32" s="528"/>
      <c r="D32" s="539">
        <v>100</v>
      </c>
      <c r="E32" s="879"/>
      <c r="F32" s="574">
        <f>SUMIF(91:91,E32,92:92)-SUMIF(91:91,C32,92:92)+100</f>
        <v>100</v>
      </c>
      <c r="G32" s="879"/>
      <c r="H32" s="539">
        <f>SUMIF(91:91,G32,92:92)-SUMIF(91:91,C32,92:92)+100</f>
        <v>100</v>
      </c>
      <c r="I32" s="879"/>
      <c r="J32" s="539">
        <f>SUMIF(91:91,I32,92:92)-SUMIF(91:91,C32,92:92)+100</f>
        <v>100</v>
      </c>
      <c r="K32" s="580"/>
      <c r="L32" s="2139"/>
      <c r="M32" s="2131"/>
      <c r="N32" s="2131"/>
      <c r="O32" s="2138"/>
      <c r="P32" s="3427" t="s">
        <v>549</v>
      </c>
      <c r="Q32" s="1569">
        <f t="shared" si="11"/>
        <v>111</v>
      </c>
      <c r="R32" s="1570" t="s">
        <v>8</v>
      </c>
      <c r="S32" s="1571">
        <f t="shared" si="12"/>
        <v>100</v>
      </c>
      <c r="T32" s="1570" t="s">
        <v>8</v>
      </c>
      <c r="U32" s="1571">
        <f t="shared" si="13"/>
        <v>100</v>
      </c>
      <c r="V32" s="1570" t="s">
        <v>8</v>
      </c>
      <c r="W32" s="1571">
        <f t="shared" si="14"/>
        <v>100</v>
      </c>
      <c r="X32" s="1564"/>
      <c r="Y32" s="3427" t="s">
        <v>549</v>
      </c>
      <c r="Z32" s="1572">
        <f t="shared" si="15"/>
        <v>111</v>
      </c>
      <c r="AA32" s="1573">
        <f t="shared" si="3"/>
        <v>1</v>
      </c>
      <c r="AB32" s="1573">
        <f t="shared" si="4"/>
        <v>1</v>
      </c>
      <c r="AC32" s="1573">
        <f t="shared" si="5"/>
        <v>1</v>
      </c>
    </row>
    <row r="33" spans="1:29" ht="15">
      <c r="A33" s="593"/>
      <c r="B33" s="536">
        <v>111</v>
      </c>
      <c r="C33" s="528"/>
      <c r="D33" s="539">
        <v>100</v>
      </c>
      <c r="E33" s="879"/>
      <c r="F33" s="574">
        <f>SUMIF(93:93,E33,94:94)-SUMIF(93:93,C33,94:94)+100</f>
        <v>100</v>
      </c>
      <c r="G33" s="879"/>
      <c r="H33" s="539">
        <f>SUMIF(93:93,G33,94:94)-SUMIF(93:93,C33,94:94)+100</f>
        <v>100</v>
      </c>
      <c r="I33" s="879"/>
      <c r="J33" s="539">
        <f>SUMIF(93:93,I33,94:94)-SUMIF(93:93,C33,94:94)+100</f>
        <v>100</v>
      </c>
      <c r="K33" s="580"/>
      <c r="L33" s="2139"/>
      <c r="M33" s="2131"/>
      <c r="N33" s="2131"/>
      <c r="O33" s="2138"/>
      <c r="P33" s="3427"/>
      <c r="Q33" s="1569">
        <f t="shared" si="11"/>
        <v>111</v>
      </c>
      <c r="R33" s="1570" t="s">
        <v>8</v>
      </c>
      <c r="S33" s="1571">
        <f t="shared" si="12"/>
        <v>100</v>
      </c>
      <c r="T33" s="1570" t="s">
        <v>8</v>
      </c>
      <c r="U33" s="1571">
        <f t="shared" si="13"/>
        <v>100</v>
      </c>
      <c r="V33" s="1570" t="s">
        <v>8</v>
      </c>
      <c r="W33" s="1571">
        <f t="shared" si="14"/>
        <v>100</v>
      </c>
      <c r="X33" s="1564"/>
      <c r="Y33" s="3427"/>
      <c r="Z33" s="1572">
        <f t="shared" si="15"/>
        <v>111</v>
      </c>
      <c r="AA33" s="1573">
        <f t="shared" si="3"/>
        <v>1</v>
      </c>
      <c r="AB33" s="1573">
        <f t="shared" si="4"/>
        <v>1</v>
      </c>
      <c r="AC33" s="1573">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9"/>
      <c r="M34" s="2131"/>
      <c r="N34" s="2131"/>
      <c r="O34" s="2138"/>
      <c r="P34" s="3427"/>
      <c r="Q34" s="1569">
        <f t="shared" si="11"/>
        <v>111</v>
      </c>
      <c r="R34" s="1570" t="s">
        <v>8</v>
      </c>
      <c r="S34" s="1571">
        <f t="shared" si="12"/>
        <v>100</v>
      </c>
      <c r="T34" s="1570" t="s">
        <v>8</v>
      </c>
      <c r="U34" s="1571">
        <f t="shared" si="13"/>
        <v>100</v>
      </c>
      <c r="V34" s="1570" t="s">
        <v>8</v>
      </c>
      <c r="W34" s="1571">
        <f t="shared" si="14"/>
        <v>100</v>
      </c>
      <c r="X34" s="1564"/>
      <c r="Y34" s="3427"/>
      <c r="Z34" s="1572">
        <f t="shared" si="15"/>
        <v>111</v>
      </c>
      <c r="AA34" s="1573">
        <f t="shared" si="3"/>
        <v>1</v>
      </c>
      <c r="AB34" s="1573">
        <f t="shared" si="4"/>
        <v>1</v>
      </c>
      <c r="AC34" s="1573">
        <f t="shared" si="5"/>
        <v>1</v>
      </c>
    </row>
    <row r="35" spans="1:29" ht="14.4">
      <c r="A35" s="606" t="s">
        <v>735</v>
      </c>
      <c r="B35" s="886"/>
      <c r="C35" s="2648" t="s">
        <v>1</v>
      </c>
      <c r="D35" s="2649"/>
      <c r="E35" s="2650"/>
      <c r="F35" s="2651"/>
      <c r="G35" s="2652"/>
      <c r="H35" s="2653"/>
      <c r="I35" s="2650"/>
      <c r="J35" s="2653"/>
      <c r="K35" s="1608"/>
      <c r="L35" s="2141"/>
      <c r="M35" s="2142"/>
      <c r="N35" s="2131"/>
      <c r="O35" s="2142"/>
      <c r="P35" s="3388" t="str">
        <f>A35</f>
        <v>成交单价（元/平方米）</v>
      </c>
      <c r="Q35" s="3388"/>
      <c r="R35" s="3512">
        <f>E35</f>
        <v>0</v>
      </c>
      <c r="S35" s="3512"/>
      <c r="T35" s="3512">
        <f>G35</f>
        <v>0</v>
      </c>
      <c r="U35" s="3512"/>
      <c r="V35" s="3512">
        <f>I35</f>
        <v>0</v>
      </c>
      <c r="W35" s="3512"/>
      <c r="X35" s="1556"/>
      <c r="Y35" s="1578"/>
      <c r="Z35" s="1556"/>
      <c r="AA35" s="1556"/>
      <c r="AB35" s="1556"/>
      <c r="AC35" s="1556"/>
    </row>
    <row r="36" spans="1:29" ht="15" thickBot="1">
      <c r="A36" s="614" t="s">
        <v>2758</v>
      </c>
      <c r="B36" s="887"/>
      <c r="C36" s="2654" t="e">
        <f>R37</f>
        <v>#DIV/0!</v>
      </c>
      <c r="D36" s="2655"/>
      <c r="E36" s="2656" t="e">
        <f>R36</f>
        <v>#DIV/0!</v>
      </c>
      <c r="F36" s="2656"/>
      <c r="G36" s="2654" t="e">
        <f>T36</f>
        <v>#DIV/0!</v>
      </c>
      <c r="H36" s="2655"/>
      <c r="I36" s="2656" t="e">
        <f>V36</f>
        <v>#DIV/0!</v>
      </c>
      <c r="J36" s="2655"/>
      <c r="K36" s="1609"/>
      <c r="L36" s="2141"/>
      <c r="M36" s="2142"/>
      <c r="N36" s="2131"/>
      <c r="O36" s="2142"/>
      <c r="P36" s="3388" t="str">
        <f>A36</f>
        <v>比较价格（元/平方米）</v>
      </c>
      <c r="Q36" s="3388"/>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1556"/>
      <c r="Y36" s="1556"/>
      <c r="Z36" s="1556"/>
      <c r="AA36" s="1556"/>
      <c r="AB36" s="1556"/>
      <c r="AC36" s="1556"/>
    </row>
    <row r="37" spans="1:29" ht="15" thickBot="1">
      <c r="A37" s="620" t="s">
        <v>2931</v>
      </c>
      <c r="B37" s="621"/>
      <c r="C37" s="2657" t="e">
        <f>R37</f>
        <v>#DIV/0!</v>
      </c>
      <c r="D37" s="2657"/>
      <c r="E37" s="2657"/>
      <c r="F37" s="2657"/>
      <c r="G37" s="2657"/>
      <c r="H37" s="2657"/>
      <c r="I37" s="2657"/>
      <c r="J37" s="2657"/>
      <c r="K37" s="1610"/>
      <c r="L37" s="2141"/>
      <c r="M37" s="2142"/>
      <c r="N37" s="2142"/>
      <c r="O37" s="2142"/>
      <c r="P37" s="3385" t="str">
        <f>A37</f>
        <v>估价对象XX用房的比较价格（楼面单价，元/平方米）</v>
      </c>
      <c r="Q37" s="3386"/>
      <c r="R37" s="3513" t="e">
        <f>IF(F1="售价",ROUND(AVERAGE(R36:V36),0),ROUND(AVERAGE(R36:V36),1))</f>
        <v>#DIV/0!</v>
      </c>
      <c r="S37" s="3513"/>
      <c r="T37" s="3513"/>
      <c r="U37" s="3513"/>
      <c r="V37" s="3513"/>
      <c r="W37" s="3513"/>
      <c r="X37" s="1556"/>
      <c r="Y37" s="1556"/>
      <c r="Z37" s="1556"/>
      <c r="AA37" s="1556"/>
      <c r="AB37" s="1556"/>
      <c r="AC37" s="1556"/>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4" customFormat="1" ht="13.5" customHeight="1">
      <c r="A42" s="2143"/>
      <c r="B42" s="2143"/>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4"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2.2" thickBot="1">
      <c r="A45" s="1581" t="s">
        <v>573</v>
      </c>
      <c r="B45" s="1556"/>
      <c r="C45" s="1580"/>
      <c r="D45" s="1580"/>
      <c r="E45" s="1580"/>
      <c r="F45" s="1582"/>
      <c r="G45" s="1582"/>
      <c r="H45" s="1580"/>
      <c r="I45" s="1580"/>
      <c r="J45" s="1580"/>
      <c r="K45" s="1583"/>
      <c r="L45" s="1579"/>
      <c r="M45" s="1580"/>
      <c r="N45" s="1580"/>
      <c r="O45" s="1580"/>
      <c r="P45" s="2154"/>
      <c r="Q45" s="2155"/>
      <c r="R45" s="2142"/>
      <c r="S45" s="2142"/>
      <c r="T45" s="2142"/>
      <c r="U45" s="2142"/>
      <c r="V45" s="2142"/>
      <c r="W45" s="2142"/>
      <c r="X45" s="2142"/>
      <c r="Y45" s="2142"/>
      <c r="Z45" s="2142"/>
      <c r="AA45" s="2142"/>
      <c r="AB45" s="2142"/>
      <c r="AC45" s="2142"/>
    </row>
    <row r="46" spans="1:29" s="1346" customFormat="1" ht="14.4">
      <c r="A46" s="644" t="s">
        <v>528</v>
      </c>
      <c r="B46" s="645"/>
      <c r="C46" s="2823" t="str">
        <f>YEAR(C7)&amp;"-"&amp;MONTH(C7)</f>
        <v>2019-2</v>
      </c>
      <c r="D46" s="2825">
        <f>EDATE(C46,-1)</f>
        <v>43466</v>
      </c>
      <c r="E46" s="2825">
        <f t="shared" ref="E46:O46" si="16">EDATE(D46,-1)</f>
        <v>43435</v>
      </c>
      <c r="F46" s="2825">
        <f t="shared" si="16"/>
        <v>43405</v>
      </c>
      <c r="G46" s="2825">
        <f t="shared" si="16"/>
        <v>43374</v>
      </c>
      <c r="H46" s="2825">
        <f t="shared" si="16"/>
        <v>43344</v>
      </c>
      <c r="I46" s="2825">
        <f t="shared" si="16"/>
        <v>43313</v>
      </c>
      <c r="J46" s="2825">
        <f t="shared" si="16"/>
        <v>43282</v>
      </c>
      <c r="K46" s="2825">
        <f t="shared" si="16"/>
        <v>43252</v>
      </c>
      <c r="L46" s="2825">
        <f t="shared" si="16"/>
        <v>43221</v>
      </c>
      <c r="M46" s="2825">
        <f t="shared" si="16"/>
        <v>43191</v>
      </c>
      <c r="N46" s="2825">
        <f t="shared" si="16"/>
        <v>43160</v>
      </c>
      <c r="O46" s="2825">
        <f t="shared" si="16"/>
        <v>43132</v>
      </c>
      <c r="P46" s="2157"/>
      <c r="Q46" s="2158"/>
      <c r="R46" s="2158"/>
      <c r="S46" s="2158"/>
      <c r="T46" s="2158"/>
      <c r="U46" s="2158"/>
      <c r="V46" s="2158"/>
      <c r="W46" s="2158"/>
      <c r="X46" s="2158"/>
      <c r="Y46" s="2158"/>
      <c r="Z46" s="2158"/>
      <c r="AA46" s="2158"/>
      <c r="AB46" s="2158"/>
      <c r="AC46" s="2158"/>
    </row>
    <row r="47" spans="1:29" s="1219" customFormat="1">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9" customFormat="1" ht="15" thickBot="1">
      <c r="A48" s="652" t="s">
        <v>574</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9" customFormat="1" ht="14.4">
      <c r="A49" s="658" t="s">
        <v>530</v>
      </c>
      <c r="B49" s="647"/>
      <c r="C49" s="659" t="s">
        <v>575</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9" customFormat="1" ht="14.4"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ht="14.4">
      <c r="A51" s="663" t="s">
        <v>576</v>
      </c>
      <c r="B51" s="664" t="s">
        <v>533</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4.4"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9.4" thickTop="1">
      <c r="A53" s="668"/>
      <c r="B53" s="672" t="s">
        <v>536</v>
      </c>
      <c r="C53" s="673" t="s">
        <v>736</v>
      </c>
      <c r="D53" s="673" t="s">
        <v>737</v>
      </c>
      <c r="E53" s="673" t="s">
        <v>738</v>
      </c>
      <c r="F53" s="673" t="s">
        <v>739</v>
      </c>
      <c r="G53" s="673" t="s">
        <v>740</v>
      </c>
      <c r="H53" s="673" t="s">
        <v>741</v>
      </c>
      <c r="I53" s="673" t="s">
        <v>742</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4.4" thickTop="1">
      <c r="A55" s="668"/>
      <c r="B55" s="934">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4.4"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8" customFormat="1" ht="14.4"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8" customFormat="1" ht="14.4"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8" customFormat="1" ht="14.4"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8" customFormat="1" ht="14.4"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 thickTop="1">
      <c r="A63" s="668"/>
      <c r="B63" s="1893" t="s">
        <v>2556</v>
      </c>
      <c r="C63" s="707" t="s">
        <v>578</v>
      </c>
      <c r="D63" s="707" t="s">
        <v>579</v>
      </c>
      <c r="E63" s="707" t="s">
        <v>580</v>
      </c>
      <c r="F63" s="707" t="s">
        <v>581</v>
      </c>
      <c r="G63" s="707" t="s">
        <v>582</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2618" t="s">
        <v>2557</v>
      </c>
      <c r="C65" s="2619" t="s">
        <v>2558</v>
      </c>
      <c r="D65" s="2619" t="s">
        <v>2559</v>
      </c>
      <c r="E65" s="2619" t="s">
        <v>2560</v>
      </c>
      <c r="F65" s="2619" t="s">
        <v>2561</v>
      </c>
      <c r="G65" s="2619" t="s">
        <v>2562</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63"/>
      <c r="O66" s="2163"/>
      <c r="P66" s="2162"/>
      <c r="Q66" s="2155"/>
      <c r="R66" s="2142"/>
      <c r="S66" s="2142"/>
      <c r="T66" s="2142"/>
      <c r="U66" s="2142"/>
      <c r="V66" s="2142"/>
      <c r="W66" s="2142"/>
      <c r="X66" s="2142"/>
      <c r="Y66" s="2142"/>
      <c r="Z66" s="2142"/>
      <c r="AA66" s="2142"/>
      <c r="AB66" s="2142"/>
      <c r="AC66" s="2142"/>
    </row>
    <row r="67" spans="1:29" ht="15" thickTop="1">
      <c r="A67" s="668"/>
      <c r="B67" s="672" t="s">
        <v>743</v>
      </c>
      <c r="C67" s="707" t="s">
        <v>578</v>
      </c>
      <c r="D67" s="707" t="s">
        <v>579</v>
      </c>
      <c r="E67" s="707" t="s">
        <v>580</v>
      </c>
      <c r="F67" s="707" t="s">
        <v>581</v>
      </c>
      <c r="G67" s="707" t="s">
        <v>582</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 thickTop="1">
      <c r="A69" s="668"/>
      <c r="B69" s="672" t="s">
        <v>744</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9" customFormat="1" ht="14.4" thickTop="1">
      <c r="A71" s="708"/>
      <c r="B71" s="672">
        <f>B23</f>
        <v>111</v>
      </c>
      <c r="C71" s="540"/>
      <c r="D71" s="540"/>
      <c r="E71" s="540"/>
      <c r="F71" s="540"/>
      <c r="G71" s="687"/>
      <c r="H71" s="687"/>
      <c r="I71" s="687"/>
      <c r="J71" s="687"/>
      <c r="K71" s="687"/>
      <c r="L71" s="889"/>
      <c r="M71" s="890"/>
      <c r="N71" s="2159"/>
      <c r="O71" s="2159"/>
      <c r="P71" s="2162"/>
      <c r="Q71" s="2155"/>
      <c r="R71" s="1990"/>
      <c r="S71" s="1990"/>
      <c r="T71" s="1990"/>
      <c r="U71" s="1990"/>
      <c r="V71" s="1990"/>
      <c r="W71" s="1990"/>
      <c r="X71" s="1990"/>
      <c r="Y71" s="1990"/>
      <c r="Z71" s="1990"/>
      <c r="AA71" s="1990"/>
      <c r="AB71" s="1990"/>
      <c r="AC71" s="1990"/>
    </row>
    <row r="72" spans="1:29" s="1219" customFormat="1" ht="14.4"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9" customFormat="1" ht="14.4" thickTop="1">
      <c r="A73" s="708"/>
      <c r="B73" s="672">
        <f>B24</f>
        <v>111</v>
      </c>
      <c r="C73" s="540"/>
      <c r="D73" s="540"/>
      <c r="E73" s="540"/>
      <c r="F73" s="540"/>
      <c r="G73" s="687"/>
      <c r="H73" s="687"/>
      <c r="I73" s="687"/>
      <c r="J73" s="687"/>
      <c r="K73" s="687"/>
      <c r="L73" s="687"/>
      <c r="M73" s="890"/>
      <c r="N73" s="2159"/>
      <c r="O73" s="2159"/>
      <c r="P73" s="2162"/>
      <c r="Q73" s="2155"/>
      <c r="R73" s="1990"/>
      <c r="S73" s="1990"/>
      <c r="T73" s="1990"/>
      <c r="U73" s="1990"/>
      <c r="V73" s="1990"/>
      <c r="W73" s="1990"/>
      <c r="X73" s="1990"/>
      <c r="Y73" s="1990"/>
      <c r="Z73" s="1990"/>
      <c r="AA73" s="1990"/>
      <c r="AB73" s="1990"/>
      <c r="AC73" s="1990"/>
    </row>
    <row r="74" spans="1:29" s="1219"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8" customFormat="1" ht="14.4"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8" customFormat="1" ht="14.4"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550</v>
      </c>
      <c r="B77" s="664" t="s">
        <v>750</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c r="A80" s="668"/>
      <c r="B80" s="680"/>
      <c r="C80" s="893">
        <v>0.5</v>
      </c>
      <c r="D80" s="893">
        <v>0.6</v>
      </c>
      <c r="E80" s="893">
        <v>0.7</v>
      </c>
      <c r="F80" s="893">
        <v>0.8</v>
      </c>
      <c r="G80" s="893">
        <v>0.9</v>
      </c>
      <c r="H80" s="893">
        <v>1.0001</v>
      </c>
      <c r="I80" s="934"/>
      <c r="J80" s="934"/>
      <c r="K80" s="944"/>
      <c r="L80" s="945"/>
      <c r="M80" s="946"/>
      <c r="N80" s="2159"/>
      <c r="O80" s="2159"/>
      <c r="P80" s="2162"/>
      <c r="Q80" s="2155"/>
      <c r="R80" s="2142"/>
      <c r="S80" s="2142"/>
      <c r="T80" s="2142"/>
      <c r="U80" s="2142"/>
      <c r="V80" s="2142"/>
      <c r="W80" s="2142"/>
      <c r="X80" s="2142"/>
      <c r="Y80" s="2142"/>
      <c r="Z80" s="2142"/>
      <c r="AA80" s="2142"/>
      <c r="AB80" s="2142"/>
      <c r="AC80" s="2142"/>
    </row>
    <row r="81" spans="1:29" s="1338"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816</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824</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8" customFormat="1" ht="15" thickTop="1">
      <c r="A89" s="727"/>
      <c r="B89" s="672" t="s">
        <v>826</v>
      </c>
      <c r="C89" s="687"/>
      <c r="D89" s="687"/>
      <c r="E89" s="687"/>
      <c r="F89" s="687"/>
      <c r="G89" s="687"/>
      <c r="H89" s="687"/>
      <c r="I89" s="687"/>
      <c r="J89" s="687"/>
      <c r="K89" s="687"/>
      <c r="L89" s="687"/>
      <c r="M89" s="890"/>
      <c r="N89" s="2164"/>
      <c r="O89" s="2164"/>
      <c r="P89" s="2165"/>
      <c r="Q89" s="2166"/>
      <c r="R89" s="2167"/>
      <c r="S89" s="2167"/>
      <c r="T89" s="2167"/>
      <c r="U89" s="2167"/>
      <c r="V89" s="2167"/>
      <c r="W89" s="2167"/>
      <c r="X89" s="2167"/>
      <c r="Y89" s="2167"/>
      <c r="Z89" s="2167"/>
      <c r="AA89" s="2167"/>
      <c r="AB89" s="2167"/>
      <c r="AC89" s="2167"/>
    </row>
    <row r="90" spans="1:29" s="1338" customFormat="1" ht="14.4"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4.4"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4.4"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4.4"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4.4" thickTop="1">
      <c r="A95" s="734"/>
      <c r="B95" s="916">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4.4"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4.4"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9" customWidth="1"/>
    <col min="2" max="2" width="9.2187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3"/>
    <col min="19" max="19" width="9" style="1249"/>
    <col min="20" max="35" width="9" style="257"/>
    <col min="36" max="16384" width="9" style="1249"/>
  </cols>
  <sheetData>
    <row r="1" spans="1:45" s="257" customFormat="1" ht="14.25" customHeight="1" thickBot="1">
      <c r="A1" s="365"/>
      <c r="B1" s="2231" t="s">
        <v>2304</v>
      </c>
      <c r="C1" s="3523" t="s">
        <v>2305</v>
      </c>
      <c r="D1" s="3524"/>
      <c r="E1" s="3524"/>
      <c r="F1" s="3524"/>
      <c r="G1" s="3524"/>
      <c r="H1" s="3524"/>
      <c r="I1" s="3524"/>
      <c r="J1" s="3524"/>
      <c r="K1" s="3524"/>
      <c r="L1" s="3524"/>
      <c r="M1" s="3524"/>
      <c r="N1" s="3524"/>
      <c r="O1" s="3524"/>
      <c r="P1" s="3524"/>
      <c r="Q1" s="3524"/>
      <c r="R1" s="3524"/>
      <c r="S1" s="3525"/>
      <c r="T1" s="2231" t="s">
        <v>2306</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3" t="str">
        <f>S3&amp;"(含)"&amp;"-"</f>
        <v>(含)-</v>
      </c>
      <c r="T2" s="951"/>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2"/>
      <c r="C3" s="953"/>
      <c r="D3" s="954"/>
      <c r="E3" s="954"/>
      <c r="F3" s="954"/>
      <c r="G3" s="954"/>
      <c r="H3" s="954"/>
      <c r="I3" s="954"/>
      <c r="J3" s="955"/>
      <c r="K3" s="955"/>
      <c r="L3" s="956"/>
      <c r="M3" s="2236"/>
      <c r="N3" s="2237"/>
      <c r="O3" s="954"/>
      <c r="P3" s="954"/>
      <c r="Q3" s="954"/>
      <c r="R3" s="954"/>
      <c r="S3" s="2238"/>
      <c r="T3" s="957"/>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8"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10" t="s">
        <v>2924</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8"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12" t="s">
        <v>2923</v>
      </c>
      <c r="C7" s="1958"/>
      <c r="D7" s="1959"/>
      <c r="E7" s="1959"/>
      <c r="F7" s="1959"/>
      <c r="G7" s="1959"/>
      <c r="H7" s="1959"/>
      <c r="I7" s="1959"/>
      <c r="J7" s="1959"/>
      <c r="K7" s="1959"/>
      <c r="L7" s="1959"/>
      <c r="M7" s="2256"/>
      <c r="N7" s="2257"/>
      <c r="O7" s="2258"/>
      <c r="P7" s="2259"/>
      <c r="Q7" s="2260"/>
      <c r="R7" s="2261"/>
      <c r="S7" s="2262"/>
      <c r="T7" s="958"/>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8"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12" t="s">
        <v>2922</v>
      </c>
      <c r="C9" s="1958"/>
      <c r="D9" s="1959"/>
      <c r="E9" s="1959"/>
      <c r="F9" s="1959"/>
      <c r="G9" s="1959"/>
      <c r="H9" s="1959"/>
      <c r="I9" s="1959"/>
      <c r="J9" s="1959"/>
      <c r="K9" s="1959"/>
      <c r="L9" s="1960"/>
      <c r="M9" s="2256"/>
      <c r="N9" s="2257"/>
      <c r="O9" s="2258"/>
      <c r="P9" s="2259"/>
      <c r="Q9" s="2260"/>
      <c r="R9" s="2261"/>
      <c r="S9" s="2262"/>
      <c r="T9" s="958"/>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8" thickBot="1">
      <c r="A10" s="2248"/>
      <c r="B10" s="3111"/>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10" t="s">
        <v>2937</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8"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10" t="s">
        <v>2921</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8"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10" t="s">
        <v>2920</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8"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2308</v>
      </c>
      <c r="B17" s="2275" t="s">
        <v>2309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8"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1"/>
      <c r="B19" s="947"/>
      <c r="C19" s="1987"/>
      <c r="D19" s="1987"/>
      <c r="E19" s="1987"/>
      <c r="F19" s="1987"/>
      <c r="G19" s="1987"/>
      <c r="H19" s="1987"/>
      <c r="I19" s="1987"/>
      <c r="J19" s="1987"/>
      <c r="K19" s="1987"/>
      <c r="L19" s="1987"/>
      <c r="M19" s="1987"/>
      <c r="N19" s="1987"/>
      <c r="O19" s="1987"/>
      <c r="P19" s="1987"/>
      <c r="Q19" s="1987"/>
      <c r="R19" s="2222"/>
      <c r="S19" s="2025"/>
    </row>
    <row r="20" spans="1:45" ht="15.6">
      <c r="A20" s="959" t="s">
        <v>827</v>
      </c>
      <c r="B20" s="774">
        <f>S22</f>
        <v>0</v>
      </c>
      <c r="C20" s="1987"/>
      <c r="D20" s="1987"/>
      <c r="E20" s="1987"/>
      <c r="F20" s="1987"/>
      <c r="G20" s="1987"/>
      <c r="H20" s="1987"/>
      <c r="I20" s="1987"/>
      <c r="J20" s="1987"/>
      <c r="K20" s="1987"/>
      <c r="L20" s="1987"/>
      <c r="M20" s="1987"/>
      <c r="N20" s="1987"/>
      <c r="O20" s="1987"/>
      <c r="P20" s="1987"/>
      <c r="Q20" s="1987"/>
      <c r="R20" s="2222"/>
      <c r="S20" s="2025"/>
    </row>
    <row r="21" spans="1:45" ht="15.6">
      <c r="A21" s="959" t="s">
        <v>828</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829</v>
      </c>
      <c r="B22" s="53">
        <f>SUM(B24:B10000)</f>
        <v>0</v>
      </c>
      <c r="C22" s="3520" t="s">
        <v>20</v>
      </c>
      <c r="D22" s="3521"/>
      <c r="E22" s="3521"/>
      <c r="F22" s="3521"/>
      <c r="G22" s="3521"/>
      <c r="H22" s="3521"/>
      <c r="I22" s="3521"/>
      <c r="J22" s="3521"/>
      <c r="K22" s="3521"/>
      <c r="L22" s="3521"/>
      <c r="M22" s="3521"/>
      <c r="N22" s="3521"/>
      <c r="O22" s="3521"/>
      <c r="P22" s="3521"/>
      <c r="Q22" s="3522"/>
      <c r="R22" s="490"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2"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23"/>
      <c r="S525" s="257"/>
    </row>
    <row r="526" spans="1:19">
      <c r="A526" s="257"/>
      <c r="B526" s="57"/>
      <c r="C526" s="57"/>
      <c r="D526" s="57"/>
      <c r="E526" s="57"/>
      <c r="F526" s="57"/>
      <c r="G526" s="57"/>
      <c r="H526" s="57"/>
      <c r="I526" s="57"/>
      <c r="J526" s="57"/>
      <c r="K526" s="57"/>
      <c r="L526" s="57"/>
      <c r="M526" s="57"/>
      <c r="N526" s="57"/>
      <c r="O526" s="57"/>
      <c r="P526" s="57"/>
      <c r="Q526" s="57"/>
      <c r="R526" s="2223"/>
      <c r="S526" s="257"/>
    </row>
    <row r="527" spans="1:19">
      <c r="A527" s="257"/>
      <c r="B527" s="57"/>
      <c r="C527" s="57"/>
      <c r="D527" s="57"/>
      <c r="E527" s="57"/>
      <c r="F527" s="57"/>
      <c r="G527" s="57"/>
      <c r="H527" s="57"/>
      <c r="I527" s="57"/>
      <c r="J527" s="57"/>
      <c r="K527" s="57"/>
      <c r="L527" s="57"/>
      <c r="M527" s="57"/>
      <c r="N527" s="57"/>
      <c r="O527" s="57"/>
      <c r="P527" s="57"/>
      <c r="Q527" s="57"/>
      <c r="R527" s="2223"/>
      <c r="S527" s="257"/>
    </row>
    <row r="528" spans="1:19">
      <c r="A528" s="257"/>
      <c r="B528" s="57"/>
      <c r="C528" s="57"/>
      <c r="D528" s="57"/>
      <c r="E528" s="57"/>
      <c r="F528" s="57"/>
      <c r="G528" s="57"/>
      <c r="H528" s="57"/>
      <c r="I528" s="57"/>
      <c r="J528" s="57"/>
      <c r="K528" s="57"/>
      <c r="L528" s="57"/>
      <c r="M528" s="57"/>
      <c r="N528" s="57"/>
      <c r="O528" s="57"/>
      <c r="P528" s="57"/>
      <c r="Q528" s="57"/>
      <c r="R528" s="2223"/>
      <c r="S528" s="257"/>
    </row>
    <row r="529" spans="1:19">
      <c r="A529" s="257"/>
      <c r="B529" s="57"/>
      <c r="C529" s="57"/>
      <c r="D529" s="57"/>
      <c r="E529" s="57"/>
      <c r="F529" s="57"/>
      <c r="G529" s="57"/>
      <c r="H529" s="57"/>
      <c r="I529" s="57"/>
      <c r="J529" s="57"/>
      <c r="K529" s="57"/>
      <c r="L529" s="57"/>
      <c r="M529" s="57"/>
      <c r="N529" s="57"/>
      <c r="O529" s="57"/>
      <c r="P529" s="57"/>
      <c r="Q529" s="57"/>
      <c r="R529" s="2223"/>
      <c r="S529" s="257"/>
    </row>
    <row r="530" spans="1:19">
      <c r="A530" s="257"/>
      <c r="B530" s="57"/>
      <c r="C530" s="57"/>
      <c r="D530" s="57"/>
      <c r="E530" s="57"/>
      <c r="F530" s="57"/>
      <c r="G530" s="57"/>
      <c r="H530" s="57"/>
      <c r="I530" s="57"/>
      <c r="J530" s="57"/>
      <c r="K530" s="57"/>
      <c r="L530" s="57"/>
      <c r="M530" s="57"/>
      <c r="N530" s="57"/>
      <c r="O530" s="57"/>
      <c r="P530" s="57"/>
      <c r="Q530" s="57"/>
      <c r="R530" s="2223"/>
      <c r="S530" s="257"/>
    </row>
    <row r="531" spans="1:19">
      <c r="A531" s="257"/>
      <c r="B531" s="57"/>
      <c r="C531" s="57"/>
      <c r="D531" s="57"/>
      <c r="E531" s="57"/>
      <c r="F531" s="57"/>
      <c r="G531" s="57"/>
      <c r="H531" s="57"/>
      <c r="I531" s="57"/>
      <c r="J531" s="57"/>
      <c r="K531" s="57"/>
      <c r="L531" s="57"/>
      <c r="M531" s="57"/>
      <c r="N531" s="57"/>
      <c r="O531" s="57"/>
      <c r="P531" s="57"/>
      <c r="Q531" s="57"/>
      <c r="R531" s="2223"/>
      <c r="S531" s="257"/>
    </row>
    <row r="532" spans="1:19">
      <c r="A532" s="257"/>
      <c r="B532" s="57"/>
      <c r="C532" s="57"/>
      <c r="D532" s="57"/>
      <c r="E532" s="57"/>
      <c r="F532" s="57"/>
      <c r="G532" s="57"/>
      <c r="H532" s="57"/>
      <c r="I532" s="57"/>
      <c r="J532" s="57"/>
      <c r="K532" s="57"/>
      <c r="L532" s="57"/>
      <c r="M532" s="57"/>
      <c r="N532" s="57"/>
      <c r="O532" s="57"/>
      <c r="P532" s="57"/>
      <c r="Q532" s="57"/>
      <c r="R532" s="2223"/>
      <c r="S532" s="257"/>
    </row>
    <row r="533" spans="1:19">
      <c r="A533" s="257"/>
      <c r="B533" s="57"/>
      <c r="C533" s="57"/>
      <c r="D533" s="57"/>
      <c r="E533" s="57"/>
      <c r="F533" s="57"/>
      <c r="G533" s="57"/>
      <c r="H533" s="57"/>
      <c r="I533" s="57"/>
      <c r="J533" s="57"/>
      <c r="K533" s="57"/>
      <c r="L533" s="57"/>
      <c r="M533" s="57"/>
      <c r="N533" s="57"/>
      <c r="O533" s="57"/>
      <c r="P533" s="57"/>
      <c r="Q533" s="57"/>
      <c r="R533" s="2223"/>
      <c r="S533" s="257"/>
    </row>
    <row r="534" spans="1:19">
      <c r="A534" s="257"/>
      <c r="B534" s="57"/>
      <c r="C534" s="57"/>
      <c r="D534" s="57"/>
      <c r="E534" s="57"/>
      <c r="F534" s="57"/>
      <c r="G534" s="57"/>
      <c r="H534" s="57"/>
      <c r="I534" s="57"/>
      <c r="J534" s="57"/>
      <c r="K534" s="57"/>
      <c r="L534" s="57"/>
      <c r="M534" s="57"/>
      <c r="N534" s="57"/>
      <c r="O534" s="57"/>
      <c r="P534" s="57"/>
      <c r="Q534" s="57"/>
      <c r="R534" s="2223"/>
      <c r="S534" s="257"/>
    </row>
    <row r="535" spans="1:19">
      <c r="A535" s="257"/>
      <c r="B535" s="57"/>
      <c r="C535" s="57"/>
      <c r="D535" s="57"/>
      <c r="E535" s="57"/>
      <c r="F535" s="57"/>
      <c r="G535" s="57"/>
      <c r="H535" s="57"/>
      <c r="I535" s="57"/>
      <c r="J535" s="57"/>
      <c r="K535" s="57"/>
      <c r="L535" s="57"/>
      <c r="M535" s="57"/>
      <c r="N535" s="57"/>
      <c r="O535" s="57"/>
      <c r="P535" s="57"/>
      <c r="Q535" s="57"/>
      <c r="R535" s="2223"/>
      <c r="S535" s="257"/>
    </row>
    <row r="536" spans="1:19">
      <c r="A536" s="257"/>
      <c r="B536" s="57"/>
      <c r="C536" s="57"/>
      <c r="D536" s="57"/>
      <c r="E536" s="57"/>
      <c r="F536" s="57"/>
      <c r="G536" s="57"/>
      <c r="H536" s="57"/>
      <c r="I536" s="57"/>
      <c r="J536" s="57"/>
      <c r="K536" s="57"/>
      <c r="L536" s="57"/>
      <c r="M536" s="57"/>
      <c r="N536" s="57"/>
      <c r="O536" s="57"/>
      <c r="P536" s="57"/>
      <c r="Q536" s="57"/>
      <c r="R536" s="2223"/>
      <c r="S536" s="257"/>
    </row>
    <row r="537" spans="1:19">
      <c r="A537" s="257"/>
      <c r="B537" s="57"/>
      <c r="C537" s="57"/>
      <c r="D537" s="57"/>
      <c r="E537" s="57"/>
      <c r="F537" s="57"/>
      <c r="G537" s="57"/>
      <c r="H537" s="57"/>
      <c r="I537" s="57"/>
      <c r="J537" s="57"/>
      <c r="K537" s="57"/>
      <c r="L537" s="57"/>
      <c r="M537" s="57"/>
      <c r="N537" s="57"/>
      <c r="O537" s="57"/>
      <c r="P537" s="57"/>
      <c r="Q537" s="57"/>
      <c r="R537" s="2223"/>
      <c r="S537" s="257"/>
    </row>
    <row r="538" spans="1:19">
      <c r="A538" s="257"/>
      <c r="B538" s="57"/>
      <c r="C538" s="57"/>
      <c r="D538" s="57"/>
      <c r="E538" s="57"/>
      <c r="F538" s="57"/>
      <c r="G538" s="57"/>
      <c r="H538" s="57"/>
      <c r="I538" s="57"/>
      <c r="J538" s="57"/>
      <c r="K538" s="57"/>
      <c r="L538" s="57"/>
      <c r="M538" s="57"/>
      <c r="N538" s="57"/>
      <c r="O538" s="57"/>
      <c r="P538" s="57"/>
      <c r="Q538" s="57"/>
      <c r="R538" s="2223"/>
      <c r="S538" s="257"/>
    </row>
    <row r="539" spans="1:19">
      <c r="A539" s="257"/>
      <c r="B539" s="57"/>
      <c r="C539" s="57"/>
      <c r="D539" s="57"/>
      <c r="E539" s="57"/>
      <c r="F539" s="57"/>
      <c r="G539" s="57"/>
      <c r="H539" s="57"/>
      <c r="I539" s="57"/>
      <c r="J539" s="57"/>
      <c r="K539" s="57"/>
      <c r="L539" s="57"/>
      <c r="M539" s="57"/>
      <c r="N539" s="57"/>
      <c r="O539" s="57"/>
      <c r="P539" s="57"/>
      <c r="Q539" s="57"/>
      <c r="R539" s="2223"/>
      <c r="S539" s="257"/>
    </row>
    <row r="540" spans="1:19">
      <c r="A540" s="257"/>
      <c r="B540" s="57"/>
      <c r="C540" s="57"/>
      <c r="D540" s="57"/>
      <c r="E540" s="57"/>
      <c r="F540" s="57"/>
      <c r="G540" s="57"/>
      <c r="H540" s="57"/>
      <c r="I540" s="57"/>
      <c r="J540" s="57"/>
      <c r="K540" s="57"/>
      <c r="L540" s="57"/>
      <c r="M540" s="57"/>
      <c r="N540" s="57"/>
      <c r="O540" s="57"/>
      <c r="P540" s="57"/>
      <c r="Q540" s="57"/>
      <c r="R540" s="2223"/>
      <c r="S540" s="257"/>
    </row>
    <row r="541" spans="1:19">
      <c r="A541" s="257"/>
      <c r="B541" s="57"/>
      <c r="C541" s="57"/>
      <c r="D541" s="57"/>
      <c r="E541" s="57"/>
      <c r="F541" s="57"/>
      <c r="G541" s="57"/>
      <c r="H541" s="57"/>
      <c r="I541" s="57"/>
      <c r="J541" s="57"/>
      <c r="K541" s="57"/>
      <c r="L541" s="57"/>
      <c r="M541" s="57"/>
      <c r="N541" s="57"/>
      <c r="O541" s="57"/>
      <c r="P541" s="57"/>
      <c r="Q541" s="57"/>
      <c r="R541" s="2223"/>
      <c r="S541" s="257"/>
    </row>
    <row r="542" spans="1:19">
      <c r="A542" s="257"/>
      <c r="B542" s="57"/>
      <c r="C542" s="57"/>
      <c r="D542" s="57"/>
      <c r="E542" s="57"/>
      <c r="F542" s="57"/>
      <c r="G542" s="57"/>
      <c r="H542" s="57"/>
      <c r="I542" s="57"/>
      <c r="J542" s="57"/>
      <c r="K542" s="57"/>
      <c r="L542" s="57"/>
      <c r="M542" s="57"/>
      <c r="N542" s="57"/>
      <c r="O542" s="57"/>
      <c r="P542" s="57"/>
      <c r="Q542" s="57"/>
      <c r="R542" s="2223"/>
      <c r="S542" s="257"/>
    </row>
    <row r="543" spans="1:19">
      <c r="A543" s="257"/>
      <c r="B543" s="57"/>
      <c r="C543" s="57"/>
      <c r="D543" s="57"/>
      <c r="E543" s="57"/>
      <c r="F543" s="57"/>
      <c r="G543" s="57"/>
      <c r="H543" s="57"/>
      <c r="I543" s="57"/>
      <c r="J543" s="57"/>
      <c r="K543" s="57"/>
      <c r="L543" s="57"/>
      <c r="M543" s="57"/>
      <c r="N543" s="57"/>
      <c r="O543" s="57"/>
      <c r="P543" s="57"/>
      <c r="Q543" s="57"/>
      <c r="R543" s="2223"/>
      <c r="S543" s="257"/>
    </row>
    <row r="544" spans="1:19">
      <c r="A544" s="257"/>
      <c r="B544" s="57"/>
      <c r="C544" s="57"/>
      <c r="D544" s="57"/>
      <c r="E544" s="57"/>
      <c r="F544" s="57"/>
      <c r="G544" s="57"/>
      <c r="H544" s="57"/>
      <c r="I544" s="57"/>
      <c r="J544" s="57"/>
      <c r="K544" s="57"/>
      <c r="L544" s="57"/>
      <c r="M544" s="57"/>
      <c r="N544" s="57"/>
      <c r="O544" s="57"/>
      <c r="P544" s="57"/>
      <c r="Q544" s="57"/>
      <c r="R544" s="2223"/>
      <c r="S544" s="257"/>
    </row>
    <row r="545" spans="1:19">
      <c r="A545" s="257"/>
      <c r="B545" s="57"/>
      <c r="C545" s="57"/>
      <c r="D545" s="57"/>
      <c r="E545" s="57"/>
      <c r="F545" s="57"/>
      <c r="G545" s="57"/>
      <c r="H545" s="57"/>
      <c r="I545" s="57"/>
      <c r="J545" s="57"/>
      <c r="K545" s="57"/>
      <c r="L545" s="57"/>
      <c r="M545" s="57"/>
      <c r="N545" s="57"/>
      <c r="O545" s="57"/>
      <c r="P545" s="57"/>
      <c r="Q545" s="57"/>
      <c r="R545" s="2223"/>
      <c r="S545" s="257"/>
    </row>
    <row r="546" spans="1:19">
      <c r="A546" s="257"/>
      <c r="B546" s="57"/>
      <c r="C546" s="57"/>
      <c r="D546" s="57"/>
      <c r="E546" s="57"/>
      <c r="F546" s="57"/>
      <c r="G546" s="57"/>
      <c r="H546" s="57"/>
      <c r="I546" s="57"/>
      <c r="J546" s="57"/>
      <c r="K546" s="57"/>
      <c r="L546" s="57"/>
      <c r="M546" s="57"/>
      <c r="N546" s="57"/>
      <c r="O546" s="57"/>
      <c r="P546" s="57"/>
      <c r="Q546" s="57"/>
      <c r="R546" s="2223"/>
      <c r="S546" s="257"/>
    </row>
    <row r="547" spans="1:19">
      <c r="A547" s="257"/>
      <c r="B547" s="57"/>
      <c r="C547" s="57"/>
      <c r="D547" s="57"/>
      <c r="E547" s="57"/>
      <c r="F547" s="57"/>
      <c r="G547" s="57"/>
      <c r="H547" s="57"/>
      <c r="I547" s="57"/>
      <c r="J547" s="57"/>
      <c r="K547" s="57"/>
      <c r="L547" s="57"/>
      <c r="M547" s="57"/>
      <c r="N547" s="57"/>
      <c r="O547" s="57"/>
      <c r="P547" s="57"/>
      <c r="Q547" s="57"/>
      <c r="R547" s="2223"/>
      <c r="S547" s="257"/>
    </row>
    <row r="548" spans="1:19">
      <c r="A548" s="257"/>
      <c r="B548" s="57"/>
      <c r="C548" s="57"/>
      <c r="D548" s="57"/>
      <c r="E548" s="57"/>
      <c r="F548" s="57"/>
      <c r="G548" s="57"/>
      <c r="H548" s="57"/>
      <c r="I548" s="57"/>
      <c r="J548" s="57"/>
      <c r="K548" s="57"/>
      <c r="L548" s="57"/>
      <c r="M548" s="57"/>
      <c r="N548" s="57"/>
      <c r="O548" s="57"/>
      <c r="P548" s="57"/>
      <c r="Q548" s="57"/>
      <c r="R548" s="2223"/>
      <c r="S548" s="257"/>
    </row>
    <row r="549" spans="1:19">
      <c r="A549" s="257"/>
      <c r="B549" s="57"/>
      <c r="C549" s="57"/>
      <c r="D549" s="57"/>
      <c r="E549" s="57"/>
      <c r="F549" s="57"/>
      <c r="G549" s="57"/>
      <c r="H549" s="57"/>
      <c r="I549" s="57"/>
      <c r="J549" s="57"/>
      <c r="K549" s="57"/>
      <c r="L549" s="57"/>
      <c r="M549" s="57"/>
      <c r="N549" s="57"/>
      <c r="O549" s="57"/>
      <c r="P549" s="57"/>
      <c r="Q549" s="57"/>
      <c r="R549" s="2223"/>
      <c r="S549" s="257"/>
    </row>
    <row r="550" spans="1:19">
      <c r="A550" s="257"/>
      <c r="B550" s="57"/>
      <c r="C550" s="57"/>
      <c r="D550" s="57"/>
      <c r="E550" s="57"/>
      <c r="F550" s="57"/>
      <c r="G550" s="57"/>
      <c r="H550" s="57"/>
      <c r="I550" s="57"/>
      <c r="J550" s="57"/>
      <c r="K550" s="57"/>
      <c r="L550" s="57"/>
      <c r="M550" s="57"/>
      <c r="N550" s="57"/>
      <c r="O550" s="57"/>
      <c r="P550" s="57"/>
      <c r="Q550" s="57"/>
      <c r="R550" s="2223"/>
      <c r="S550" s="257"/>
    </row>
    <row r="551" spans="1:19">
      <c r="A551" s="257"/>
      <c r="B551" s="57"/>
      <c r="C551" s="57"/>
      <c r="D551" s="57"/>
      <c r="E551" s="57"/>
      <c r="F551" s="57"/>
      <c r="G551" s="57"/>
      <c r="H551" s="57"/>
      <c r="I551" s="57"/>
      <c r="J551" s="57"/>
      <c r="K551" s="57"/>
      <c r="L551" s="57"/>
      <c r="M551" s="57"/>
      <c r="N551" s="57"/>
      <c r="O551" s="57"/>
      <c r="P551" s="57"/>
      <c r="Q551" s="57"/>
      <c r="R551" s="2223"/>
      <c r="S551" s="257"/>
    </row>
    <row r="552" spans="1:19">
      <c r="A552" s="257"/>
      <c r="B552" s="57"/>
      <c r="C552" s="57"/>
      <c r="D552" s="57"/>
      <c r="E552" s="57"/>
      <c r="F552" s="57"/>
      <c r="G552" s="57"/>
      <c r="H552" s="57"/>
      <c r="I552" s="57"/>
      <c r="J552" s="57"/>
      <c r="K552" s="57"/>
      <c r="L552" s="57"/>
      <c r="M552" s="57"/>
      <c r="N552" s="57"/>
      <c r="O552" s="57"/>
      <c r="P552" s="57"/>
      <c r="Q552" s="57"/>
      <c r="R552" s="2223"/>
      <c r="S552" s="257"/>
    </row>
    <row r="553" spans="1:19">
      <c r="A553" s="257"/>
      <c r="B553" s="57"/>
      <c r="C553" s="57"/>
      <c r="D553" s="57"/>
      <c r="E553" s="57"/>
      <c r="F553" s="57"/>
      <c r="G553" s="57"/>
      <c r="H553" s="57"/>
      <c r="I553" s="57"/>
      <c r="J553" s="57"/>
      <c r="K553" s="57"/>
      <c r="L553" s="57"/>
      <c r="M553" s="57"/>
      <c r="N553" s="57"/>
      <c r="O553" s="57"/>
      <c r="P553" s="57"/>
      <c r="Q553" s="57"/>
      <c r="R553" s="2223"/>
      <c r="S553" s="257"/>
    </row>
    <row r="554" spans="1:19">
      <c r="A554" s="257"/>
      <c r="B554" s="57"/>
      <c r="C554" s="57"/>
      <c r="D554" s="57"/>
      <c r="E554" s="57"/>
      <c r="F554" s="57"/>
      <c r="G554" s="57"/>
      <c r="H554" s="57"/>
      <c r="I554" s="57"/>
      <c r="J554" s="57"/>
      <c r="K554" s="57"/>
      <c r="L554" s="57"/>
      <c r="M554" s="57"/>
      <c r="N554" s="57"/>
      <c r="O554" s="57"/>
      <c r="P554" s="57"/>
      <c r="Q554" s="57"/>
      <c r="R554" s="2223"/>
      <c r="S554" s="257"/>
    </row>
    <row r="555" spans="1:19">
      <c r="A555" s="257"/>
      <c r="B555" s="57"/>
      <c r="C555" s="57"/>
      <c r="D555" s="57"/>
      <c r="E555" s="57"/>
      <c r="F555" s="57"/>
      <c r="G555" s="57"/>
      <c r="H555" s="57"/>
      <c r="I555" s="57"/>
      <c r="J555" s="57"/>
      <c r="K555" s="57"/>
      <c r="L555" s="57"/>
      <c r="M555" s="57"/>
      <c r="N555" s="57"/>
      <c r="O555" s="57"/>
      <c r="P555" s="57"/>
      <c r="Q555" s="57"/>
      <c r="R555" s="2223"/>
      <c r="S555" s="257"/>
    </row>
    <row r="556" spans="1:19">
      <c r="A556" s="257"/>
      <c r="B556" s="57"/>
      <c r="C556" s="57"/>
      <c r="D556" s="57"/>
      <c r="E556" s="57"/>
      <c r="F556" s="57"/>
      <c r="G556" s="57"/>
      <c r="H556" s="57"/>
      <c r="I556" s="57"/>
      <c r="J556" s="57"/>
      <c r="K556" s="57"/>
      <c r="L556" s="57"/>
      <c r="M556" s="57"/>
      <c r="N556" s="57"/>
      <c r="O556" s="57"/>
      <c r="P556" s="57"/>
      <c r="Q556" s="57"/>
      <c r="R556" s="2223"/>
      <c r="S556" s="257"/>
    </row>
    <row r="557" spans="1:19">
      <c r="A557" s="257"/>
      <c r="B557" s="57"/>
      <c r="C557" s="57"/>
      <c r="D557" s="57"/>
      <c r="E557" s="57"/>
      <c r="F557" s="57"/>
      <c r="G557" s="57"/>
      <c r="H557" s="57"/>
      <c r="I557" s="57"/>
      <c r="J557" s="57"/>
      <c r="K557" s="57"/>
      <c r="L557" s="57"/>
      <c r="M557" s="57"/>
      <c r="N557" s="57"/>
      <c r="O557" s="57"/>
      <c r="P557" s="57"/>
      <c r="Q557" s="57"/>
      <c r="R557" s="2223"/>
      <c r="S557" s="257"/>
    </row>
    <row r="558" spans="1:19">
      <c r="A558" s="257"/>
      <c r="B558" s="57"/>
      <c r="C558" s="57"/>
      <c r="D558" s="57"/>
      <c r="E558" s="57"/>
      <c r="F558" s="57"/>
      <c r="G558" s="57"/>
      <c r="H558" s="57"/>
      <c r="I558" s="57"/>
      <c r="J558" s="57"/>
      <c r="K558" s="57"/>
      <c r="L558" s="57"/>
      <c r="M558" s="57"/>
      <c r="N558" s="57"/>
      <c r="O558" s="57"/>
      <c r="P558" s="57"/>
      <c r="Q558" s="57"/>
      <c r="R558" s="2223"/>
      <c r="S558" s="257"/>
    </row>
    <row r="559" spans="1:19">
      <c r="A559" s="257"/>
      <c r="B559" s="57"/>
      <c r="C559" s="57"/>
      <c r="D559" s="57"/>
      <c r="E559" s="57"/>
      <c r="F559" s="57"/>
      <c r="G559" s="57"/>
      <c r="H559" s="57"/>
      <c r="I559" s="57"/>
      <c r="J559" s="57"/>
      <c r="K559" s="57"/>
      <c r="L559" s="57"/>
      <c r="M559" s="57"/>
      <c r="N559" s="57"/>
      <c r="O559" s="57"/>
      <c r="P559" s="57"/>
      <c r="Q559" s="57"/>
      <c r="R559" s="2223"/>
      <c r="S559" s="257"/>
    </row>
    <row r="560" spans="1:19">
      <c r="A560" s="257"/>
      <c r="B560" s="57"/>
      <c r="C560" s="57"/>
      <c r="D560" s="57"/>
      <c r="E560" s="57"/>
      <c r="F560" s="57"/>
      <c r="G560" s="57"/>
      <c r="H560" s="57"/>
      <c r="I560" s="57"/>
      <c r="J560" s="57"/>
      <c r="K560" s="57"/>
      <c r="L560" s="57"/>
      <c r="M560" s="57"/>
      <c r="N560" s="57"/>
      <c r="O560" s="57"/>
      <c r="P560" s="57"/>
      <c r="Q560" s="57"/>
      <c r="R560" s="2223"/>
      <c r="S560" s="257"/>
    </row>
    <row r="561" spans="1:19">
      <c r="A561" s="257"/>
      <c r="B561" s="57"/>
      <c r="C561" s="57"/>
      <c r="D561" s="57"/>
      <c r="E561" s="57"/>
      <c r="F561" s="57"/>
      <c r="G561" s="57"/>
      <c r="H561" s="57"/>
      <c r="I561" s="57"/>
      <c r="J561" s="57"/>
      <c r="K561" s="57"/>
      <c r="L561" s="57"/>
      <c r="M561" s="57"/>
      <c r="N561" s="57"/>
      <c r="O561" s="57"/>
      <c r="P561" s="57"/>
      <c r="Q561" s="57"/>
      <c r="R561" s="2223"/>
      <c r="S561" s="257"/>
    </row>
    <row r="562" spans="1:19">
      <c r="A562" s="257"/>
      <c r="B562" s="57"/>
      <c r="C562" s="57"/>
      <c r="D562" s="57"/>
      <c r="E562" s="57"/>
      <c r="F562" s="57"/>
      <c r="G562" s="57"/>
      <c r="H562" s="57"/>
      <c r="I562" s="57"/>
      <c r="J562" s="57"/>
      <c r="K562" s="57"/>
      <c r="L562" s="57"/>
      <c r="M562" s="57"/>
      <c r="N562" s="57"/>
      <c r="O562" s="57"/>
      <c r="P562" s="57"/>
      <c r="Q562" s="57"/>
      <c r="R562" s="2223"/>
      <c r="S562" s="257"/>
    </row>
    <row r="563" spans="1:19">
      <c r="A563" s="257"/>
      <c r="B563" s="57"/>
      <c r="C563" s="57"/>
      <c r="D563" s="57"/>
      <c r="E563" s="57"/>
      <c r="F563" s="57"/>
      <c r="G563" s="57"/>
      <c r="H563" s="57"/>
      <c r="I563" s="57"/>
      <c r="J563" s="57"/>
      <c r="K563" s="57"/>
      <c r="L563" s="57"/>
      <c r="M563" s="57"/>
      <c r="N563" s="57"/>
      <c r="O563" s="57"/>
      <c r="P563" s="57"/>
      <c r="Q563" s="57"/>
      <c r="R563" s="2223"/>
      <c r="S563" s="257"/>
    </row>
    <row r="564" spans="1:19">
      <c r="A564" s="257"/>
      <c r="B564" s="57"/>
      <c r="C564" s="57"/>
      <c r="D564" s="57"/>
      <c r="E564" s="57"/>
      <c r="F564" s="57"/>
      <c r="G564" s="57"/>
      <c r="H564" s="57"/>
      <c r="I564" s="57"/>
      <c r="J564" s="57"/>
      <c r="K564" s="57"/>
      <c r="L564" s="57"/>
      <c r="M564" s="57"/>
      <c r="N564" s="57"/>
      <c r="O564" s="57"/>
      <c r="P564" s="57"/>
      <c r="Q564" s="57"/>
      <c r="R564" s="2223"/>
      <c r="S564" s="257"/>
    </row>
    <row r="565" spans="1:19">
      <c r="A565" s="257"/>
      <c r="B565" s="57"/>
      <c r="C565" s="57"/>
      <c r="D565" s="57"/>
      <c r="E565" s="57"/>
      <c r="F565" s="57"/>
      <c r="G565" s="57"/>
      <c r="H565" s="57"/>
      <c r="I565" s="57"/>
      <c r="J565" s="57"/>
      <c r="K565" s="57"/>
      <c r="L565" s="57"/>
      <c r="M565" s="57"/>
      <c r="N565" s="57"/>
      <c r="O565" s="57"/>
      <c r="P565" s="57"/>
      <c r="Q565" s="57"/>
      <c r="R565" s="2223"/>
      <c r="S565" s="257"/>
    </row>
    <row r="566" spans="1:19">
      <c r="A566" s="257"/>
      <c r="B566" s="57"/>
      <c r="C566" s="57"/>
      <c r="D566" s="57"/>
      <c r="E566" s="57"/>
      <c r="F566" s="57"/>
      <c r="G566" s="57"/>
      <c r="H566" s="57"/>
      <c r="I566" s="57"/>
      <c r="J566" s="57"/>
      <c r="K566" s="57"/>
      <c r="L566" s="57"/>
      <c r="M566" s="57"/>
      <c r="N566" s="57"/>
      <c r="O566" s="57"/>
      <c r="P566" s="57"/>
      <c r="Q566" s="57"/>
      <c r="R566" s="2223"/>
      <c r="S566" s="257"/>
    </row>
    <row r="567" spans="1:19">
      <c r="A567" s="257"/>
      <c r="B567" s="57"/>
      <c r="C567" s="57"/>
      <c r="D567" s="57"/>
      <c r="E567" s="57"/>
      <c r="F567" s="57"/>
      <c r="G567" s="57"/>
      <c r="H567" s="57"/>
      <c r="I567" s="57"/>
      <c r="J567" s="57"/>
      <c r="K567" s="57"/>
      <c r="L567" s="57"/>
      <c r="M567" s="57"/>
      <c r="N567" s="57"/>
      <c r="O567" s="57"/>
      <c r="P567" s="57"/>
      <c r="Q567" s="57"/>
      <c r="R567" s="2223"/>
      <c r="S567" s="257"/>
    </row>
    <row r="568" spans="1:19">
      <c r="A568" s="257"/>
      <c r="B568" s="57"/>
      <c r="C568" s="57"/>
      <c r="D568" s="57"/>
      <c r="E568" s="57"/>
      <c r="F568" s="57"/>
      <c r="G568" s="57"/>
      <c r="H568" s="57"/>
      <c r="I568" s="57"/>
      <c r="J568" s="57"/>
      <c r="K568" s="57"/>
      <c r="L568" s="57"/>
      <c r="M568" s="57"/>
      <c r="N568" s="57"/>
      <c r="O568" s="57"/>
      <c r="P568" s="57"/>
      <c r="Q568" s="57"/>
      <c r="R568" s="2223"/>
      <c r="S568" s="257"/>
    </row>
    <row r="569" spans="1:19">
      <c r="A569" s="257"/>
      <c r="B569" s="57"/>
      <c r="C569" s="57"/>
      <c r="D569" s="57"/>
      <c r="E569" s="57"/>
      <c r="F569" s="57"/>
      <c r="G569" s="57"/>
      <c r="H569" s="57"/>
      <c r="I569" s="57"/>
      <c r="J569" s="57"/>
      <c r="K569" s="57"/>
      <c r="L569" s="57"/>
      <c r="M569" s="57"/>
      <c r="N569" s="57"/>
      <c r="O569" s="57"/>
      <c r="P569" s="57"/>
      <c r="Q569" s="57"/>
      <c r="R569" s="2223"/>
      <c r="S569" s="257"/>
    </row>
    <row r="570" spans="1:19">
      <c r="A570" s="257"/>
      <c r="B570" s="57"/>
      <c r="C570" s="57"/>
      <c r="D570" s="57"/>
      <c r="E570" s="57"/>
      <c r="F570" s="57"/>
      <c r="G570" s="57"/>
      <c r="H570" s="57"/>
      <c r="I570" s="57"/>
      <c r="J570" s="57"/>
      <c r="K570" s="57"/>
      <c r="L570" s="57"/>
      <c r="M570" s="57"/>
      <c r="N570" s="57"/>
      <c r="O570" s="57"/>
      <c r="P570" s="57"/>
      <c r="Q570" s="57"/>
      <c r="R570" s="2223"/>
      <c r="S570" s="257"/>
    </row>
    <row r="571" spans="1:19">
      <c r="A571" s="257"/>
      <c r="B571" s="57"/>
      <c r="C571" s="57"/>
      <c r="D571" s="57"/>
      <c r="E571" s="57"/>
      <c r="F571" s="57"/>
      <c r="G571" s="57"/>
      <c r="H571" s="57"/>
      <c r="I571" s="57"/>
      <c r="J571" s="57"/>
      <c r="K571" s="57"/>
      <c r="L571" s="57"/>
      <c r="M571" s="57"/>
      <c r="N571" s="57"/>
      <c r="O571" s="57"/>
      <c r="P571" s="57"/>
      <c r="Q571" s="57"/>
      <c r="R571" s="2223"/>
      <c r="S571" s="257"/>
    </row>
    <row r="572" spans="1:19">
      <c r="A572" s="257"/>
      <c r="B572" s="57"/>
      <c r="C572" s="57"/>
      <c r="D572" s="57"/>
      <c r="E572" s="57"/>
      <c r="F572" s="57"/>
      <c r="G572" s="57"/>
      <c r="H572" s="57"/>
      <c r="I572" s="57"/>
      <c r="J572" s="57"/>
      <c r="K572" s="57"/>
      <c r="L572" s="57"/>
      <c r="M572" s="57"/>
      <c r="N572" s="57"/>
      <c r="O572" s="57"/>
      <c r="P572" s="57"/>
      <c r="Q572" s="57"/>
      <c r="R572" s="2223"/>
      <c r="S572" s="257"/>
    </row>
    <row r="573" spans="1:19">
      <c r="A573" s="257"/>
      <c r="B573" s="57"/>
      <c r="C573" s="57"/>
      <c r="D573" s="57"/>
      <c r="E573" s="57"/>
      <c r="F573" s="57"/>
      <c r="G573" s="57"/>
      <c r="H573" s="57"/>
      <c r="I573" s="57"/>
      <c r="J573" s="57"/>
      <c r="K573" s="57"/>
      <c r="L573" s="57"/>
      <c r="M573" s="57"/>
      <c r="N573" s="57"/>
      <c r="O573" s="57"/>
      <c r="P573" s="57"/>
      <c r="Q573" s="57"/>
      <c r="R573" s="2223"/>
      <c r="S573" s="257"/>
    </row>
    <row r="574" spans="1:19">
      <c r="A574" s="257"/>
      <c r="B574" s="57"/>
      <c r="C574" s="57"/>
      <c r="D574" s="57"/>
      <c r="E574" s="57"/>
      <c r="F574" s="57"/>
      <c r="G574" s="57"/>
      <c r="H574" s="57"/>
      <c r="I574" s="57"/>
      <c r="J574" s="57"/>
      <c r="K574" s="57"/>
      <c r="L574" s="57"/>
      <c r="M574" s="57"/>
      <c r="N574" s="57"/>
      <c r="O574" s="57"/>
      <c r="P574" s="57"/>
      <c r="Q574" s="57"/>
      <c r="R574" s="2223"/>
      <c r="S574" s="257"/>
    </row>
    <row r="575" spans="1:19">
      <c r="A575" s="257"/>
      <c r="B575" s="57"/>
      <c r="C575" s="57"/>
      <c r="D575" s="57"/>
      <c r="E575" s="57"/>
      <c r="F575" s="57"/>
      <c r="G575" s="57"/>
      <c r="H575" s="57"/>
      <c r="I575" s="57"/>
      <c r="J575" s="57"/>
      <c r="K575" s="57"/>
      <c r="L575" s="57"/>
      <c r="M575" s="57"/>
      <c r="N575" s="57"/>
      <c r="O575" s="57"/>
      <c r="P575" s="57"/>
      <c r="Q575" s="57"/>
      <c r="R575" s="2223"/>
      <c r="S575" s="257"/>
    </row>
    <row r="576" spans="1:19">
      <c r="A576" s="257"/>
      <c r="B576" s="57"/>
      <c r="C576" s="57"/>
      <c r="D576" s="57"/>
      <c r="E576" s="57"/>
      <c r="F576" s="57"/>
      <c r="G576" s="57"/>
      <c r="H576" s="57"/>
      <c r="I576" s="57"/>
      <c r="J576" s="57"/>
      <c r="K576" s="57"/>
      <c r="L576" s="57"/>
      <c r="M576" s="57"/>
      <c r="N576" s="57"/>
      <c r="O576" s="57"/>
      <c r="P576" s="57"/>
      <c r="Q576" s="57"/>
      <c r="R576" s="2223"/>
      <c r="S576" s="257"/>
    </row>
    <row r="577" spans="1:19">
      <c r="A577" s="257"/>
      <c r="B577" s="57"/>
      <c r="C577" s="57"/>
      <c r="D577" s="57"/>
      <c r="E577" s="57"/>
      <c r="F577" s="57"/>
      <c r="G577" s="57"/>
      <c r="H577" s="57"/>
      <c r="I577" s="57"/>
      <c r="J577" s="57"/>
      <c r="K577" s="57"/>
      <c r="L577" s="57"/>
      <c r="M577" s="57"/>
      <c r="N577" s="57"/>
      <c r="O577" s="57"/>
      <c r="P577" s="57"/>
      <c r="Q577" s="57"/>
      <c r="R577" s="2223"/>
      <c r="S577" s="257"/>
    </row>
    <row r="578" spans="1:19">
      <c r="A578" s="257"/>
      <c r="B578" s="57"/>
      <c r="C578" s="57"/>
      <c r="D578" s="57"/>
      <c r="E578" s="57"/>
      <c r="F578" s="57"/>
      <c r="G578" s="57"/>
      <c r="H578" s="57"/>
      <c r="I578" s="57"/>
      <c r="J578" s="57"/>
      <c r="K578" s="57"/>
      <c r="L578" s="57"/>
      <c r="M578" s="57"/>
      <c r="N578" s="57"/>
      <c r="O578" s="57"/>
      <c r="P578" s="57"/>
      <c r="Q578" s="57"/>
      <c r="R578" s="2223"/>
      <c r="S578" s="257"/>
    </row>
    <row r="579" spans="1:19">
      <c r="A579" s="257"/>
      <c r="B579" s="57"/>
      <c r="C579" s="57"/>
      <c r="D579" s="57"/>
      <c r="E579" s="57"/>
      <c r="F579" s="57"/>
      <c r="G579" s="57"/>
      <c r="H579" s="57"/>
      <c r="I579" s="57"/>
      <c r="J579" s="57"/>
      <c r="K579" s="57"/>
      <c r="L579" s="57"/>
      <c r="M579" s="57"/>
      <c r="N579" s="57"/>
      <c r="O579" s="57"/>
      <c r="P579" s="57"/>
      <c r="Q579" s="57"/>
      <c r="R579" s="2223"/>
      <c r="S579" s="257"/>
    </row>
    <row r="580" spans="1:19">
      <c r="A580" s="257"/>
      <c r="B580" s="57"/>
      <c r="C580" s="57"/>
      <c r="D580" s="57"/>
      <c r="E580" s="57"/>
      <c r="F580" s="57"/>
      <c r="G580" s="57"/>
      <c r="H580" s="57"/>
      <c r="I580" s="57"/>
      <c r="J580" s="57"/>
      <c r="K580" s="57"/>
      <c r="L580" s="57"/>
      <c r="M580" s="57"/>
      <c r="N580" s="57"/>
      <c r="O580" s="57"/>
      <c r="P580" s="57"/>
      <c r="Q580" s="57"/>
      <c r="R580" s="2223"/>
      <c r="S580" s="257"/>
    </row>
    <row r="581" spans="1:19">
      <c r="A581" s="257"/>
      <c r="B581" s="57"/>
      <c r="C581" s="57"/>
      <c r="D581" s="57"/>
      <c r="E581" s="57"/>
      <c r="F581" s="57"/>
      <c r="G581" s="57"/>
      <c r="H581" s="57"/>
      <c r="I581" s="57"/>
      <c r="J581" s="57"/>
      <c r="K581" s="57"/>
      <c r="L581" s="57"/>
      <c r="M581" s="57"/>
      <c r="N581" s="57"/>
      <c r="O581" s="57"/>
      <c r="P581" s="57"/>
      <c r="Q581" s="57"/>
      <c r="R581" s="2223"/>
      <c r="S581" s="257"/>
    </row>
    <row r="582" spans="1:19">
      <c r="A582" s="257"/>
      <c r="B582" s="57"/>
      <c r="C582" s="57"/>
      <c r="D582" s="57"/>
      <c r="E582" s="57"/>
      <c r="F582" s="57"/>
      <c r="G582" s="57"/>
      <c r="H582" s="57"/>
      <c r="I582" s="57"/>
      <c r="J582" s="57"/>
      <c r="K582" s="57"/>
      <c r="L582" s="57"/>
      <c r="M582" s="57"/>
      <c r="N582" s="57"/>
      <c r="O582" s="57"/>
      <c r="P582" s="57"/>
      <c r="Q582" s="57"/>
      <c r="R582" s="2223"/>
      <c r="S582" s="257"/>
    </row>
    <row r="583" spans="1:19">
      <c r="A583" s="257"/>
      <c r="B583" s="57"/>
      <c r="C583" s="57"/>
      <c r="D583" s="57"/>
      <c r="E583" s="57"/>
      <c r="F583" s="57"/>
      <c r="G583" s="57"/>
      <c r="H583" s="57"/>
      <c r="I583" s="57"/>
      <c r="J583" s="57"/>
      <c r="K583" s="57"/>
      <c r="L583" s="57"/>
      <c r="M583" s="57"/>
      <c r="N583" s="57"/>
      <c r="O583" s="57"/>
      <c r="P583" s="57"/>
      <c r="Q583" s="57"/>
      <c r="R583" s="2223"/>
      <c r="S583" s="257"/>
    </row>
    <row r="584" spans="1:19">
      <c r="A584" s="257"/>
      <c r="B584" s="57"/>
      <c r="C584" s="57"/>
      <c r="D584" s="57"/>
      <c r="E584" s="57"/>
      <c r="F584" s="57"/>
      <c r="G584" s="57"/>
      <c r="H584" s="57"/>
      <c r="I584" s="57"/>
      <c r="J584" s="57"/>
      <c r="K584" s="57"/>
      <c r="L584" s="57"/>
      <c r="M584" s="57"/>
      <c r="N584" s="57"/>
      <c r="O584" s="57"/>
      <c r="P584" s="57"/>
      <c r="Q584" s="57"/>
      <c r="R584" s="2223"/>
      <c r="S584" s="257"/>
    </row>
    <row r="585" spans="1:19">
      <c r="A585" s="257"/>
      <c r="B585" s="57"/>
      <c r="C585" s="57"/>
      <c r="D585" s="57"/>
      <c r="E585" s="57"/>
      <c r="F585" s="57"/>
      <c r="G585" s="57"/>
      <c r="H585" s="57"/>
      <c r="I585" s="57"/>
      <c r="J585" s="57"/>
      <c r="K585" s="57"/>
      <c r="L585" s="57"/>
      <c r="M585" s="57"/>
      <c r="N585" s="57"/>
      <c r="O585" s="57"/>
      <c r="P585" s="57"/>
      <c r="Q585" s="57"/>
      <c r="R585" s="2223"/>
      <c r="S585" s="257"/>
    </row>
    <row r="586" spans="1:19">
      <c r="A586" s="257"/>
      <c r="B586" s="57"/>
      <c r="C586" s="57"/>
      <c r="D586" s="57"/>
      <c r="E586" s="57"/>
      <c r="F586" s="57"/>
      <c r="G586" s="57"/>
      <c r="H586" s="57"/>
      <c r="I586" s="57"/>
      <c r="J586" s="57"/>
      <c r="K586" s="57"/>
      <c r="L586" s="57"/>
      <c r="M586" s="57"/>
      <c r="N586" s="57"/>
      <c r="O586" s="57"/>
      <c r="P586" s="57"/>
      <c r="Q586" s="57"/>
      <c r="R586" s="2223"/>
      <c r="S586" s="257"/>
    </row>
    <row r="587" spans="1:19">
      <c r="A587" s="257"/>
      <c r="B587" s="57"/>
      <c r="C587" s="57"/>
      <c r="D587" s="57"/>
      <c r="E587" s="57"/>
      <c r="F587" s="57"/>
      <c r="G587" s="57"/>
      <c r="H587" s="57"/>
      <c r="I587" s="57"/>
      <c r="J587" s="57"/>
      <c r="K587" s="57"/>
      <c r="L587" s="57"/>
      <c r="M587" s="57"/>
      <c r="N587" s="57"/>
      <c r="O587" s="57"/>
      <c r="P587" s="57"/>
      <c r="Q587" s="57"/>
      <c r="R587" s="2223"/>
      <c r="S587" s="257"/>
    </row>
    <row r="588" spans="1:19">
      <c r="A588" s="257"/>
      <c r="B588" s="57"/>
      <c r="C588" s="57"/>
      <c r="D588" s="57"/>
      <c r="E588" s="57"/>
      <c r="F588" s="57"/>
      <c r="G588" s="57"/>
      <c r="H588" s="57"/>
      <c r="I588" s="57"/>
      <c r="J588" s="57"/>
      <c r="K588" s="57"/>
      <c r="L588" s="57"/>
      <c r="M588" s="57"/>
      <c r="N588" s="57"/>
      <c r="O588" s="57"/>
      <c r="P588" s="57"/>
      <c r="Q588" s="57"/>
      <c r="R588" s="2223"/>
      <c r="S588" s="257"/>
    </row>
    <row r="589" spans="1:19">
      <c r="A589" s="257"/>
      <c r="B589" s="57"/>
      <c r="C589" s="57"/>
      <c r="D589" s="57"/>
      <c r="E589" s="57"/>
      <c r="F589" s="57"/>
      <c r="G589" s="57"/>
      <c r="H589" s="57"/>
      <c r="I589" s="57"/>
      <c r="J589" s="57"/>
      <c r="K589" s="57"/>
      <c r="L589" s="57"/>
      <c r="M589" s="57"/>
      <c r="N589" s="57"/>
      <c r="O589" s="57"/>
      <c r="P589" s="57"/>
      <c r="Q589" s="57"/>
      <c r="R589" s="2223"/>
      <c r="S589" s="257"/>
    </row>
    <row r="590" spans="1:19">
      <c r="A590" s="257"/>
      <c r="B590" s="57"/>
      <c r="C590" s="57"/>
      <c r="D590" s="57"/>
      <c r="E590" s="57"/>
      <c r="F590" s="57"/>
      <c r="G590" s="57"/>
      <c r="H590" s="57"/>
      <c r="I590" s="57"/>
      <c r="J590" s="57"/>
      <c r="K590" s="57"/>
      <c r="L590" s="57"/>
      <c r="M590" s="57"/>
      <c r="N590" s="57"/>
      <c r="O590" s="57"/>
      <c r="P590" s="57"/>
      <c r="Q590" s="57"/>
      <c r="R590" s="2223"/>
      <c r="S590" s="257"/>
    </row>
    <row r="591" spans="1:19">
      <c r="A591" s="257"/>
      <c r="B591" s="57"/>
      <c r="C591" s="57"/>
      <c r="D591" s="57"/>
      <c r="E591" s="57"/>
      <c r="F591" s="57"/>
      <c r="G591" s="57"/>
      <c r="H591" s="57"/>
      <c r="I591" s="57"/>
      <c r="J591" s="57"/>
      <c r="K591" s="57"/>
      <c r="L591" s="57"/>
      <c r="M591" s="57"/>
      <c r="N591" s="57"/>
      <c r="O591" s="57"/>
      <c r="P591" s="57"/>
      <c r="Q591" s="57"/>
      <c r="R591" s="2223"/>
      <c r="S591" s="257"/>
    </row>
    <row r="592" spans="1:19">
      <c r="A592" s="257"/>
      <c r="B592" s="57"/>
      <c r="C592" s="57"/>
      <c r="D592" s="57"/>
      <c r="E592" s="57"/>
      <c r="F592" s="57"/>
      <c r="G592" s="57"/>
      <c r="H592" s="57"/>
      <c r="I592" s="57"/>
      <c r="J592" s="57"/>
      <c r="K592" s="57"/>
      <c r="L592" s="57"/>
      <c r="M592" s="57"/>
      <c r="N592" s="57"/>
      <c r="O592" s="57"/>
      <c r="P592" s="57"/>
      <c r="Q592" s="57"/>
      <c r="R592" s="2223"/>
      <c r="S592" s="257"/>
    </row>
    <row r="593" spans="1:19">
      <c r="A593" s="257"/>
      <c r="B593" s="57"/>
      <c r="C593" s="57"/>
      <c r="D593" s="57"/>
      <c r="E593" s="57"/>
      <c r="F593" s="57"/>
      <c r="G593" s="57"/>
      <c r="H593" s="57"/>
      <c r="I593" s="57"/>
      <c r="J593" s="57"/>
      <c r="K593" s="57"/>
      <c r="L593" s="57"/>
      <c r="M593" s="57"/>
      <c r="N593" s="57"/>
      <c r="O593" s="57"/>
      <c r="P593" s="57"/>
      <c r="Q593" s="57"/>
      <c r="R593" s="2223"/>
      <c r="S593" s="257"/>
    </row>
    <row r="594" spans="1:19">
      <c r="A594" s="257"/>
      <c r="B594" s="57"/>
      <c r="C594" s="57"/>
      <c r="D594" s="57"/>
      <c r="E594" s="57"/>
      <c r="F594" s="57"/>
      <c r="G594" s="57"/>
      <c r="H594" s="57"/>
      <c r="I594" s="57"/>
      <c r="J594" s="57"/>
      <c r="K594" s="57"/>
      <c r="L594" s="57"/>
      <c r="M594" s="57"/>
      <c r="N594" s="57"/>
      <c r="O594" s="57"/>
      <c r="P594" s="57"/>
      <c r="Q594" s="57"/>
      <c r="R594" s="2223"/>
      <c r="S594" s="257"/>
    </row>
    <row r="595" spans="1:19">
      <c r="A595" s="257"/>
      <c r="B595" s="57"/>
      <c r="C595" s="57"/>
      <c r="D595" s="57"/>
      <c r="E595" s="57"/>
      <c r="F595" s="57"/>
      <c r="G595" s="57"/>
      <c r="H595" s="57"/>
      <c r="I595" s="57"/>
      <c r="J595" s="57"/>
      <c r="K595" s="57"/>
      <c r="L595" s="57"/>
      <c r="M595" s="57"/>
      <c r="N595" s="57"/>
      <c r="O595" s="57"/>
      <c r="P595" s="57"/>
      <c r="Q595" s="57"/>
      <c r="R595" s="2223"/>
      <c r="S595" s="257"/>
    </row>
    <row r="596" spans="1:19">
      <c r="A596" s="257"/>
      <c r="B596" s="57"/>
      <c r="C596" s="57"/>
      <c r="D596" s="57"/>
      <c r="E596" s="57"/>
      <c r="F596" s="57"/>
      <c r="G596" s="57"/>
      <c r="H596" s="57"/>
      <c r="I596" s="57"/>
      <c r="J596" s="57"/>
      <c r="K596" s="57"/>
      <c r="L596" s="57"/>
      <c r="M596" s="57"/>
      <c r="N596" s="57"/>
      <c r="O596" s="57"/>
      <c r="P596" s="57"/>
      <c r="Q596" s="57"/>
      <c r="R596" s="2223"/>
      <c r="S596" s="257"/>
    </row>
    <row r="597" spans="1:19">
      <c r="A597" s="257"/>
      <c r="B597" s="57"/>
      <c r="C597" s="57"/>
      <c r="D597" s="57"/>
      <c r="E597" s="57"/>
      <c r="F597" s="57"/>
      <c r="G597" s="57"/>
      <c r="H597" s="57"/>
      <c r="I597" s="57"/>
      <c r="J597" s="57"/>
      <c r="K597" s="57"/>
      <c r="L597" s="57"/>
      <c r="M597" s="57"/>
      <c r="N597" s="57"/>
      <c r="O597" s="57"/>
      <c r="P597" s="57"/>
      <c r="Q597" s="57"/>
      <c r="R597" s="2223"/>
      <c r="S597" s="257"/>
    </row>
    <row r="598" spans="1:19">
      <c r="A598" s="257"/>
      <c r="B598" s="57"/>
      <c r="C598" s="57"/>
      <c r="D598" s="57"/>
      <c r="E598" s="57"/>
      <c r="F598" s="57"/>
      <c r="G598" s="57"/>
      <c r="H598" s="57"/>
      <c r="I598" s="57"/>
      <c r="J598" s="57"/>
      <c r="K598" s="57"/>
      <c r="L598" s="57"/>
      <c r="M598" s="57"/>
      <c r="N598" s="57"/>
      <c r="O598" s="57"/>
      <c r="P598" s="57"/>
      <c r="Q598" s="57"/>
      <c r="R598" s="2223"/>
      <c r="S598" s="257"/>
    </row>
    <row r="599" spans="1:19">
      <c r="A599" s="257"/>
      <c r="B599" s="57"/>
      <c r="C599" s="57"/>
      <c r="D599" s="57"/>
      <c r="E599" s="57"/>
      <c r="F599" s="57"/>
      <c r="G599" s="57"/>
      <c r="H599" s="57"/>
      <c r="I599" s="57"/>
      <c r="J599" s="57"/>
      <c r="K599" s="57"/>
      <c r="L599" s="57"/>
      <c r="M599" s="57"/>
      <c r="N599" s="57"/>
      <c r="O599" s="57"/>
      <c r="P599" s="57"/>
      <c r="Q599" s="57"/>
      <c r="R599" s="2223"/>
      <c r="S599" s="257"/>
    </row>
    <row r="600" spans="1:19">
      <c r="A600" s="257"/>
      <c r="B600" s="57"/>
      <c r="C600" s="57"/>
      <c r="D600" s="57"/>
      <c r="E600" s="57"/>
      <c r="F600" s="57"/>
      <c r="G600" s="57"/>
      <c r="H600" s="57"/>
      <c r="I600" s="57"/>
      <c r="J600" s="57"/>
      <c r="K600" s="57"/>
      <c r="L600" s="57"/>
      <c r="M600" s="57"/>
      <c r="N600" s="57"/>
      <c r="O600" s="57"/>
      <c r="P600" s="57"/>
      <c r="Q600" s="57"/>
      <c r="R600" s="2223"/>
      <c r="S600" s="257"/>
    </row>
    <row r="601" spans="1:19">
      <c r="A601" s="257"/>
      <c r="B601" s="57"/>
      <c r="C601" s="57"/>
      <c r="D601" s="57"/>
      <c r="E601" s="57"/>
      <c r="F601" s="57"/>
      <c r="G601" s="57"/>
      <c r="H601" s="57"/>
      <c r="I601" s="57"/>
      <c r="J601" s="57"/>
      <c r="K601" s="57"/>
      <c r="L601" s="57"/>
      <c r="M601" s="57"/>
      <c r="N601" s="57"/>
      <c r="O601" s="57"/>
      <c r="P601" s="57"/>
      <c r="Q601" s="57"/>
      <c r="R601" s="2223"/>
      <c r="S601" s="257"/>
    </row>
    <row r="602" spans="1:19">
      <c r="A602" s="257"/>
      <c r="B602" s="57"/>
      <c r="C602" s="57"/>
      <c r="D602" s="57"/>
      <c r="E602" s="57"/>
      <c r="F602" s="57"/>
      <c r="G602" s="57"/>
      <c r="H602" s="57"/>
      <c r="I602" s="57"/>
      <c r="J602" s="57"/>
      <c r="K602" s="57"/>
      <c r="L602" s="57"/>
      <c r="M602" s="57"/>
      <c r="N602" s="57"/>
      <c r="O602" s="57"/>
      <c r="P602" s="57"/>
      <c r="Q602" s="57"/>
      <c r="R602" s="2223"/>
      <c r="S602" s="257"/>
    </row>
    <row r="603" spans="1:19">
      <c r="A603" s="257"/>
      <c r="B603" s="57"/>
      <c r="C603" s="57"/>
      <c r="D603" s="57"/>
      <c r="E603" s="57"/>
      <c r="F603" s="57"/>
      <c r="G603" s="57"/>
      <c r="H603" s="57"/>
      <c r="I603" s="57"/>
      <c r="J603" s="57"/>
      <c r="K603" s="57"/>
      <c r="L603" s="57"/>
      <c r="M603" s="57"/>
      <c r="N603" s="57"/>
      <c r="O603" s="57"/>
      <c r="P603" s="57"/>
      <c r="Q603" s="57"/>
      <c r="R603" s="2223"/>
      <c r="S603" s="257"/>
    </row>
    <row r="604" spans="1:19">
      <c r="A604" s="257"/>
      <c r="B604" s="57"/>
      <c r="C604" s="57"/>
      <c r="D604" s="57"/>
      <c r="E604" s="57"/>
      <c r="F604" s="57"/>
      <c r="G604" s="57"/>
      <c r="H604" s="57"/>
      <c r="I604" s="57"/>
      <c r="J604" s="57"/>
      <c r="K604" s="57"/>
      <c r="L604" s="57"/>
      <c r="M604" s="57"/>
      <c r="N604" s="57"/>
      <c r="O604" s="57"/>
      <c r="P604" s="57"/>
      <c r="Q604" s="57"/>
      <c r="R604" s="2223"/>
      <c r="S604" s="257"/>
    </row>
    <row r="605" spans="1:19">
      <c r="A605" s="257"/>
      <c r="B605" s="57"/>
      <c r="C605" s="57"/>
      <c r="D605" s="57"/>
      <c r="E605" s="57"/>
      <c r="F605" s="57"/>
      <c r="G605" s="57"/>
      <c r="H605" s="57"/>
      <c r="I605" s="57"/>
      <c r="J605" s="57"/>
      <c r="K605" s="57"/>
      <c r="L605" s="57"/>
      <c r="M605" s="57"/>
      <c r="N605" s="57"/>
      <c r="O605" s="57"/>
      <c r="P605" s="57"/>
      <c r="Q605" s="57"/>
      <c r="R605" s="2223"/>
      <c r="S605" s="257"/>
    </row>
    <row r="606" spans="1:19">
      <c r="A606" s="257"/>
      <c r="B606" s="57"/>
      <c r="C606" s="57"/>
      <c r="D606" s="57"/>
      <c r="E606" s="57"/>
      <c r="F606" s="57"/>
      <c r="G606" s="57"/>
      <c r="H606" s="57"/>
      <c r="I606" s="57"/>
      <c r="J606" s="57"/>
      <c r="K606" s="57"/>
      <c r="L606" s="57"/>
      <c r="M606" s="57"/>
      <c r="N606" s="57"/>
      <c r="O606" s="57"/>
      <c r="P606" s="57"/>
      <c r="Q606" s="57"/>
      <c r="R606" s="2223"/>
      <c r="S606" s="257"/>
    </row>
    <row r="607" spans="1:19">
      <c r="A607" s="257"/>
      <c r="B607" s="57"/>
      <c r="C607" s="57"/>
      <c r="D607" s="57"/>
      <c r="E607" s="57"/>
      <c r="F607" s="57"/>
      <c r="G607" s="57"/>
      <c r="H607" s="57"/>
      <c r="I607" s="57"/>
      <c r="J607" s="57"/>
      <c r="K607" s="57"/>
      <c r="L607" s="57"/>
      <c r="M607" s="57"/>
      <c r="N607" s="57"/>
      <c r="O607" s="57"/>
      <c r="P607" s="57"/>
      <c r="Q607" s="57"/>
      <c r="R607" s="2223"/>
      <c r="S607" s="257"/>
    </row>
    <row r="608" spans="1:19">
      <c r="A608" s="257"/>
      <c r="B608" s="57"/>
      <c r="C608" s="57"/>
      <c r="D608" s="57"/>
      <c r="E608" s="57"/>
      <c r="F608" s="57"/>
      <c r="G608" s="57"/>
      <c r="H608" s="57"/>
      <c r="I608" s="57"/>
      <c r="J608" s="57"/>
      <c r="K608" s="57"/>
      <c r="L608" s="57"/>
      <c r="M608" s="57"/>
      <c r="N608" s="57"/>
      <c r="O608" s="57"/>
      <c r="P608" s="57"/>
      <c r="Q608" s="57"/>
      <c r="R608" s="2223"/>
      <c r="S608" s="257"/>
    </row>
    <row r="609" spans="1:19">
      <c r="A609" s="257"/>
      <c r="B609" s="57"/>
      <c r="C609" s="57"/>
      <c r="D609" s="57"/>
      <c r="E609" s="57"/>
      <c r="F609" s="57"/>
      <c r="G609" s="57"/>
      <c r="H609" s="57"/>
      <c r="I609" s="57"/>
      <c r="J609" s="57"/>
      <c r="K609" s="57"/>
      <c r="L609" s="57"/>
      <c r="M609" s="57"/>
      <c r="N609" s="57"/>
      <c r="O609" s="57"/>
      <c r="P609" s="57"/>
      <c r="Q609" s="57"/>
      <c r="R609" s="2223"/>
      <c r="S609" s="257"/>
    </row>
    <row r="610" spans="1:19">
      <c r="A610" s="257"/>
      <c r="B610" s="57"/>
      <c r="C610" s="57"/>
      <c r="D610" s="57"/>
      <c r="E610" s="57"/>
      <c r="F610" s="57"/>
      <c r="G610" s="57"/>
      <c r="H610" s="57"/>
      <c r="I610" s="57"/>
      <c r="J610" s="57"/>
      <c r="K610" s="57"/>
      <c r="L610" s="57"/>
      <c r="M610" s="57"/>
      <c r="N610" s="57"/>
      <c r="O610" s="57"/>
      <c r="P610" s="57"/>
      <c r="Q610" s="57"/>
      <c r="R610" s="2223"/>
      <c r="S610" s="257"/>
    </row>
    <row r="611" spans="1:19">
      <c r="A611" s="257"/>
      <c r="B611" s="57"/>
      <c r="C611" s="57"/>
      <c r="D611" s="57"/>
      <c r="E611" s="57"/>
      <c r="F611" s="57"/>
      <c r="G611" s="57"/>
      <c r="H611" s="57"/>
      <c r="I611" s="57"/>
      <c r="J611" s="57"/>
      <c r="K611" s="57"/>
      <c r="L611" s="57"/>
      <c r="M611" s="57"/>
      <c r="N611" s="57"/>
      <c r="O611" s="57"/>
      <c r="P611" s="57"/>
      <c r="Q611" s="57"/>
      <c r="R611" s="2223"/>
      <c r="S611" s="257"/>
    </row>
    <row r="612" spans="1:19">
      <c r="A612" s="257"/>
      <c r="B612" s="57"/>
      <c r="C612" s="57"/>
      <c r="D612" s="57"/>
      <c r="E612" s="57"/>
      <c r="F612" s="57"/>
      <c r="G612" s="57"/>
      <c r="H612" s="57"/>
      <c r="I612" s="57"/>
      <c r="J612" s="57"/>
      <c r="K612" s="57"/>
      <c r="L612" s="57"/>
      <c r="M612" s="57"/>
      <c r="N612" s="57"/>
      <c r="O612" s="57"/>
      <c r="P612" s="57"/>
      <c r="Q612" s="57"/>
      <c r="R612" s="2223"/>
      <c r="S612" s="257"/>
    </row>
    <row r="613" spans="1:19">
      <c r="A613" s="257"/>
      <c r="B613" s="57"/>
      <c r="C613" s="57"/>
      <c r="D613" s="57"/>
      <c r="E613" s="57"/>
      <c r="F613" s="57"/>
      <c r="G613" s="57"/>
      <c r="H613" s="57"/>
      <c r="I613" s="57"/>
      <c r="J613" s="57"/>
      <c r="K613" s="57"/>
      <c r="L613" s="57"/>
      <c r="M613" s="57"/>
      <c r="N613" s="57"/>
      <c r="O613" s="57"/>
      <c r="P613" s="57"/>
      <c r="Q613" s="57"/>
      <c r="R613" s="2223"/>
      <c r="S613" s="257"/>
    </row>
    <row r="614" spans="1:19">
      <c r="A614" s="257"/>
      <c r="B614" s="57"/>
      <c r="C614" s="57"/>
      <c r="D614" s="57"/>
      <c r="E614" s="57"/>
      <c r="F614" s="57"/>
      <c r="G614" s="57"/>
      <c r="H614" s="57"/>
      <c r="I614" s="57"/>
      <c r="J614" s="57"/>
      <c r="K614" s="57"/>
      <c r="L614" s="57"/>
      <c r="M614" s="57"/>
      <c r="N614" s="57"/>
      <c r="O614" s="57"/>
      <c r="P614" s="57"/>
      <c r="Q614" s="57"/>
      <c r="R614" s="2223"/>
      <c r="S614" s="257"/>
    </row>
    <row r="615" spans="1:19">
      <c r="A615" s="257"/>
      <c r="B615" s="57"/>
      <c r="C615" s="57"/>
      <c r="D615" s="57"/>
      <c r="E615" s="57"/>
      <c r="F615" s="57"/>
      <c r="G615" s="57"/>
      <c r="H615" s="57"/>
      <c r="I615" s="57"/>
      <c r="J615" s="57"/>
      <c r="K615" s="57"/>
      <c r="L615" s="57"/>
      <c r="M615" s="57"/>
      <c r="N615" s="57"/>
      <c r="O615" s="57"/>
      <c r="P615" s="57"/>
      <c r="Q615" s="57"/>
      <c r="R615" s="2223"/>
      <c r="S615" s="257"/>
    </row>
    <row r="616" spans="1:19">
      <c r="A616" s="257"/>
      <c r="B616" s="57"/>
      <c r="C616" s="57"/>
      <c r="D616" s="57"/>
      <c r="E616" s="57"/>
      <c r="F616" s="57"/>
      <c r="G616" s="57"/>
      <c r="H616" s="57"/>
      <c r="I616" s="57"/>
      <c r="J616" s="57"/>
      <c r="K616" s="57"/>
      <c r="L616" s="57"/>
      <c r="M616" s="57"/>
      <c r="N616" s="57"/>
      <c r="O616" s="57"/>
      <c r="P616" s="57"/>
      <c r="Q616" s="57"/>
      <c r="R616" s="2223"/>
      <c r="S616" s="257"/>
    </row>
    <row r="617" spans="1:19">
      <c r="A617" s="257"/>
      <c r="B617" s="57"/>
      <c r="C617" s="57"/>
      <c r="D617" s="57"/>
      <c r="E617" s="57"/>
      <c r="F617" s="57"/>
      <c r="G617" s="57"/>
      <c r="H617" s="57"/>
      <c r="I617" s="57"/>
      <c r="J617" s="57"/>
      <c r="K617" s="57"/>
      <c r="L617" s="57"/>
      <c r="M617" s="57"/>
      <c r="N617" s="57"/>
      <c r="O617" s="57"/>
      <c r="P617" s="57"/>
      <c r="Q617" s="57"/>
      <c r="R617" s="2223"/>
      <c r="S617" s="257"/>
    </row>
    <row r="618" spans="1:19">
      <c r="A618" s="257"/>
      <c r="B618" s="57"/>
      <c r="C618" s="57"/>
      <c r="D618" s="57"/>
      <c r="E618" s="57"/>
      <c r="F618" s="57"/>
      <c r="G618" s="57"/>
      <c r="H618" s="57"/>
      <c r="I618" s="57"/>
      <c r="J618" s="57"/>
      <c r="K618" s="57"/>
      <c r="L618" s="57"/>
      <c r="M618" s="57"/>
      <c r="N618" s="57"/>
      <c r="O618" s="57"/>
      <c r="P618" s="57"/>
      <c r="Q618" s="57"/>
      <c r="R618" s="2223"/>
      <c r="S618" s="257"/>
    </row>
    <row r="619" spans="1:19">
      <c r="A619" s="257"/>
      <c r="B619" s="57"/>
      <c r="C619" s="57"/>
      <c r="D619" s="57"/>
      <c r="E619" s="57"/>
      <c r="F619" s="57"/>
      <c r="G619" s="57"/>
      <c r="H619" s="57"/>
      <c r="I619" s="57"/>
      <c r="J619" s="57"/>
      <c r="K619" s="57"/>
      <c r="L619" s="57"/>
      <c r="M619" s="57"/>
      <c r="N619" s="57"/>
      <c r="O619" s="57"/>
      <c r="P619" s="57"/>
      <c r="Q619" s="57"/>
      <c r="R619" s="2223"/>
      <c r="S619" s="257"/>
    </row>
    <row r="620" spans="1:19">
      <c r="A620" s="257"/>
      <c r="B620" s="57"/>
      <c r="C620" s="57"/>
      <c r="D620" s="57"/>
      <c r="E620" s="57"/>
      <c r="F620" s="57"/>
      <c r="G620" s="57"/>
      <c r="H620" s="57"/>
      <c r="I620" s="57"/>
      <c r="J620" s="57"/>
      <c r="K620" s="57"/>
      <c r="L620" s="57"/>
      <c r="M620" s="57"/>
      <c r="N620" s="57"/>
      <c r="O620" s="57"/>
      <c r="P620" s="57"/>
      <c r="Q620" s="57"/>
      <c r="R620" s="2223"/>
      <c r="S620" s="257"/>
    </row>
    <row r="621" spans="1:19">
      <c r="A621" s="257"/>
      <c r="B621" s="57"/>
      <c r="C621" s="57"/>
      <c r="D621" s="57"/>
      <c r="E621" s="57"/>
      <c r="F621" s="57"/>
      <c r="G621" s="57"/>
      <c r="H621" s="57"/>
      <c r="I621" s="57"/>
      <c r="J621" s="57"/>
      <c r="K621" s="57"/>
      <c r="L621" s="57"/>
      <c r="M621" s="57"/>
      <c r="N621" s="57"/>
      <c r="O621" s="57"/>
      <c r="P621" s="57"/>
      <c r="Q621" s="57"/>
      <c r="R621" s="2223"/>
      <c r="S621" s="257"/>
    </row>
    <row r="622" spans="1:19">
      <c r="A622" s="257"/>
      <c r="B622" s="57"/>
      <c r="C622" s="57"/>
      <c r="D622" s="57"/>
      <c r="E622" s="57"/>
      <c r="F622" s="57"/>
      <c r="G622" s="57"/>
      <c r="H622" s="57"/>
      <c r="I622" s="57"/>
      <c r="J622" s="57"/>
      <c r="K622" s="57"/>
      <c r="L622" s="57"/>
      <c r="M622" s="57"/>
      <c r="N622" s="57"/>
      <c r="O622" s="57"/>
      <c r="P622" s="57"/>
      <c r="Q622" s="57"/>
      <c r="R622" s="2223"/>
      <c r="S622" s="257"/>
    </row>
    <row r="623" spans="1:19">
      <c r="A623" s="257"/>
      <c r="B623" s="57"/>
      <c r="C623" s="57"/>
      <c r="D623" s="57"/>
      <c r="E623" s="57"/>
      <c r="F623" s="57"/>
      <c r="G623" s="57"/>
      <c r="H623" s="57"/>
      <c r="I623" s="57"/>
      <c r="J623" s="57"/>
      <c r="K623" s="57"/>
      <c r="L623" s="57"/>
      <c r="M623" s="57"/>
      <c r="N623" s="57"/>
      <c r="O623" s="57"/>
      <c r="P623" s="57"/>
      <c r="Q623" s="57"/>
      <c r="R623" s="2223"/>
      <c r="S623" s="257"/>
    </row>
    <row r="624" spans="1:19">
      <c r="A624" s="257"/>
      <c r="B624" s="57"/>
      <c r="C624" s="57"/>
      <c r="D624" s="57"/>
      <c r="E624" s="57"/>
      <c r="F624" s="57"/>
      <c r="G624" s="57"/>
      <c r="H624" s="57"/>
      <c r="I624" s="57"/>
      <c r="J624" s="57"/>
      <c r="K624" s="57"/>
      <c r="L624" s="57"/>
      <c r="M624" s="57"/>
      <c r="N624" s="57"/>
      <c r="O624" s="57"/>
      <c r="P624" s="57"/>
      <c r="Q624" s="57"/>
      <c r="R624" s="2223"/>
      <c r="S624" s="257"/>
    </row>
    <row r="625" spans="1:19">
      <c r="A625" s="257"/>
      <c r="B625" s="57"/>
      <c r="C625" s="57"/>
      <c r="D625" s="57"/>
      <c r="E625" s="57"/>
      <c r="F625" s="57"/>
      <c r="G625" s="57"/>
      <c r="H625" s="57"/>
      <c r="I625" s="57"/>
      <c r="J625" s="57"/>
      <c r="K625" s="57"/>
      <c r="L625" s="57"/>
      <c r="M625" s="57"/>
      <c r="N625" s="57"/>
      <c r="O625" s="57"/>
      <c r="P625" s="57"/>
      <c r="Q625" s="57"/>
      <c r="R625" s="2223"/>
      <c r="S625" s="257"/>
    </row>
    <row r="626" spans="1:19">
      <c r="A626" s="257"/>
      <c r="B626" s="57"/>
      <c r="C626" s="57"/>
      <c r="D626" s="57"/>
      <c r="E626" s="57"/>
      <c r="F626" s="57"/>
      <c r="G626" s="57"/>
      <c r="H626" s="57"/>
      <c r="I626" s="57"/>
      <c r="J626" s="57"/>
      <c r="K626" s="57"/>
      <c r="L626" s="57"/>
      <c r="M626" s="57"/>
      <c r="N626" s="57"/>
      <c r="O626" s="57"/>
      <c r="P626" s="57"/>
      <c r="Q626" s="57"/>
      <c r="R626" s="2223"/>
      <c r="S626" s="257"/>
    </row>
    <row r="627" spans="1:19">
      <c r="A627" s="257"/>
      <c r="B627" s="57"/>
      <c r="C627" s="57"/>
      <c r="D627" s="57"/>
      <c r="E627" s="57"/>
      <c r="F627" s="57"/>
      <c r="G627" s="57"/>
      <c r="H627" s="57"/>
      <c r="I627" s="57"/>
      <c r="J627" s="57"/>
      <c r="K627" s="57"/>
      <c r="L627" s="57"/>
      <c r="M627" s="57"/>
      <c r="N627" s="57"/>
      <c r="O627" s="57"/>
      <c r="P627" s="57"/>
      <c r="Q627" s="57"/>
      <c r="R627" s="2223"/>
      <c r="S627" s="257"/>
    </row>
    <row r="628" spans="1:19">
      <c r="A628" s="257"/>
      <c r="B628" s="57"/>
      <c r="C628" s="57"/>
      <c r="D628" s="57"/>
      <c r="E628" s="57"/>
      <c r="F628" s="57"/>
      <c r="G628" s="57"/>
      <c r="H628" s="57"/>
      <c r="I628" s="57"/>
      <c r="J628" s="57"/>
      <c r="K628" s="57"/>
      <c r="L628" s="57"/>
      <c r="M628" s="57"/>
      <c r="N628" s="57"/>
      <c r="O628" s="57"/>
      <c r="P628" s="57"/>
      <c r="Q628" s="57"/>
      <c r="R628" s="2223"/>
      <c r="S628" s="257"/>
    </row>
    <row r="629" spans="1:19">
      <c r="A629" s="257"/>
      <c r="B629" s="57"/>
      <c r="C629" s="57"/>
      <c r="D629" s="57"/>
      <c r="E629" s="57"/>
      <c r="F629" s="57"/>
      <c r="G629" s="57"/>
      <c r="H629" s="57"/>
      <c r="I629" s="57"/>
      <c r="J629" s="57"/>
      <c r="K629" s="57"/>
      <c r="L629" s="57"/>
      <c r="M629" s="57"/>
      <c r="N629" s="57"/>
      <c r="O629" s="57"/>
      <c r="P629" s="57"/>
      <c r="Q629" s="57"/>
      <c r="R629" s="2223"/>
      <c r="S629" s="257"/>
    </row>
    <row r="630" spans="1:19">
      <c r="A630" s="257"/>
      <c r="B630" s="57"/>
      <c r="C630" s="57"/>
      <c r="D630" s="57"/>
      <c r="E630" s="57"/>
      <c r="F630" s="57"/>
      <c r="G630" s="57"/>
      <c r="H630" s="57"/>
      <c r="I630" s="57"/>
      <c r="J630" s="57"/>
      <c r="K630" s="57"/>
      <c r="L630" s="57"/>
      <c r="M630" s="57"/>
      <c r="N630" s="57"/>
      <c r="O630" s="57"/>
      <c r="P630" s="57"/>
      <c r="Q630" s="57"/>
      <c r="R630" s="2223"/>
      <c r="S630" s="257"/>
    </row>
    <row r="631" spans="1:19">
      <c r="A631" s="257"/>
      <c r="B631" s="57"/>
      <c r="C631" s="57"/>
      <c r="D631" s="57"/>
      <c r="E631" s="57"/>
      <c r="F631" s="57"/>
      <c r="G631" s="57"/>
      <c r="H631" s="57"/>
      <c r="I631" s="57"/>
      <c r="J631" s="57"/>
      <c r="K631" s="57"/>
      <c r="L631" s="57"/>
      <c r="M631" s="57"/>
      <c r="N631" s="57"/>
      <c r="O631" s="57"/>
      <c r="P631" s="57"/>
      <c r="Q631" s="57"/>
      <c r="R631" s="2223"/>
      <c r="S631" s="257"/>
    </row>
    <row r="632" spans="1:19">
      <c r="A632" s="257"/>
      <c r="B632" s="57"/>
      <c r="C632" s="57"/>
      <c r="D632" s="57"/>
      <c r="E632" s="57"/>
      <c r="F632" s="57"/>
      <c r="G632" s="57"/>
      <c r="H632" s="57"/>
      <c r="I632" s="57"/>
      <c r="J632" s="57"/>
      <c r="K632" s="57"/>
      <c r="L632" s="57"/>
      <c r="M632" s="57"/>
      <c r="N632" s="57"/>
      <c r="O632" s="57"/>
      <c r="P632" s="57"/>
      <c r="Q632" s="57"/>
      <c r="R632" s="2223"/>
      <c r="S632" s="257"/>
    </row>
    <row r="633" spans="1:19">
      <c r="A633" s="257"/>
      <c r="B633" s="57"/>
      <c r="C633" s="57"/>
      <c r="D633" s="57"/>
      <c r="E633" s="57"/>
      <c r="F633" s="57"/>
      <c r="G633" s="57"/>
      <c r="H633" s="57"/>
      <c r="I633" s="57"/>
      <c r="J633" s="57"/>
      <c r="K633" s="57"/>
      <c r="L633" s="57"/>
      <c r="M633" s="57"/>
      <c r="N633" s="57"/>
      <c r="O633" s="57"/>
      <c r="P633" s="57"/>
      <c r="Q633" s="57"/>
      <c r="R633" s="2223"/>
      <c r="S633" s="257"/>
    </row>
    <row r="634" spans="1:19">
      <c r="A634" s="257"/>
      <c r="B634" s="57"/>
      <c r="C634" s="57"/>
      <c r="D634" s="57"/>
      <c r="E634" s="57"/>
      <c r="F634" s="57"/>
      <c r="G634" s="57"/>
      <c r="H634" s="57"/>
      <c r="I634" s="57"/>
      <c r="J634" s="57"/>
      <c r="K634" s="57"/>
      <c r="L634" s="57"/>
      <c r="M634" s="57"/>
      <c r="N634" s="57"/>
      <c r="O634" s="57"/>
      <c r="P634" s="57"/>
      <c r="Q634" s="57"/>
      <c r="R634" s="2223"/>
      <c r="S634" s="257"/>
    </row>
    <row r="635" spans="1:19">
      <c r="A635" s="257"/>
      <c r="B635" s="57"/>
      <c r="C635" s="57"/>
      <c r="D635" s="57"/>
      <c r="E635" s="57"/>
      <c r="F635" s="57"/>
      <c r="G635" s="57"/>
      <c r="H635" s="57"/>
      <c r="I635" s="57"/>
      <c r="J635" s="57"/>
      <c r="K635" s="57"/>
      <c r="L635" s="57"/>
      <c r="M635" s="57"/>
      <c r="N635" s="57"/>
      <c r="O635" s="57"/>
      <c r="P635" s="57"/>
      <c r="Q635" s="57"/>
      <c r="R635" s="2223"/>
      <c r="S635" s="257"/>
    </row>
    <row r="636" spans="1:19">
      <c r="A636" s="257"/>
      <c r="B636" s="57"/>
      <c r="C636" s="57"/>
      <c r="D636" s="57"/>
      <c r="E636" s="57"/>
      <c r="F636" s="57"/>
      <c r="G636" s="57"/>
      <c r="H636" s="57"/>
      <c r="I636" s="57"/>
      <c r="J636" s="57"/>
      <c r="K636" s="57"/>
      <c r="L636" s="57"/>
      <c r="M636" s="57"/>
      <c r="N636" s="57"/>
      <c r="O636" s="57"/>
      <c r="P636" s="57"/>
      <c r="Q636" s="57"/>
      <c r="R636" s="2223"/>
      <c r="S636" s="257"/>
    </row>
    <row r="637" spans="1:19">
      <c r="A637" s="257"/>
      <c r="B637" s="57"/>
      <c r="C637" s="57"/>
      <c r="D637" s="57"/>
      <c r="E637" s="57"/>
      <c r="F637" s="57"/>
      <c r="G637" s="57"/>
      <c r="H637" s="57"/>
      <c r="I637" s="57"/>
      <c r="J637" s="57"/>
      <c r="K637" s="57"/>
      <c r="L637" s="57"/>
      <c r="M637" s="57"/>
      <c r="N637" s="57"/>
      <c r="O637" s="57"/>
      <c r="P637" s="57"/>
      <c r="Q637" s="57"/>
      <c r="R637" s="2223"/>
      <c r="S637" s="257"/>
    </row>
    <row r="638" spans="1:19">
      <c r="A638" s="257"/>
      <c r="B638" s="57"/>
      <c r="C638" s="57"/>
      <c r="D638" s="57"/>
      <c r="E638" s="57"/>
      <c r="F638" s="57"/>
      <c r="G638" s="57"/>
      <c r="H638" s="57"/>
      <c r="I638" s="57"/>
      <c r="J638" s="57"/>
      <c r="K638" s="57"/>
      <c r="L638" s="57"/>
      <c r="M638" s="57"/>
      <c r="N638" s="57"/>
      <c r="O638" s="57"/>
      <c r="P638" s="57"/>
      <c r="Q638" s="57"/>
      <c r="R638" s="2223"/>
      <c r="S638" s="257"/>
    </row>
    <row r="639" spans="1:19">
      <c r="A639" s="257"/>
      <c r="B639" s="57"/>
      <c r="C639" s="57"/>
      <c r="D639" s="57"/>
      <c r="E639" s="57"/>
      <c r="F639" s="57"/>
      <c r="G639" s="57"/>
      <c r="H639" s="57"/>
      <c r="I639" s="57"/>
      <c r="J639" s="57"/>
      <c r="K639" s="57"/>
      <c r="L639" s="57"/>
      <c r="M639" s="57"/>
      <c r="N639" s="57"/>
      <c r="O639" s="57"/>
      <c r="P639" s="57"/>
      <c r="Q639" s="57"/>
      <c r="R639" s="2223"/>
      <c r="S639" s="257"/>
    </row>
    <row r="640" spans="1:19">
      <c r="A640" s="257"/>
      <c r="B640" s="57"/>
      <c r="C640" s="57"/>
      <c r="D640" s="57"/>
      <c r="E640" s="57"/>
      <c r="F640" s="57"/>
      <c r="G640" s="57"/>
      <c r="H640" s="57"/>
      <c r="I640" s="57"/>
      <c r="J640" s="57"/>
      <c r="K640" s="57"/>
      <c r="L640" s="57"/>
      <c r="M640" s="57"/>
      <c r="N640" s="57"/>
      <c r="O640" s="57"/>
      <c r="P640" s="57"/>
      <c r="Q640" s="57"/>
      <c r="R640" s="2223"/>
      <c r="S640" s="257"/>
    </row>
    <row r="641" spans="1:19">
      <c r="A641" s="257"/>
      <c r="B641" s="57"/>
      <c r="C641" s="57"/>
      <c r="D641" s="57"/>
      <c r="E641" s="57"/>
      <c r="F641" s="57"/>
      <c r="G641" s="57"/>
      <c r="H641" s="57"/>
      <c r="I641" s="57"/>
      <c r="J641" s="57"/>
      <c r="K641" s="57"/>
      <c r="L641" s="57"/>
      <c r="M641" s="57"/>
      <c r="N641" s="57"/>
      <c r="O641" s="57"/>
      <c r="P641" s="57"/>
      <c r="Q641" s="57"/>
      <c r="R641" s="2223"/>
      <c r="S641" s="257"/>
    </row>
    <row r="642" spans="1:19">
      <c r="A642" s="257"/>
      <c r="B642" s="57"/>
      <c r="C642" s="57"/>
      <c r="D642" s="57"/>
      <c r="E642" s="57"/>
      <c r="F642" s="57"/>
      <c r="G642" s="57"/>
      <c r="H642" s="57"/>
      <c r="I642" s="57"/>
      <c r="J642" s="57"/>
      <c r="K642" s="57"/>
      <c r="L642" s="57"/>
      <c r="M642" s="57"/>
      <c r="N642" s="57"/>
      <c r="O642" s="57"/>
      <c r="P642" s="57"/>
      <c r="Q642" s="57"/>
      <c r="R642" s="2223"/>
      <c r="S642" s="257"/>
    </row>
    <row r="643" spans="1:19">
      <c r="A643" s="257"/>
      <c r="B643" s="57"/>
      <c r="C643" s="57"/>
      <c r="D643" s="57"/>
      <c r="E643" s="57"/>
      <c r="F643" s="57"/>
      <c r="G643" s="57"/>
      <c r="H643" s="57"/>
      <c r="I643" s="57"/>
      <c r="J643" s="57"/>
      <c r="K643" s="57"/>
      <c r="L643" s="57"/>
      <c r="M643" s="57"/>
      <c r="N643" s="57"/>
      <c r="O643" s="57"/>
      <c r="P643" s="57"/>
      <c r="Q643" s="57"/>
      <c r="R643" s="2223"/>
      <c r="S643" s="257"/>
    </row>
    <row r="644" spans="1:19">
      <c r="A644" s="257"/>
      <c r="B644" s="57"/>
      <c r="C644" s="57"/>
      <c r="D644" s="57"/>
      <c r="E644" s="57"/>
      <c r="F644" s="57"/>
      <c r="G644" s="57"/>
      <c r="H644" s="57"/>
      <c r="I644" s="57"/>
      <c r="J644" s="57"/>
      <c r="K644" s="57"/>
      <c r="L644" s="57"/>
      <c r="M644" s="57"/>
      <c r="N644" s="57"/>
      <c r="O644" s="57"/>
      <c r="P644" s="57"/>
      <c r="Q644" s="57"/>
      <c r="R644" s="2223"/>
      <c r="S644" s="257"/>
    </row>
    <row r="645" spans="1:19">
      <c r="A645" s="257"/>
      <c r="B645" s="57"/>
      <c r="C645" s="57"/>
      <c r="D645" s="57"/>
      <c r="E645" s="57"/>
      <c r="F645" s="57"/>
      <c r="G645" s="57"/>
      <c r="H645" s="57"/>
      <c r="I645" s="57"/>
      <c r="J645" s="57"/>
      <c r="K645" s="57"/>
      <c r="L645" s="57"/>
      <c r="M645" s="57"/>
      <c r="N645" s="57"/>
      <c r="O645" s="57"/>
      <c r="P645" s="57"/>
      <c r="Q645" s="57"/>
      <c r="R645" s="2223"/>
      <c r="S645" s="257"/>
    </row>
    <row r="646" spans="1:19">
      <c r="A646" s="257"/>
      <c r="B646" s="57"/>
      <c r="C646" s="57"/>
      <c r="D646" s="57"/>
      <c r="E646" s="57"/>
      <c r="F646" s="57"/>
      <c r="G646" s="57"/>
      <c r="H646" s="57"/>
      <c r="I646" s="57"/>
      <c r="J646" s="57"/>
      <c r="K646" s="57"/>
      <c r="L646" s="57"/>
      <c r="M646" s="57"/>
      <c r="N646" s="57"/>
      <c r="O646" s="57"/>
      <c r="P646" s="57"/>
      <c r="Q646" s="57"/>
      <c r="R646" s="2223"/>
      <c r="S646" s="257"/>
    </row>
    <row r="647" spans="1:19">
      <c r="A647" s="257"/>
      <c r="B647" s="57"/>
      <c r="C647" s="57"/>
      <c r="D647" s="57"/>
      <c r="E647" s="57"/>
      <c r="F647" s="57"/>
      <c r="G647" s="57"/>
      <c r="H647" s="57"/>
      <c r="I647" s="57"/>
      <c r="J647" s="57"/>
      <c r="K647" s="57"/>
      <c r="L647" s="57"/>
      <c r="M647" s="57"/>
      <c r="N647" s="57"/>
      <c r="O647" s="57"/>
      <c r="P647" s="57"/>
      <c r="Q647" s="57"/>
      <c r="R647" s="2223"/>
      <c r="S647" s="257"/>
    </row>
    <row r="648" spans="1:19">
      <c r="A648" s="257"/>
      <c r="B648" s="57"/>
      <c r="C648" s="57"/>
      <c r="D648" s="57"/>
      <c r="E648" s="57"/>
      <c r="F648" s="57"/>
      <c r="G648" s="57"/>
      <c r="H648" s="57"/>
      <c r="I648" s="57"/>
      <c r="J648" s="57"/>
      <c r="K648" s="57"/>
      <c r="L648" s="57"/>
      <c r="M648" s="57"/>
      <c r="N648" s="57"/>
      <c r="O648" s="57"/>
      <c r="P648" s="57"/>
      <c r="Q648" s="57"/>
      <c r="R648" s="2223"/>
      <c r="S648" s="257"/>
    </row>
    <row r="649" spans="1:19">
      <c r="A649" s="257"/>
      <c r="B649" s="57"/>
      <c r="C649" s="57"/>
      <c r="D649" s="57"/>
      <c r="E649" s="57"/>
      <c r="F649" s="57"/>
      <c r="G649" s="57"/>
      <c r="H649" s="57"/>
      <c r="I649" s="57"/>
      <c r="J649" s="57"/>
      <c r="K649" s="57"/>
      <c r="L649" s="57"/>
      <c r="M649" s="57"/>
      <c r="N649" s="57"/>
      <c r="O649" s="57"/>
      <c r="P649" s="57"/>
      <c r="Q649" s="57"/>
      <c r="R649" s="2223"/>
      <c r="S649" s="257"/>
    </row>
    <row r="650" spans="1:19">
      <c r="A650" s="257"/>
      <c r="B650" s="57"/>
      <c r="C650" s="57"/>
      <c r="D650" s="57"/>
      <c r="E650" s="57"/>
      <c r="F650" s="57"/>
      <c r="G650" s="57"/>
      <c r="H650" s="57"/>
      <c r="I650" s="57"/>
      <c r="J650" s="57"/>
      <c r="K650" s="57"/>
      <c r="L650" s="57"/>
      <c r="M650" s="57"/>
      <c r="N650" s="57"/>
      <c r="O650" s="57"/>
      <c r="P650" s="57"/>
      <c r="Q650" s="57"/>
      <c r="R650" s="2223"/>
      <c r="S650" s="257"/>
    </row>
    <row r="651" spans="1:19">
      <c r="A651" s="257"/>
      <c r="B651" s="57"/>
      <c r="C651" s="57"/>
      <c r="D651" s="57"/>
      <c r="E651" s="57"/>
      <c r="F651" s="57"/>
      <c r="G651" s="57"/>
      <c r="H651" s="57"/>
      <c r="I651" s="57"/>
      <c r="J651" s="57"/>
      <c r="K651" s="57"/>
      <c r="L651" s="57"/>
      <c r="M651" s="57"/>
      <c r="N651" s="57"/>
      <c r="O651" s="57"/>
      <c r="P651" s="57"/>
      <c r="Q651" s="57"/>
      <c r="R651" s="2223"/>
      <c r="S651" s="257"/>
    </row>
    <row r="652" spans="1:19">
      <c r="A652" s="257"/>
      <c r="B652" s="57"/>
      <c r="C652" s="57"/>
      <c r="D652" s="57"/>
      <c r="E652" s="57"/>
      <c r="F652" s="57"/>
      <c r="G652" s="57"/>
      <c r="H652" s="57"/>
      <c r="I652" s="57"/>
      <c r="J652" s="57"/>
      <c r="K652" s="57"/>
      <c r="L652" s="57"/>
      <c r="M652" s="57"/>
      <c r="N652" s="57"/>
      <c r="O652" s="57"/>
      <c r="P652" s="57"/>
      <c r="Q652" s="57"/>
      <c r="R652" s="2223"/>
      <c r="S652" s="257"/>
    </row>
    <row r="653" spans="1:19">
      <c r="A653" s="257"/>
      <c r="B653" s="57"/>
      <c r="C653" s="57"/>
      <c r="D653" s="57"/>
      <c r="E653" s="57"/>
      <c r="F653" s="57"/>
      <c r="G653" s="57"/>
      <c r="H653" s="57"/>
      <c r="I653" s="57"/>
      <c r="J653" s="57"/>
      <c r="K653" s="57"/>
      <c r="L653" s="57"/>
      <c r="M653" s="57"/>
      <c r="N653" s="57"/>
      <c r="O653" s="57"/>
      <c r="P653" s="57"/>
      <c r="Q653" s="57"/>
      <c r="R653" s="2223"/>
      <c r="S653" s="257"/>
    </row>
    <row r="654" spans="1:19">
      <c r="A654" s="257"/>
      <c r="B654" s="57"/>
      <c r="C654" s="57"/>
      <c r="D654" s="57"/>
      <c r="E654" s="57"/>
      <c r="F654" s="57"/>
      <c r="G654" s="57"/>
      <c r="H654" s="57"/>
      <c r="I654" s="57"/>
      <c r="J654" s="57"/>
      <c r="K654" s="57"/>
      <c r="L654" s="57"/>
      <c r="M654" s="57"/>
      <c r="N654" s="57"/>
      <c r="O654" s="57"/>
      <c r="P654" s="57"/>
      <c r="Q654" s="57"/>
      <c r="R654" s="2223"/>
      <c r="S654" s="257"/>
    </row>
    <row r="655" spans="1:19">
      <c r="A655" s="257"/>
      <c r="B655" s="57"/>
      <c r="C655" s="57"/>
      <c r="D655" s="57"/>
      <c r="E655" s="57"/>
      <c r="F655" s="57"/>
      <c r="G655" s="57"/>
      <c r="H655" s="57"/>
      <c r="I655" s="57"/>
      <c r="J655" s="57"/>
      <c r="K655" s="57"/>
      <c r="L655" s="57"/>
      <c r="M655" s="57"/>
      <c r="N655" s="57"/>
      <c r="O655" s="57"/>
      <c r="P655" s="57"/>
      <c r="Q655" s="57"/>
      <c r="R655" s="2223"/>
      <c r="S655" s="257"/>
    </row>
    <row r="656" spans="1:19">
      <c r="A656" s="257"/>
      <c r="B656" s="57"/>
      <c r="C656" s="57"/>
      <c r="D656" s="57"/>
      <c r="E656" s="57"/>
      <c r="F656" s="57"/>
      <c r="G656" s="57"/>
      <c r="H656" s="57"/>
      <c r="I656" s="57"/>
      <c r="J656" s="57"/>
      <c r="K656" s="57"/>
      <c r="L656" s="57"/>
      <c r="M656" s="57"/>
      <c r="N656" s="57"/>
      <c r="O656" s="57"/>
      <c r="P656" s="57"/>
      <c r="Q656" s="57"/>
      <c r="R656" s="2223"/>
      <c r="S656" s="257"/>
    </row>
    <row r="657" spans="1:19">
      <c r="A657" s="257"/>
      <c r="B657" s="57"/>
      <c r="C657" s="57"/>
      <c r="D657" s="57"/>
      <c r="E657" s="57"/>
      <c r="F657" s="57"/>
      <c r="G657" s="57"/>
      <c r="H657" s="57"/>
      <c r="I657" s="57"/>
      <c r="J657" s="57"/>
      <c r="K657" s="57"/>
      <c r="L657" s="57"/>
      <c r="M657" s="57"/>
      <c r="N657" s="57"/>
      <c r="O657" s="57"/>
      <c r="P657" s="57"/>
      <c r="Q657" s="57"/>
      <c r="R657" s="2223"/>
      <c r="S657" s="257"/>
    </row>
    <row r="658" spans="1:19">
      <c r="A658" s="257"/>
      <c r="B658" s="57"/>
      <c r="C658" s="57"/>
      <c r="D658" s="57"/>
      <c r="E658" s="57"/>
      <c r="F658" s="57"/>
      <c r="G658" s="57"/>
      <c r="H658" s="57"/>
      <c r="I658" s="57"/>
      <c r="J658" s="57"/>
      <c r="K658" s="57"/>
      <c r="L658" s="57"/>
      <c r="M658" s="57"/>
      <c r="N658" s="57"/>
      <c r="O658" s="57"/>
      <c r="P658" s="57"/>
      <c r="Q658" s="57"/>
      <c r="R658" s="2223"/>
      <c r="S658" s="257"/>
    </row>
    <row r="659" spans="1:19">
      <c r="A659" s="257"/>
      <c r="B659" s="57"/>
      <c r="C659" s="57"/>
      <c r="D659" s="57"/>
      <c r="E659" s="57"/>
      <c r="F659" s="57"/>
      <c r="G659" s="57"/>
      <c r="H659" s="57"/>
      <c r="I659" s="57"/>
      <c r="J659" s="57"/>
      <c r="K659" s="57"/>
      <c r="L659" s="57"/>
      <c r="M659" s="57"/>
      <c r="N659" s="57"/>
      <c r="O659" s="57"/>
      <c r="P659" s="57"/>
      <c r="Q659" s="57"/>
      <c r="R659" s="2223"/>
      <c r="S659" s="257"/>
    </row>
    <row r="660" spans="1:19">
      <c r="A660" s="257"/>
      <c r="B660" s="57"/>
      <c r="C660" s="57"/>
      <c r="D660" s="57"/>
      <c r="E660" s="57"/>
      <c r="F660" s="57"/>
      <c r="G660" s="57"/>
      <c r="H660" s="57"/>
      <c r="I660" s="57"/>
      <c r="J660" s="57"/>
      <c r="K660" s="57"/>
      <c r="L660" s="57"/>
      <c r="M660" s="57"/>
      <c r="N660" s="57"/>
      <c r="O660" s="57"/>
      <c r="P660" s="57"/>
      <c r="Q660" s="57"/>
      <c r="R660" s="2223"/>
      <c r="S660" s="257"/>
    </row>
    <row r="661" spans="1:19">
      <c r="A661" s="257"/>
      <c r="B661" s="57"/>
      <c r="C661" s="57"/>
      <c r="D661" s="57"/>
      <c r="E661" s="57"/>
      <c r="F661" s="57"/>
      <c r="G661" s="57"/>
      <c r="H661" s="57"/>
      <c r="I661" s="57"/>
      <c r="J661" s="57"/>
      <c r="K661" s="57"/>
      <c r="L661" s="57"/>
      <c r="M661" s="57"/>
      <c r="N661" s="57"/>
      <c r="O661" s="57"/>
      <c r="P661" s="57"/>
      <c r="Q661" s="57"/>
      <c r="R661" s="2223"/>
      <c r="S661" s="257"/>
    </row>
    <row r="662" spans="1:19">
      <c r="A662" s="257"/>
      <c r="B662" s="57"/>
      <c r="C662" s="57"/>
      <c r="D662" s="57"/>
      <c r="E662" s="57"/>
      <c r="F662" s="57"/>
      <c r="G662" s="57"/>
      <c r="H662" s="57"/>
      <c r="I662" s="57"/>
      <c r="J662" s="57"/>
      <c r="K662" s="57"/>
      <c r="L662" s="57"/>
      <c r="M662" s="57"/>
      <c r="N662" s="57"/>
      <c r="O662" s="57"/>
      <c r="P662" s="57"/>
      <c r="Q662" s="57"/>
      <c r="R662" s="2223"/>
      <c r="S662" s="257"/>
    </row>
    <row r="663" spans="1:19">
      <c r="A663" s="257"/>
      <c r="B663" s="57"/>
      <c r="C663" s="57"/>
      <c r="D663" s="57"/>
      <c r="E663" s="57"/>
      <c r="F663" s="57"/>
      <c r="G663" s="57"/>
      <c r="H663" s="57"/>
      <c r="I663" s="57"/>
      <c r="J663" s="57"/>
      <c r="K663" s="57"/>
      <c r="L663" s="57"/>
      <c r="M663" s="57"/>
      <c r="N663" s="57"/>
      <c r="O663" s="57"/>
      <c r="P663" s="57"/>
      <c r="Q663" s="57"/>
      <c r="R663" s="2223"/>
      <c r="S663" s="257"/>
    </row>
    <row r="664" spans="1:19">
      <c r="A664" s="257"/>
      <c r="B664" s="57"/>
      <c r="C664" s="57"/>
      <c r="D664" s="57"/>
      <c r="E664" s="57"/>
      <c r="F664" s="57"/>
      <c r="G664" s="57"/>
      <c r="H664" s="57"/>
      <c r="I664" s="57"/>
      <c r="J664" s="57"/>
      <c r="K664" s="57"/>
      <c r="L664" s="57"/>
      <c r="M664" s="57"/>
      <c r="N664" s="57"/>
      <c r="O664" s="57"/>
      <c r="P664" s="57"/>
      <c r="Q664" s="57"/>
      <c r="R664" s="2223"/>
      <c r="S664" s="257"/>
    </row>
    <row r="665" spans="1:19">
      <c r="A665" s="257"/>
      <c r="B665" s="57"/>
      <c r="C665" s="57"/>
      <c r="D665" s="57"/>
      <c r="E665" s="57"/>
      <c r="F665" s="57"/>
      <c r="G665" s="57"/>
      <c r="H665" s="57"/>
      <c r="I665" s="57"/>
      <c r="J665" s="57"/>
      <c r="K665" s="57"/>
      <c r="L665" s="57"/>
      <c r="M665" s="57"/>
      <c r="N665" s="57"/>
      <c r="O665" s="57"/>
      <c r="P665" s="57"/>
      <c r="Q665" s="57"/>
      <c r="R665" s="2223"/>
      <c r="S665" s="257"/>
    </row>
    <row r="666" spans="1:19">
      <c r="A666" s="257"/>
      <c r="B666" s="57"/>
      <c r="C666" s="57"/>
      <c r="D666" s="57"/>
      <c r="E666" s="57"/>
      <c r="F666" s="57"/>
      <c r="G666" s="57"/>
      <c r="H666" s="57"/>
      <c r="I666" s="57"/>
      <c r="J666" s="57"/>
      <c r="K666" s="57"/>
      <c r="L666" s="57"/>
      <c r="M666" s="57"/>
      <c r="N666" s="57"/>
      <c r="O666" s="57"/>
      <c r="P666" s="57"/>
      <c r="Q666" s="57"/>
      <c r="R666" s="2223"/>
      <c r="S666" s="257"/>
    </row>
    <row r="667" spans="1:19">
      <c r="A667" s="257"/>
      <c r="B667" s="57"/>
      <c r="C667" s="57"/>
      <c r="D667" s="57"/>
      <c r="E667" s="57"/>
      <c r="F667" s="57"/>
      <c r="G667" s="57"/>
      <c r="H667" s="57"/>
      <c r="I667" s="57"/>
      <c r="J667" s="57"/>
      <c r="K667" s="57"/>
      <c r="L667" s="57"/>
      <c r="M667" s="57"/>
      <c r="N667" s="57"/>
      <c r="O667" s="57"/>
      <c r="P667" s="57"/>
      <c r="Q667" s="57"/>
      <c r="R667" s="2223"/>
      <c r="S667" s="257"/>
    </row>
    <row r="668" spans="1:19">
      <c r="A668" s="257"/>
      <c r="B668" s="57"/>
      <c r="C668" s="57"/>
      <c r="D668" s="57"/>
      <c r="E668" s="57"/>
      <c r="F668" s="57"/>
      <c r="G668" s="57"/>
      <c r="H668" s="57"/>
      <c r="I668" s="57"/>
      <c r="J668" s="57"/>
      <c r="K668" s="57"/>
      <c r="L668" s="57"/>
      <c r="M668" s="57"/>
      <c r="N668" s="57"/>
      <c r="O668" s="57"/>
      <c r="P668" s="57"/>
      <c r="Q668" s="57"/>
      <c r="R668" s="2223"/>
      <c r="S668" s="257"/>
    </row>
    <row r="669" spans="1:19">
      <c r="A669" s="257"/>
      <c r="B669" s="57"/>
      <c r="C669" s="57"/>
      <c r="D669" s="57"/>
      <c r="E669" s="57"/>
      <c r="F669" s="57"/>
      <c r="G669" s="57"/>
      <c r="H669" s="57"/>
      <c r="I669" s="57"/>
      <c r="J669" s="57"/>
      <c r="K669" s="57"/>
      <c r="L669" s="57"/>
      <c r="M669" s="57"/>
      <c r="N669" s="57"/>
      <c r="O669" s="57"/>
      <c r="P669" s="57"/>
      <c r="Q669" s="57"/>
      <c r="R669" s="2223"/>
      <c r="S669" s="257"/>
    </row>
    <row r="670" spans="1:19">
      <c r="A670" s="257"/>
      <c r="B670" s="57"/>
      <c r="C670" s="57"/>
      <c r="D670" s="57"/>
      <c r="E670" s="57"/>
      <c r="F670" s="57"/>
      <c r="G670" s="57"/>
      <c r="H670" s="57"/>
      <c r="I670" s="57"/>
      <c r="J670" s="57"/>
      <c r="K670" s="57"/>
      <c r="L670" s="57"/>
      <c r="M670" s="57"/>
      <c r="N670" s="57"/>
      <c r="O670" s="57"/>
      <c r="P670" s="57"/>
      <c r="Q670" s="57"/>
      <c r="R670" s="2223"/>
      <c r="S670" s="257"/>
    </row>
    <row r="671" spans="1:19">
      <c r="A671" s="257"/>
      <c r="B671" s="57"/>
      <c r="C671" s="57"/>
      <c r="D671" s="57"/>
      <c r="E671" s="57"/>
      <c r="F671" s="57"/>
      <c r="G671" s="57"/>
      <c r="H671" s="57"/>
      <c r="I671" s="57"/>
      <c r="J671" s="57"/>
      <c r="K671" s="57"/>
      <c r="L671" s="57"/>
      <c r="M671" s="57"/>
      <c r="N671" s="57"/>
      <c r="O671" s="57"/>
      <c r="P671" s="57"/>
      <c r="Q671" s="57"/>
      <c r="R671" s="2223"/>
      <c r="S671" s="257"/>
    </row>
    <row r="672" spans="1:19">
      <c r="A672" s="257"/>
      <c r="B672" s="57"/>
      <c r="C672" s="57"/>
      <c r="D672" s="57"/>
      <c r="E672" s="57"/>
      <c r="F672" s="57"/>
      <c r="G672" s="57"/>
      <c r="H672" s="57"/>
      <c r="I672" s="57"/>
      <c r="J672" s="57"/>
      <c r="K672" s="57"/>
      <c r="L672" s="57"/>
      <c r="M672" s="57"/>
      <c r="N672" s="57"/>
      <c r="O672" s="57"/>
      <c r="P672" s="57"/>
      <c r="Q672" s="57"/>
      <c r="R672" s="2223"/>
      <c r="S672" s="257"/>
    </row>
    <row r="673" spans="1:19">
      <c r="A673" s="257"/>
      <c r="B673" s="57"/>
      <c r="C673" s="57"/>
      <c r="D673" s="57"/>
      <c r="E673" s="57"/>
      <c r="F673" s="57"/>
      <c r="G673" s="57"/>
      <c r="H673" s="57"/>
      <c r="I673" s="57"/>
      <c r="J673" s="57"/>
      <c r="K673" s="57"/>
      <c r="L673" s="57"/>
      <c r="M673" s="57"/>
      <c r="N673" s="57"/>
      <c r="O673" s="57"/>
      <c r="P673" s="57"/>
      <c r="Q673" s="57"/>
      <c r="R673" s="2223"/>
      <c r="S673" s="257"/>
    </row>
    <row r="674" spans="1:19">
      <c r="A674" s="257"/>
      <c r="B674" s="57"/>
      <c r="C674" s="57"/>
      <c r="D674" s="57"/>
      <c r="E674" s="57"/>
      <c r="F674" s="57"/>
      <c r="G674" s="57"/>
      <c r="H674" s="57"/>
      <c r="I674" s="57"/>
      <c r="J674" s="57"/>
      <c r="K674" s="57"/>
      <c r="L674" s="57"/>
      <c r="M674" s="57"/>
      <c r="N674" s="57"/>
      <c r="O674" s="57"/>
      <c r="P674" s="57"/>
      <c r="Q674" s="57"/>
      <c r="R674" s="2223"/>
      <c r="S674" s="257"/>
    </row>
    <row r="675" spans="1:19">
      <c r="A675" s="257"/>
      <c r="B675" s="57"/>
      <c r="C675" s="57"/>
      <c r="D675" s="57"/>
      <c r="E675" s="57"/>
      <c r="F675" s="57"/>
      <c r="G675" s="57"/>
      <c r="H675" s="57"/>
      <c r="I675" s="57"/>
      <c r="J675" s="57"/>
      <c r="K675" s="57"/>
      <c r="L675" s="57"/>
      <c r="M675" s="57"/>
      <c r="N675" s="57"/>
      <c r="O675" s="57"/>
      <c r="P675" s="57"/>
      <c r="Q675" s="57"/>
      <c r="R675" s="2223"/>
      <c r="S675" s="257"/>
    </row>
    <row r="676" spans="1:19">
      <c r="A676" s="257"/>
      <c r="B676" s="57"/>
      <c r="C676" s="57"/>
      <c r="D676" s="57"/>
      <c r="E676" s="57"/>
      <c r="F676" s="57"/>
      <c r="G676" s="57"/>
      <c r="H676" s="57"/>
      <c r="I676" s="57"/>
      <c r="J676" s="57"/>
      <c r="K676" s="57"/>
      <c r="L676" s="57"/>
      <c r="M676" s="57"/>
      <c r="N676" s="57"/>
      <c r="O676" s="57"/>
      <c r="P676" s="57"/>
      <c r="Q676" s="57"/>
      <c r="R676" s="2223"/>
      <c r="S676" s="257"/>
    </row>
    <row r="677" spans="1:19">
      <c r="A677" s="257"/>
      <c r="B677" s="57"/>
      <c r="C677" s="57"/>
      <c r="D677" s="57"/>
      <c r="E677" s="57"/>
      <c r="F677" s="57"/>
      <c r="G677" s="57"/>
      <c r="H677" s="57"/>
      <c r="I677" s="57"/>
      <c r="J677" s="57"/>
      <c r="K677" s="57"/>
      <c r="L677" s="57"/>
      <c r="M677" s="57"/>
      <c r="N677" s="57"/>
      <c r="O677" s="57"/>
      <c r="P677" s="57"/>
      <c r="Q677" s="57"/>
      <c r="R677" s="2223"/>
      <c r="S677" s="257"/>
    </row>
    <row r="678" spans="1:19">
      <c r="A678" s="257"/>
      <c r="B678" s="57"/>
      <c r="C678" s="57"/>
      <c r="D678" s="57"/>
      <c r="E678" s="57"/>
      <c r="F678" s="57"/>
      <c r="G678" s="57"/>
      <c r="H678" s="57"/>
      <c r="I678" s="57"/>
      <c r="J678" s="57"/>
      <c r="K678" s="57"/>
      <c r="L678" s="57"/>
      <c r="M678" s="57"/>
      <c r="N678" s="57"/>
      <c r="O678" s="57"/>
      <c r="P678" s="57"/>
      <c r="Q678" s="57"/>
      <c r="R678" s="2223"/>
      <c r="S678" s="257"/>
    </row>
    <row r="679" spans="1:19">
      <c r="A679" s="257"/>
      <c r="B679" s="57"/>
      <c r="C679" s="57"/>
      <c r="D679" s="57"/>
      <c r="E679" s="57"/>
      <c r="F679" s="57"/>
      <c r="G679" s="57"/>
      <c r="H679" s="57"/>
      <c r="I679" s="57"/>
      <c r="J679" s="57"/>
      <c r="K679" s="57"/>
      <c r="L679" s="57"/>
      <c r="M679" s="57"/>
      <c r="N679" s="57"/>
      <c r="O679" s="57"/>
      <c r="P679" s="57"/>
      <c r="Q679" s="57"/>
      <c r="R679" s="2223"/>
      <c r="S679" s="257"/>
    </row>
    <row r="680" spans="1:19">
      <c r="A680" s="257"/>
      <c r="B680" s="57"/>
      <c r="C680" s="57"/>
      <c r="D680" s="57"/>
      <c r="E680" s="57"/>
      <c r="F680" s="57"/>
      <c r="G680" s="57"/>
      <c r="H680" s="57"/>
      <c r="I680" s="57"/>
      <c r="J680" s="57"/>
      <c r="K680" s="57"/>
      <c r="L680" s="57"/>
      <c r="M680" s="57"/>
      <c r="N680" s="57"/>
      <c r="O680" s="57"/>
      <c r="P680" s="57"/>
      <c r="Q680" s="57"/>
      <c r="R680" s="2223"/>
      <c r="S680" s="257"/>
    </row>
    <row r="681" spans="1:19">
      <c r="A681" s="257"/>
      <c r="B681" s="57"/>
      <c r="C681" s="57"/>
      <c r="D681" s="57"/>
      <c r="E681" s="57"/>
      <c r="F681" s="57"/>
      <c r="G681" s="57"/>
      <c r="H681" s="57"/>
      <c r="I681" s="57"/>
      <c r="J681" s="57"/>
      <c r="K681" s="57"/>
      <c r="L681" s="57"/>
      <c r="M681" s="57"/>
      <c r="N681" s="57"/>
      <c r="O681" s="57"/>
      <c r="P681" s="57"/>
      <c r="Q681" s="57"/>
      <c r="R681" s="2223"/>
      <c r="S681" s="257"/>
    </row>
    <row r="682" spans="1:19">
      <c r="A682" s="257"/>
      <c r="B682" s="57"/>
      <c r="C682" s="57"/>
      <c r="D682" s="57"/>
      <c r="E682" s="57"/>
      <c r="F682" s="57"/>
      <c r="G682" s="57"/>
      <c r="H682" s="57"/>
      <c r="I682" s="57"/>
      <c r="J682" s="57"/>
      <c r="K682" s="57"/>
      <c r="L682" s="57"/>
      <c r="M682" s="57"/>
      <c r="N682" s="57"/>
      <c r="O682" s="57"/>
      <c r="P682" s="57"/>
      <c r="Q682" s="57"/>
      <c r="R682" s="2223"/>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62" customWidth="1"/>
    <col min="2" max="2" width="13.21875" style="2968" customWidth="1"/>
    <col min="3" max="3" width="15.6640625" style="2968" customWidth="1"/>
    <col min="4" max="4" width="9.33203125" style="2968" bestFit="1" customWidth="1"/>
    <col min="5" max="5" width="13.44140625" style="2968" customWidth="1"/>
    <col min="6" max="6" width="9" style="2968"/>
    <col min="7" max="7" width="9.33203125" style="2968" bestFit="1" customWidth="1"/>
    <col min="8" max="9" width="9" style="2968"/>
    <col min="10" max="10" width="9.33203125" style="2968" bestFit="1" customWidth="1"/>
    <col min="11" max="11" width="4" style="2962" customWidth="1"/>
    <col min="12" max="12" width="5.109375" style="2968" customWidth="1"/>
    <col min="13" max="13" width="13.77734375" style="2968" customWidth="1"/>
    <col min="14" max="256" width="9" style="2968"/>
    <col min="257" max="257" width="4.88671875" style="2960" customWidth="1"/>
    <col min="258" max="258" width="13.21875" style="2960" customWidth="1"/>
    <col min="259" max="259" width="15.6640625" style="2960" customWidth="1"/>
    <col min="260" max="260" width="9.33203125" style="2960" bestFit="1" customWidth="1"/>
    <col min="261" max="261" width="13.44140625" style="2960" customWidth="1"/>
    <col min="262" max="262" width="9" style="2960"/>
    <col min="263" max="263" width="9.33203125" style="2960" bestFit="1" customWidth="1"/>
    <col min="264" max="265" width="9" style="2960"/>
    <col min="266" max="266" width="9.33203125" style="2960" bestFit="1" customWidth="1"/>
    <col min="267" max="267" width="4" style="2960" customWidth="1"/>
    <col min="268" max="268" width="5.109375" style="2960" customWidth="1"/>
    <col min="269" max="269" width="13.77734375" style="2960" customWidth="1"/>
    <col min="270" max="512" width="9" style="2960"/>
    <col min="513" max="513" width="4.88671875" style="2960" customWidth="1"/>
    <col min="514" max="514" width="13.21875" style="2960" customWidth="1"/>
    <col min="515" max="515" width="15.6640625" style="2960" customWidth="1"/>
    <col min="516" max="516" width="9.33203125" style="2960" bestFit="1" customWidth="1"/>
    <col min="517" max="517" width="13.44140625" style="2960" customWidth="1"/>
    <col min="518" max="518" width="9" style="2960"/>
    <col min="519" max="519" width="9.33203125" style="2960" bestFit="1" customWidth="1"/>
    <col min="520" max="521" width="9" style="2960"/>
    <col min="522" max="522" width="9.33203125" style="2960" bestFit="1" customWidth="1"/>
    <col min="523" max="523" width="4" style="2960" customWidth="1"/>
    <col min="524" max="524" width="5.109375" style="2960" customWidth="1"/>
    <col min="525" max="525" width="13.77734375" style="2960" customWidth="1"/>
    <col min="526" max="768" width="9" style="2960"/>
    <col min="769" max="769" width="4.88671875" style="2960" customWidth="1"/>
    <col min="770" max="770" width="13.21875" style="2960" customWidth="1"/>
    <col min="771" max="771" width="15.6640625" style="2960" customWidth="1"/>
    <col min="772" max="772" width="9.33203125" style="2960" bestFit="1" customWidth="1"/>
    <col min="773" max="773" width="13.44140625" style="2960" customWidth="1"/>
    <col min="774" max="774" width="9" style="2960"/>
    <col min="775" max="775" width="9.33203125" style="2960" bestFit="1" customWidth="1"/>
    <col min="776" max="777" width="9" style="2960"/>
    <col min="778" max="778" width="9.33203125" style="2960" bestFit="1" customWidth="1"/>
    <col min="779" max="779" width="4" style="2960" customWidth="1"/>
    <col min="780" max="780" width="5.109375" style="2960" customWidth="1"/>
    <col min="781" max="781" width="13.77734375" style="2960" customWidth="1"/>
    <col min="782" max="1024" width="9" style="2960"/>
    <col min="1025" max="1025" width="4.88671875" style="2960" customWidth="1"/>
    <col min="1026" max="1026" width="13.21875" style="2960" customWidth="1"/>
    <col min="1027" max="1027" width="15.6640625" style="2960" customWidth="1"/>
    <col min="1028" max="1028" width="9.33203125" style="2960" bestFit="1" customWidth="1"/>
    <col min="1029" max="1029" width="13.44140625" style="2960" customWidth="1"/>
    <col min="1030" max="1030" width="9" style="2960"/>
    <col min="1031" max="1031" width="9.33203125" style="2960" bestFit="1" customWidth="1"/>
    <col min="1032" max="1033" width="9" style="2960"/>
    <col min="1034" max="1034" width="9.33203125" style="2960" bestFit="1" customWidth="1"/>
    <col min="1035" max="1035" width="4" style="2960" customWidth="1"/>
    <col min="1036" max="1036" width="5.109375" style="2960" customWidth="1"/>
    <col min="1037" max="1037" width="13.77734375" style="2960" customWidth="1"/>
    <col min="1038" max="1280" width="9" style="2960"/>
    <col min="1281" max="1281" width="4.88671875" style="2960" customWidth="1"/>
    <col min="1282" max="1282" width="13.21875" style="2960" customWidth="1"/>
    <col min="1283" max="1283" width="15.6640625" style="2960" customWidth="1"/>
    <col min="1284" max="1284" width="9.33203125" style="2960" bestFit="1" customWidth="1"/>
    <col min="1285" max="1285" width="13.44140625" style="2960" customWidth="1"/>
    <col min="1286" max="1286" width="9" style="2960"/>
    <col min="1287" max="1287" width="9.33203125" style="2960" bestFit="1" customWidth="1"/>
    <col min="1288" max="1289" width="9" style="2960"/>
    <col min="1290" max="1290" width="9.33203125" style="2960" bestFit="1" customWidth="1"/>
    <col min="1291" max="1291" width="4" style="2960" customWidth="1"/>
    <col min="1292" max="1292" width="5.109375" style="2960" customWidth="1"/>
    <col min="1293" max="1293" width="13.77734375" style="2960" customWidth="1"/>
    <col min="1294" max="1536" width="9" style="2960"/>
    <col min="1537" max="1537" width="4.88671875" style="2960" customWidth="1"/>
    <col min="1538" max="1538" width="13.21875" style="2960" customWidth="1"/>
    <col min="1539" max="1539" width="15.6640625" style="2960" customWidth="1"/>
    <col min="1540" max="1540" width="9.33203125" style="2960" bestFit="1" customWidth="1"/>
    <col min="1541" max="1541" width="13.44140625" style="2960" customWidth="1"/>
    <col min="1542" max="1542" width="9" style="2960"/>
    <col min="1543" max="1543" width="9.33203125" style="2960" bestFit="1" customWidth="1"/>
    <col min="1544" max="1545" width="9" style="2960"/>
    <col min="1546" max="1546" width="9.33203125" style="2960" bestFit="1" customWidth="1"/>
    <col min="1547" max="1547" width="4" style="2960" customWidth="1"/>
    <col min="1548" max="1548" width="5.109375" style="2960" customWidth="1"/>
    <col min="1549" max="1549" width="13.77734375" style="2960" customWidth="1"/>
    <col min="1550" max="1792" width="9" style="2960"/>
    <col min="1793" max="1793" width="4.88671875" style="2960" customWidth="1"/>
    <col min="1794" max="1794" width="13.21875" style="2960" customWidth="1"/>
    <col min="1795" max="1795" width="15.6640625" style="2960" customWidth="1"/>
    <col min="1796" max="1796" width="9.33203125" style="2960" bestFit="1" customWidth="1"/>
    <col min="1797" max="1797" width="13.44140625" style="2960" customWidth="1"/>
    <col min="1798" max="1798" width="9" style="2960"/>
    <col min="1799" max="1799" width="9.33203125" style="2960" bestFit="1" customWidth="1"/>
    <col min="1800" max="1801" width="9" style="2960"/>
    <col min="1802" max="1802" width="9.33203125" style="2960" bestFit="1" customWidth="1"/>
    <col min="1803" max="1803" width="4" style="2960" customWidth="1"/>
    <col min="1804" max="1804" width="5.109375" style="2960" customWidth="1"/>
    <col min="1805" max="1805" width="13.77734375" style="2960" customWidth="1"/>
    <col min="1806" max="2048" width="9" style="2960"/>
    <col min="2049" max="2049" width="4.88671875" style="2960" customWidth="1"/>
    <col min="2050" max="2050" width="13.21875" style="2960" customWidth="1"/>
    <col min="2051" max="2051" width="15.6640625" style="2960" customWidth="1"/>
    <col min="2052" max="2052" width="9.33203125" style="2960" bestFit="1" customWidth="1"/>
    <col min="2053" max="2053" width="13.44140625" style="2960" customWidth="1"/>
    <col min="2054" max="2054" width="9" style="2960"/>
    <col min="2055" max="2055" width="9.33203125" style="2960" bestFit="1" customWidth="1"/>
    <col min="2056" max="2057" width="9" style="2960"/>
    <col min="2058" max="2058" width="9.33203125" style="2960" bestFit="1" customWidth="1"/>
    <col min="2059" max="2059" width="4" style="2960" customWidth="1"/>
    <col min="2060" max="2060" width="5.109375" style="2960" customWidth="1"/>
    <col min="2061" max="2061" width="13.77734375" style="2960" customWidth="1"/>
    <col min="2062" max="2304" width="9" style="2960"/>
    <col min="2305" max="2305" width="4.88671875" style="2960" customWidth="1"/>
    <col min="2306" max="2306" width="13.21875" style="2960" customWidth="1"/>
    <col min="2307" max="2307" width="15.6640625" style="2960" customWidth="1"/>
    <col min="2308" max="2308" width="9.33203125" style="2960" bestFit="1" customWidth="1"/>
    <col min="2309" max="2309" width="13.44140625" style="2960" customWidth="1"/>
    <col min="2310" max="2310" width="9" style="2960"/>
    <col min="2311" max="2311" width="9.33203125" style="2960" bestFit="1" customWidth="1"/>
    <col min="2312" max="2313" width="9" style="2960"/>
    <col min="2314" max="2314" width="9.33203125" style="2960" bestFit="1" customWidth="1"/>
    <col min="2315" max="2315" width="4" style="2960" customWidth="1"/>
    <col min="2316" max="2316" width="5.109375" style="2960" customWidth="1"/>
    <col min="2317" max="2317" width="13.77734375" style="2960" customWidth="1"/>
    <col min="2318" max="2560" width="9" style="2960"/>
    <col min="2561" max="2561" width="4.88671875" style="2960" customWidth="1"/>
    <col min="2562" max="2562" width="13.21875" style="2960" customWidth="1"/>
    <col min="2563" max="2563" width="15.6640625" style="2960" customWidth="1"/>
    <col min="2564" max="2564" width="9.33203125" style="2960" bestFit="1" customWidth="1"/>
    <col min="2565" max="2565" width="13.44140625" style="2960" customWidth="1"/>
    <col min="2566" max="2566" width="9" style="2960"/>
    <col min="2567" max="2567" width="9.33203125" style="2960" bestFit="1" customWidth="1"/>
    <col min="2568" max="2569" width="9" style="2960"/>
    <col min="2570" max="2570" width="9.33203125" style="2960" bestFit="1" customWidth="1"/>
    <col min="2571" max="2571" width="4" style="2960" customWidth="1"/>
    <col min="2572" max="2572" width="5.109375" style="2960" customWidth="1"/>
    <col min="2573" max="2573" width="13.77734375" style="2960" customWidth="1"/>
    <col min="2574" max="2816" width="9" style="2960"/>
    <col min="2817" max="2817" width="4.88671875" style="2960" customWidth="1"/>
    <col min="2818" max="2818" width="13.21875" style="2960" customWidth="1"/>
    <col min="2819" max="2819" width="15.6640625" style="2960" customWidth="1"/>
    <col min="2820" max="2820" width="9.33203125" style="2960" bestFit="1" customWidth="1"/>
    <col min="2821" max="2821" width="13.44140625" style="2960" customWidth="1"/>
    <col min="2822" max="2822" width="9" style="2960"/>
    <col min="2823" max="2823" width="9.33203125" style="2960" bestFit="1" customWidth="1"/>
    <col min="2824" max="2825" width="9" style="2960"/>
    <col min="2826" max="2826" width="9.33203125" style="2960" bestFit="1" customWidth="1"/>
    <col min="2827" max="2827" width="4" style="2960" customWidth="1"/>
    <col min="2828" max="2828" width="5.109375" style="2960" customWidth="1"/>
    <col min="2829" max="2829" width="13.77734375" style="2960" customWidth="1"/>
    <col min="2830" max="3072" width="9" style="2960"/>
    <col min="3073" max="3073" width="4.88671875" style="2960" customWidth="1"/>
    <col min="3074" max="3074" width="13.21875" style="2960" customWidth="1"/>
    <col min="3075" max="3075" width="15.6640625" style="2960" customWidth="1"/>
    <col min="3076" max="3076" width="9.33203125" style="2960" bestFit="1" customWidth="1"/>
    <col min="3077" max="3077" width="13.44140625" style="2960" customWidth="1"/>
    <col min="3078" max="3078" width="9" style="2960"/>
    <col min="3079" max="3079" width="9.33203125" style="2960" bestFit="1" customWidth="1"/>
    <col min="3080" max="3081" width="9" style="2960"/>
    <col min="3082" max="3082" width="9.33203125" style="2960" bestFit="1" customWidth="1"/>
    <col min="3083" max="3083" width="4" style="2960" customWidth="1"/>
    <col min="3084" max="3084" width="5.109375" style="2960" customWidth="1"/>
    <col min="3085" max="3085" width="13.77734375" style="2960" customWidth="1"/>
    <col min="3086" max="3328" width="9" style="2960"/>
    <col min="3329" max="3329" width="4.88671875" style="2960" customWidth="1"/>
    <col min="3330" max="3330" width="13.21875" style="2960" customWidth="1"/>
    <col min="3331" max="3331" width="15.6640625" style="2960" customWidth="1"/>
    <col min="3332" max="3332" width="9.33203125" style="2960" bestFit="1" customWidth="1"/>
    <col min="3333" max="3333" width="13.44140625" style="2960" customWidth="1"/>
    <col min="3334" max="3334" width="9" style="2960"/>
    <col min="3335" max="3335" width="9.33203125" style="2960" bestFit="1" customWidth="1"/>
    <col min="3336" max="3337" width="9" style="2960"/>
    <col min="3338" max="3338" width="9.33203125" style="2960" bestFit="1" customWidth="1"/>
    <col min="3339" max="3339" width="4" style="2960" customWidth="1"/>
    <col min="3340" max="3340" width="5.109375" style="2960" customWidth="1"/>
    <col min="3341" max="3341" width="13.77734375" style="2960" customWidth="1"/>
    <col min="3342" max="3584" width="9" style="2960"/>
    <col min="3585" max="3585" width="4.88671875" style="2960" customWidth="1"/>
    <col min="3586" max="3586" width="13.21875" style="2960" customWidth="1"/>
    <col min="3587" max="3587" width="15.6640625" style="2960" customWidth="1"/>
    <col min="3588" max="3588" width="9.33203125" style="2960" bestFit="1" customWidth="1"/>
    <col min="3589" max="3589" width="13.44140625" style="2960" customWidth="1"/>
    <col min="3590" max="3590" width="9" style="2960"/>
    <col min="3591" max="3591" width="9.33203125" style="2960" bestFit="1" customWidth="1"/>
    <col min="3592" max="3593" width="9" style="2960"/>
    <col min="3594" max="3594" width="9.33203125" style="2960" bestFit="1" customWidth="1"/>
    <col min="3595" max="3595" width="4" style="2960" customWidth="1"/>
    <col min="3596" max="3596" width="5.109375" style="2960" customWidth="1"/>
    <col min="3597" max="3597" width="13.77734375" style="2960" customWidth="1"/>
    <col min="3598" max="3840" width="9" style="2960"/>
    <col min="3841" max="3841" width="4.88671875" style="2960" customWidth="1"/>
    <col min="3842" max="3842" width="13.21875" style="2960" customWidth="1"/>
    <col min="3843" max="3843" width="15.6640625" style="2960" customWidth="1"/>
    <col min="3844" max="3844" width="9.33203125" style="2960" bestFit="1" customWidth="1"/>
    <col min="3845" max="3845" width="13.44140625" style="2960" customWidth="1"/>
    <col min="3846" max="3846" width="9" style="2960"/>
    <col min="3847" max="3847" width="9.33203125" style="2960" bestFit="1" customWidth="1"/>
    <col min="3848" max="3849" width="9" style="2960"/>
    <col min="3850" max="3850" width="9.33203125" style="2960" bestFit="1" customWidth="1"/>
    <col min="3851" max="3851" width="4" style="2960" customWidth="1"/>
    <col min="3852" max="3852" width="5.109375" style="2960" customWidth="1"/>
    <col min="3853" max="3853" width="13.77734375" style="2960" customWidth="1"/>
    <col min="3854" max="4096" width="9" style="2960"/>
    <col min="4097" max="4097" width="4.88671875" style="2960" customWidth="1"/>
    <col min="4098" max="4098" width="13.21875" style="2960" customWidth="1"/>
    <col min="4099" max="4099" width="15.6640625" style="2960" customWidth="1"/>
    <col min="4100" max="4100" width="9.33203125" style="2960" bestFit="1" customWidth="1"/>
    <col min="4101" max="4101" width="13.44140625" style="2960" customWidth="1"/>
    <col min="4102" max="4102" width="9" style="2960"/>
    <col min="4103" max="4103" width="9.33203125" style="2960" bestFit="1" customWidth="1"/>
    <col min="4104" max="4105" width="9" style="2960"/>
    <col min="4106" max="4106" width="9.33203125" style="2960" bestFit="1" customWidth="1"/>
    <col min="4107" max="4107" width="4" style="2960" customWidth="1"/>
    <col min="4108" max="4108" width="5.109375" style="2960" customWidth="1"/>
    <col min="4109" max="4109" width="13.77734375" style="2960" customWidth="1"/>
    <col min="4110" max="4352" width="9" style="2960"/>
    <col min="4353" max="4353" width="4.88671875" style="2960" customWidth="1"/>
    <col min="4354" max="4354" width="13.21875" style="2960" customWidth="1"/>
    <col min="4355" max="4355" width="15.6640625" style="2960" customWidth="1"/>
    <col min="4356" max="4356" width="9.33203125" style="2960" bestFit="1" customWidth="1"/>
    <col min="4357" max="4357" width="13.44140625" style="2960" customWidth="1"/>
    <col min="4358" max="4358" width="9" style="2960"/>
    <col min="4359" max="4359" width="9.33203125" style="2960" bestFit="1" customWidth="1"/>
    <col min="4360" max="4361" width="9" style="2960"/>
    <col min="4362" max="4362" width="9.33203125" style="2960" bestFit="1" customWidth="1"/>
    <col min="4363" max="4363" width="4" style="2960" customWidth="1"/>
    <col min="4364" max="4364" width="5.109375" style="2960" customWidth="1"/>
    <col min="4365" max="4365" width="13.77734375" style="2960" customWidth="1"/>
    <col min="4366" max="4608" width="9" style="2960"/>
    <col min="4609" max="4609" width="4.88671875" style="2960" customWidth="1"/>
    <col min="4610" max="4610" width="13.21875" style="2960" customWidth="1"/>
    <col min="4611" max="4611" width="15.6640625" style="2960" customWidth="1"/>
    <col min="4612" max="4612" width="9.33203125" style="2960" bestFit="1" customWidth="1"/>
    <col min="4613" max="4613" width="13.44140625" style="2960" customWidth="1"/>
    <col min="4614" max="4614" width="9" style="2960"/>
    <col min="4615" max="4615" width="9.33203125" style="2960" bestFit="1" customWidth="1"/>
    <col min="4616" max="4617" width="9" style="2960"/>
    <col min="4618" max="4618" width="9.33203125" style="2960" bestFit="1" customWidth="1"/>
    <col min="4619" max="4619" width="4" style="2960" customWidth="1"/>
    <col min="4620" max="4620" width="5.109375" style="2960" customWidth="1"/>
    <col min="4621" max="4621" width="13.77734375" style="2960" customWidth="1"/>
    <col min="4622" max="4864" width="9" style="2960"/>
    <col min="4865" max="4865" width="4.88671875" style="2960" customWidth="1"/>
    <col min="4866" max="4866" width="13.21875" style="2960" customWidth="1"/>
    <col min="4867" max="4867" width="15.6640625" style="2960" customWidth="1"/>
    <col min="4868" max="4868" width="9.33203125" style="2960" bestFit="1" customWidth="1"/>
    <col min="4869" max="4869" width="13.44140625" style="2960" customWidth="1"/>
    <col min="4870" max="4870" width="9" style="2960"/>
    <col min="4871" max="4871" width="9.33203125" style="2960" bestFit="1" customWidth="1"/>
    <col min="4872" max="4873" width="9" style="2960"/>
    <col min="4874" max="4874" width="9.33203125" style="2960" bestFit="1" customWidth="1"/>
    <col min="4875" max="4875" width="4" style="2960" customWidth="1"/>
    <col min="4876" max="4876" width="5.109375" style="2960" customWidth="1"/>
    <col min="4877" max="4877" width="13.77734375" style="2960" customWidth="1"/>
    <col min="4878" max="5120" width="9" style="2960"/>
    <col min="5121" max="5121" width="4.88671875" style="2960" customWidth="1"/>
    <col min="5122" max="5122" width="13.21875" style="2960" customWidth="1"/>
    <col min="5123" max="5123" width="15.6640625" style="2960" customWidth="1"/>
    <col min="5124" max="5124" width="9.33203125" style="2960" bestFit="1" customWidth="1"/>
    <col min="5125" max="5125" width="13.44140625" style="2960" customWidth="1"/>
    <col min="5126" max="5126" width="9" style="2960"/>
    <col min="5127" max="5127" width="9.33203125" style="2960" bestFit="1" customWidth="1"/>
    <col min="5128" max="5129" width="9" style="2960"/>
    <col min="5130" max="5130" width="9.33203125" style="2960" bestFit="1" customWidth="1"/>
    <col min="5131" max="5131" width="4" style="2960" customWidth="1"/>
    <col min="5132" max="5132" width="5.109375" style="2960" customWidth="1"/>
    <col min="5133" max="5133" width="13.77734375" style="2960" customWidth="1"/>
    <col min="5134" max="5376" width="9" style="2960"/>
    <col min="5377" max="5377" width="4.88671875" style="2960" customWidth="1"/>
    <col min="5378" max="5378" width="13.21875" style="2960" customWidth="1"/>
    <col min="5379" max="5379" width="15.6640625" style="2960" customWidth="1"/>
    <col min="5380" max="5380" width="9.33203125" style="2960" bestFit="1" customWidth="1"/>
    <col min="5381" max="5381" width="13.44140625" style="2960" customWidth="1"/>
    <col min="5382" max="5382" width="9" style="2960"/>
    <col min="5383" max="5383" width="9.33203125" style="2960" bestFit="1" customWidth="1"/>
    <col min="5384" max="5385" width="9" style="2960"/>
    <col min="5386" max="5386" width="9.33203125" style="2960" bestFit="1" customWidth="1"/>
    <col min="5387" max="5387" width="4" style="2960" customWidth="1"/>
    <col min="5388" max="5388" width="5.109375" style="2960" customWidth="1"/>
    <col min="5389" max="5389" width="13.77734375" style="2960" customWidth="1"/>
    <col min="5390" max="5632" width="9" style="2960"/>
    <col min="5633" max="5633" width="4.88671875" style="2960" customWidth="1"/>
    <col min="5634" max="5634" width="13.21875" style="2960" customWidth="1"/>
    <col min="5635" max="5635" width="15.6640625" style="2960" customWidth="1"/>
    <col min="5636" max="5636" width="9.33203125" style="2960" bestFit="1" customWidth="1"/>
    <col min="5637" max="5637" width="13.44140625" style="2960" customWidth="1"/>
    <col min="5638" max="5638" width="9" style="2960"/>
    <col min="5639" max="5639" width="9.33203125" style="2960" bestFit="1" customWidth="1"/>
    <col min="5640" max="5641" width="9" style="2960"/>
    <col min="5642" max="5642" width="9.33203125" style="2960" bestFit="1" customWidth="1"/>
    <col min="5643" max="5643" width="4" style="2960" customWidth="1"/>
    <col min="5644" max="5644" width="5.109375" style="2960" customWidth="1"/>
    <col min="5645" max="5645" width="13.77734375" style="2960" customWidth="1"/>
    <col min="5646" max="5888" width="9" style="2960"/>
    <col min="5889" max="5889" width="4.88671875" style="2960" customWidth="1"/>
    <col min="5890" max="5890" width="13.21875" style="2960" customWidth="1"/>
    <col min="5891" max="5891" width="15.6640625" style="2960" customWidth="1"/>
    <col min="5892" max="5892" width="9.33203125" style="2960" bestFit="1" customWidth="1"/>
    <col min="5893" max="5893" width="13.44140625" style="2960" customWidth="1"/>
    <col min="5894" max="5894" width="9" style="2960"/>
    <col min="5895" max="5895" width="9.33203125" style="2960" bestFit="1" customWidth="1"/>
    <col min="5896" max="5897" width="9" style="2960"/>
    <col min="5898" max="5898" width="9.33203125" style="2960" bestFit="1" customWidth="1"/>
    <col min="5899" max="5899" width="4" style="2960" customWidth="1"/>
    <col min="5900" max="5900" width="5.109375" style="2960" customWidth="1"/>
    <col min="5901" max="5901" width="13.77734375" style="2960" customWidth="1"/>
    <col min="5902" max="6144" width="9" style="2960"/>
    <col min="6145" max="6145" width="4.88671875" style="2960" customWidth="1"/>
    <col min="6146" max="6146" width="13.21875" style="2960" customWidth="1"/>
    <col min="6147" max="6147" width="15.6640625" style="2960" customWidth="1"/>
    <col min="6148" max="6148" width="9.33203125" style="2960" bestFit="1" customWidth="1"/>
    <col min="6149" max="6149" width="13.44140625" style="2960" customWidth="1"/>
    <col min="6150" max="6150" width="9" style="2960"/>
    <col min="6151" max="6151" width="9.33203125" style="2960" bestFit="1" customWidth="1"/>
    <col min="6152" max="6153" width="9" style="2960"/>
    <col min="6154" max="6154" width="9.33203125" style="2960" bestFit="1" customWidth="1"/>
    <col min="6155" max="6155" width="4" style="2960" customWidth="1"/>
    <col min="6156" max="6156" width="5.109375" style="2960" customWidth="1"/>
    <col min="6157" max="6157" width="13.77734375" style="2960" customWidth="1"/>
    <col min="6158" max="6400" width="9" style="2960"/>
    <col min="6401" max="6401" width="4.88671875" style="2960" customWidth="1"/>
    <col min="6402" max="6402" width="13.21875" style="2960" customWidth="1"/>
    <col min="6403" max="6403" width="15.6640625" style="2960" customWidth="1"/>
    <col min="6404" max="6404" width="9.33203125" style="2960" bestFit="1" customWidth="1"/>
    <col min="6405" max="6405" width="13.44140625" style="2960" customWidth="1"/>
    <col min="6406" max="6406" width="9" style="2960"/>
    <col min="6407" max="6407" width="9.33203125" style="2960" bestFit="1" customWidth="1"/>
    <col min="6408" max="6409" width="9" style="2960"/>
    <col min="6410" max="6410" width="9.33203125" style="2960" bestFit="1" customWidth="1"/>
    <col min="6411" max="6411" width="4" style="2960" customWidth="1"/>
    <col min="6412" max="6412" width="5.109375" style="2960" customWidth="1"/>
    <col min="6413" max="6413" width="13.77734375" style="2960" customWidth="1"/>
    <col min="6414" max="6656" width="9" style="2960"/>
    <col min="6657" max="6657" width="4.88671875" style="2960" customWidth="1"/>
    <col min="6658" max="6658" width="13.21875" style="2960" customWidth="1"/>
    <col min="6659" max="6659" width="15.6640625" style="2960" customWidth="1"/>
    <col min="6660" max="6660" width="9.33203125" style="2960" bestFit="1" customWidth="1"/>
    <col min="6661" max="6661" width="13.44140625" style="2960" customWidth="1"/>
    <col min="6662" max="6662" width="9" style="2960"/>
    <col min="6663" max="6663" width="9.33203125" style="2960" bestFit="1" customWidth="1"/>
    <col min="6664" max="6665" width="9" style="2960"/>
    <col min="6666" max="6666" width="9.33203125" style="2960" bestFit="1" customWidth="1"/>
    <col min="6667" max="6667" width="4" style="2960" customWidth="1"/>
    <col min="6668" max="6668" width="5.109375" style="2960" customWidth="1"/>
    <col min="6669" max="6669" width="13.77734375" style="2960" customWidth="1"/>
    <col min="6670" max="6912" width="9" style="2960"/>
    <col min="6913" max="6913" width="4.88671875" style="2960" customWidth="1"/>
    <col min="6914" max="6914" width="13.21875" style="2960" customWidth="1"/>
    <col min="6915" max="6915" width="15.6640625" style="2960" customWidth="1"/>
    <col min="6916" max="6916" width="9.33203125" style="2960" bestFit="1" customWidth="1"/>
    <col min="6917" max="6917" width="13.44140625" style="2960" customWidth="1"/>
    <col min="6918" max="6918" width="9" style="2960"/>
    <col min="6919" max="6919" width="9.33203125" style="2960" bestFit="1" customWidth="1"/>
    <col min="6920" max="6921" width="9" style="2960"/>
    <col min="6922" max="6922" width="9.33203125" style="2960" bestFit="1" customWidth="1"/>
    <col min="6923" max="6923" width="4" style="2960" customWidth="1"/>
    <col min="6924" max="6924" width="5.109375" style="2960" customWidth="1"/>
    <col min="6925" max="6925" width="13.77734375" style="2960" customWidth="1"/>
    <col min="6926" max="7168" width="9" style="2960"/>
    <col min="7169" max="7169" width="4.88671875" style="2960" customWidth="1"/>
    <col min="7170" max="7170" width="13.21875" style="2960" customWidth="1"/>
    <col min="7171" max="7171" width="15.6640625" style="2960" customWidth="1"/>
    <col min="7172" max="7172" width="9.33203125" style="2960" bestFit="1" customWidth="1"/>
    <col min="7173" max="7173" width="13.44140625" style="2960" customWidth="1"/>
    <col min="7174" max="7174" width="9" style="2960"/>
    <col min="7175" max="7175" width="9.33203125" style="2960" bestFit="1" customWidth="1"/>
    <col min="7176" max="7177" width="9" style="2960"/>
    <col min="7178" max="7178" width="9.33203125" style="2960" bestFit="1" customWidth="1"/>
    <col min="7179" max="7179" width="4" style="2960" customWidth="1"/>
    <col min="7180" max="7180" width="5.109375" style="2960" customWidth="1"/>
    <col min="7181" max="7181" width="13.77734375" style="2960" customWidth="1"/>
    <col min="7182" max="7424" width="9" style="2960"/>
    <col min="7425" max="7425" width="4.88671875" style="2960" customWidth="1"/>
    <col min="7426" max="7426" width="13.21875" style="2960" customWidth="1"/>
    <col min="7427" max="7427" width="15.6640625" style="2960" customWidth="1"/>
    <col min="7428" max="7428" width="9.33203125" style="2960" bestFit="1" customWidth="1"/>
    <col min="7429" max="7429" width="13.44140625" style="2960" customWidth="1"/>
    <col min="7430" max="7430" width="9" style="2960"/>
    <col min="7431" max="7431" width="9.33203125" style="2960" bestFit="1" customWidth="1"/>
    <col min="7432" max="7433" width="9" style="2960"/>
    <col min="7434" max="7434" width="9.33203125" style="2960" bestFit="1" customWidth="1"/>
    <col min="7435" max="7435" width="4" style="2960" customWidth="1"/>
    <col min="7436" max="7436" width="5.109375" style="2960" customWidth="1"/>
    <col min="7437" max="7437" width="13.77734375" style="2960" customWidth="1"/>
    <col min="7438" max="7680" width="9" style="2960"/>
    <col min="7681" max="7681" width="4.88671875" style="2960" customWidth="1"/>
    <col min="7682" max="7682" width="13.21875" style="2960" customWidth="1"/>
    <col min="7683" max="7683" width="15.6640625" style="2960" customWidth="1"/>
    <col min="7684" max="7684" width="9.33203125" style="2960" bestFit="1" customWidth="1"/>
    <col min="7685" max="7685" width="13.44140625" style="2960" customWidth="1"/>
    <col min="7686" max="7686" width="9" style="2960"/>
    <col min="7687" max="7687" width="9.33203125" style="2960" bestFit="1" customWidth="1"/>
    <col min="7688" max="7689" width="9" style="2960"/>
    <col min="7690" max="7690" width="9.33203125" style="2960" bestFit="1" customWidth="1"/>
    <col min="7691" max="7691" width="4" style="2960" customWidth="1"/>
    <col min="7692" max="7692" width="5.109375" style="2960" customWidth="1"/>
    <col min="7693" max="7693" width="13.77734375" style="2960" customWidth="1"/>
    <col min="7694" max="7936" width="9" style="2960"/>
    <col min="7937" max="7937" width="4.88671875" style="2960" customWidth="1"/>
    <col min="7938" max="7938" width="13.21875" style="2960" customWidth="1"/>
    <col min="7939" max="7939" width="15.6640625" style="2960" customWidth="1"/>
    <col min="7940" max="7940" width="9.33203125" style="2960" bestFit="1" customWidth="1"/>
    <col min="7941" max="7941" width="13.44140625" style="2960" customWidth="1"/>
    <col min="7942" max="7942" width="9" style="2960"/>
    <col min="7943" max="7943" width="9.33203125" style="2960" bestFit="1" customWidth="1"/>
    <col min="7944" max="7945" width="9" style="2960"/>
    <col min="7946" max="7946" width="9.33203125" style="2960" bestFit="1" customWidth="1"/>
    <col min="7947" max="7947" width="4" style="2960" customWidth="1"/>
    <col min="7948" max="7948" width="5.109375" style="2960" customWidth="1"/>
    <col min="7949" max="7949" width="13.77734375" style="2960" customWidth="1"/>
    <col min="7950" max="8192" width="9" style="2960"/>
    <col min="8193" max="8193" width="4.88671875" style="2960" customWidth="1"/>
    <col min="8194" max="8194" width="13.21875" style="2960" customWidth="1"/>
    <col min="8195" max="8195" width="15.6640625" style="2960" customWidth="1"/>
    <col min="8196" max="8196" width="9.33203125" style="2960" bestFit="1" customWidth="1"/>
    <col min="8197" max="8197" width="13.44140625" style="2960" customWidth="1"/>
    <col min="8198" max="8198" width="9" style="2960"/>
    <col min="8199" max="8199" width="9.33203125" style="2960" bestFit="1" customWidth="1"/>
    <col min="8200" max="8201" width="9" style="2960"/>
    <col min="8202" max="8202" width="9.33203125" style="2960" bestFit="1" customWidth="1"/>
    <col min="8203" max="8203" width="4" style="2960" customWidth="1"/>
    <col min="8204" max="8204" width="5.109375" style="2960" customWidth="1"/>
    <col min="8205" max="8205" width="13.77734375" style="2960" customWidth="1"/>
    <col min="8206" max="8448" width="9" style="2960"/>
    <col min="8449" max="8449" width="4.88671875" style="2960" customWidth="1"/>
    <col min="8450" max="8450" width="13.21875" style="2960" customWidth="1"/>
    <col min="8451" max="8451" width="15.6640625" style="2960" customWidth="1"/>
    <col min="8452" max="8452" width="9.33203125" style="2960" bestFit="1" customWidth="1"/>
    <col min="8453" max="8453" width="13.44140625" style="2960" customWidth="1"/>
    <col min="8454" max="8454" width="9" style="2960"/>
    <col min="8455" max="8455" width="9.33203125" style="2960" bestFit="1" customWidth="1"/>
    <col min="8456" max="8457" width="9" style="2960"/>
    <col min="8458" max="8458" width="9.33203125" style="2960" bestFit="1" customWidth="1"/>
    <col min="8459" max="8459" width="4" style="2960" customWidth="1"/>
    <col min="8460" max="8460" width="5.109375" style="2960" customWidth="1"/>
    <col min="8461" max="8461" width="13.77734375" style="2960" customWidth="1"/>
    <col min="8462" max="8704" width="9" style="2960"/>
    <col min="8705" max="8705" width="4.88671875" style="2960" customWidth="1"/>
    <col min="8706" max="8706" width="13.21875" style="2960" customWidth="1"/>
    <col min="8707" max="8707" width="15.6640625" style="2960" customWidth="1"/>
    <col min="8708" max="8708" width="9.33203125" style="2960" bestFit="1" customWidth="1"/>
    <col min="8709" max="8709" width="13.44140625" style="2960" customWidth="1"/>
    <col min="8710" max="8710" width="9" style="2960"/>
    <col min="8711" max="8711" width="9.33203125" style="2960" bestFit="1" customWidth="1"/>
    <col min="8712" max="8713" width="9" style="2960"/>
    <col min="8714" max="8714" width="9.33203125" style="2960" bestFit="1" customWidth="1"/>
    <col min="8715" max="8715" width="4" style="2960" customWidth="1"/>
    <col min="8716" max="8716" width="5.109375" style="2960" customWidth="1"/>
    <col min="8717" max="8717" width="13.77734375" style="2960" customWidth="1"/>
    <col min="8718" max="8960" width="9" style="2960"/>
    <col min="8961" max="8961" width="4.88671875" style="2960" customWidth="1"/>
    <col min="8962" max="8962" width="13.21875" style="2960" customWidth="1"/>
    <col min="8963" max="8963" width="15.6640625" style="2960" customWidth="1"/>
    <col min="8964" max="8964" width="9.33203125" style="2960" bestFit="1" customWidth="1"/>
    <col min="8965" max="8965" width="13.44140625" style="2960" customWidth="1"/>
    <col min="8966" max="8966" width="9" style="2960"/>
    <col min="8967" max="8967" width="9.33203125" style="2960" bestFit="1" customWidth="1"/>
    <col min="8968" max="8969" width="9" style="2960"/>
    <col min="8970" max="8970" width="9.33203125" style="2960" bestFit="1" customWidth="1"/>
    <col min="8971" max="8971" width="4" style="2960" customWidth="1"/>
    <col min="8972" max="8972" width="5.109375" style="2960" customWidth="1"/>
    <col min="8973" max="8973" width="13.77734375" style="2960" customWidth="1"/>
    <col min="8974" max="9216" width="9" style="2960"/>
    <col min="9217" max="9217" width="4.88671875" style="2960" customWidth="1"/>
    <col min="9218" max="9218" width="13.21875" style="2960" customWidth="1"/>
    <col min="9219" max="9219" width="15.6640625" style="2960" customWidth="1"/>
    <col min="9220" max="9220" width="9.33203125" style="2960" bestFit="1" customWidth="1"/>
    <col min="9221" max="9221" width="13.44140625" style="2960" customWidth="1"/>
    <col min="9222" max="9222" width="9" style="2960"/>
    <col min="9223" max="9223" width="9.33203125" style="2960" bestFit="1" customWidth="1"/>
    <col min="9224" max="9225" width="9" style="2960"/>
    <col min="9226" max="9226" width="9.33203125" style="2960" bestFit="1" customWidth="1"/>
    <col min="9227" max="9227" width="4" style="2960" customWidth="1"/>
    <col min="9228" max="9228" width="5.109375" style="2960" customWidth="1"/>
    <col min="9229" max="9229" width="13.77734375" style="2960" customWidth="1"/>
    <col min="9230" max="9472" width="9" style="2960"/>
    <col min="9473" max="9473" width="4.88671875" style="2960" customWidth="1"/>
    <col min="9474" max="9474" width="13.21875" style="2960" customWidth="1"/>
    <col min="9475" max="9475" width="15.6640625" style="2960" customWidth="1"/>
    <col min="9476" max="9476" width="9.33203125" style="2960" bestFit="1" customWidth="1"/>
    <col min="9477" max="9477" width="13.44140625" style="2960" customWidth="1"/>
    <col min="9478" max="9478" width="9" style="2960"/>
    <col min="9479" max="9479" width="9.33203125" style="2960" bestFit="1" customWidth="1"/>
    <col min="9480" max="9481" width="9" style="2960"/>
    <col min="9482" max="9482" width="9.33203125" style="2960" bestFit="1" customWidth="1"/>
    <col min="9483" max="9483" width="4" style="2960" customWidth="1"/>
    <col min="9484" max="9484" width="5.109375" style="2960" customWidth="1"/>
    <col min="9485" max="9485" width="13.77734375" style="2960" customWidth="1"/>
    <col min="9486" max="9728" width="9" style="2960"/>
    <col min="9729" max="9729" width="4.88671875" style="2960" customWidth="1"/>
    <col min="9730" max="9730" width="13.21875" style="2960" customWidth="1"/>
    <col min="9731" max="9731" width="15.6640625" style="2960" customWidth="1"/>
    <col min="9732" max="9732" width="9.33203125" style="2960" bestFit="1" customWidth="1"/>
    <col min="9733" max="9733" width="13.44140625" style="2960" customWidth="1"/>
    <col min="9734" max="9734" width="9" style="2960"/>
    <col min="9735" max="9735" width="9.33203125" style="2960" bestFit="1" customWidth="1"/>
    <col min="9736" max="9737" width="9" style="2960"/>
    <col min="9738" max="9738" width="9.33203125" style="2960" bestFit="1" customWidth="1"/>
    <col min="9739" max="9739" width="4" style="2960" customWidth="1"/>
    <col min="9740" max="9740" width="5.109375" style="2960" customWidth="1"/>
    <col min="9741" max="9741" width="13.77734375" style="2960" customWidth="1"/>
    <col min="9742" max="9984" width="9" style="2960"/>
    <col min="9985" max="9985" width="4.88671875" style="2960" customWidth="1"/>
    <col min="9986" max="9986" width="13.21875" style="2960" customWidth="1"/>
    <col min="9987" max="9987" width="15.6640625" style="2960" customWidth="1"/>
    <col min="9988" max="9988" width="9.33203125" style="2960" bestFit="1" customWidth="1"/>
    <col min="9989" max="9989" width="13.44140625" style="2960" customWidth="1"/>
    <col min="9990" max="9990" width="9" style="2960"/>
    <col min="9991" max="9991" width="9.33203125" style="2960" bestFit="1" customWidth="1"/>
    <col min="9992" max="9993" width="9" style="2960"/>
    <col min="9994" max="9994" width="9.33203125" style="2960" bestFit="1" customWidth="1"/>
    <col min="9995" max="9995" width="4" style="2960" customWidth="1"/>
    <col min="9996" max="9996" width="5.109375" style="2960" customWidth="1"/>
    <col min="9997" max="9997" width="13.77734375" style="2960" customWidth="1"/>
    <col min="9998" max="10240" width="9" style="2960"/>
    <col min="10241" max="10241" width="4.88671875" style="2960" customWidth="1"/>
    <col min="10242" max="10242" width="13.21875" style="2960" customWidth="1"/>
    <col min="10243" max="10243" width="15.6640625" style="2960" customWidth="1"/>
    <col min="10244" max="10244" width="9.33203125" style="2960" bestFit="1" customWidth="1"/>
    <col min="10245" max="10245" width="13.44140625" style="2960" customWidth="1"/>
    <col min="10246" max="10246" width="9" style="2960"/>
    <col min="10247" max="10247" width="9.33203125" style="2960" bestFit="1" customWidth="1"/>
    <col min="10248" max="10249" width="9" style="2960"/>
    <col min="10250" max="10250" width="9.33203125" style="2960" bestFit="1" customWidth="1"/>
    <col min="10251" max="10251" width="4" style="2960" customWidth="1"/>
    <col min="10252" max="10252" width="5.109375" style="2960" customWidth="1"/>
    <col min="10253" max="10253" width="13.77734375" style="2960" customWidth="1"/>
    <col min="10254" max="10496" width="9" style="2960"/>
    <col min="10497" max="10497" width="4.88671875" style="2960" customWidth="1"/>
    <col min="10498" max="10498" width="13.21875" style="2960" customWidth="1"/>
    <col min="10499" max="10499" width="15.6640625" style="2960" customWidth="1"/>
    <col min="10500" max="10500" width="9.33203125" style="2960" bestFit="1" customWidth="1"/>
    <col min="10501" max="10501" width="13.44140625" style="2960" customWidth="1"/>
    <col min="10502" max="10502" width="9" style="2960"/>
    <col min="10503" max="10503" width="9.33203125" style="2960" bestFit="1" customWidth="1"/>
    <col min="10504" max="10505" width="9" style="2960"/>
    <col min="10506" max="10506" width="9.33203125" style="2960" bestFit="1" customWidth="1"/>
    <col min="10507" max="10507" width="4" style="2960" customWidth="1"/>
    <col min="10508" max="10508" width="5.109375" style="2960" customWidth="1"/>
    <col min="10509" max="10509" width="13.77734375" style="2960" customWidth="1"/>
    <col min="10510" max="10752" width="9" style="2960"/>
    <col min="10753" max="10753" width="4.88671875" style="2960" customWidth="1"/>
    <col min="10754" max="10754" width="13.21875" style="2960" customWidth="1"/>
    <col min="10755" max="10755" width="15.6640625" style="2960" customWidth="1"/>
    <col min="10756" max="10756" width="9.33203125" style="2960" bestFit="1" customWidth="1"/>
    <col min="10757" max="10757" width="13.44140625" style="2960" customWidth="1"/>
    <col min="10758" max="10758" width="9" style="2960"/>
    <col min="10759" max="10759" width="9.33203125" style="2960" bestFit="1" customWidth="1"/>
    <col min="10760" max="10761" width="9" style="2960"/>
    <col min="10762" max="10762" width="9.33203125" style="2960" bestFit="1" customWidth="1"/>
    <col min="10763" max="10763" width="4" style="2960" customWidth="1"/>
    <col min="10764" max="10764" width="5.109375" style="2960" customWidth="1"/>
    <col min="10765" max="10765" width="13.77734375" style="2960" customWidth="1"/>
    <col min="10766" max="11008" width="9" style="2960"/>
    <col min="11009" max="11009" width="4.88671875" style="2960" customWidth="1"/>
    <col min="11010" max="11010" width="13.21875" style="2960" customWidth="1"/>
    <col min="11011" max="11011" width="15.6640625" style="2960" customWidth="1"/>
    <col min="11012" max="11012" width="9.33203125" style="2960" bestFit="1" customWidth="1"/>
    <col min="11013" max="11013" width="13.44140625" style="2960" customWidth="1"/>
    <col min="11014" max="11014" width="9" style="2960"/>
    <col min="11015" max="11015" width="9.33203125" style="2960" bestFit="1" customWidth="1"/>
    <col min="11016" max="11017" width="9" style="2960"/>
    <col min="11018" max="11018" width="9.33203125" style="2960" bestFit="1" customWidth="1"/>
    <col min="11019" max="11019" width="4" style="2960" customWidth="1"/>
    <col min="11020" max="11020" width="5.109375" style="2960" customWidth="1"/>
    <col min="11021" max="11021" width="13.77734375" style="2960" customWidth="1"/>
    <col min="11022" max="11264" width="9" style="2960"/>
    <col min="11265" max="11265" width="4.88671875" style="2960" customWidth="1"/>
    <col min="11266" max="11266" width="13.21875" style="2960" customWidth="1"/>
    <col min="11267" max="11267" width="15.6640625" style="2960" customWidth="1"/>
    <col min="11268" max="11268" width="9.33203125" style="2960" bestFit="1" customWidth="1"/>
    <col min="11269" max="11269" width="13.44140625" style="2960" customWidth="1"/>
    <col min="11270" max="11270" width="9" style="2960"/>
    <col min="11271" max="11271" width="9.33203125" style="2960" bestFit="1" customWidth="1"/>
    <col min="11272" max="11273" width="9" style="2960"/>
    <col min="11274" max="11274" width="9.33203125" style="2960" bestFit="1" customWidth="1"/>
    <col min="11275" max="11275" width="4" style="2960" customWidth="1"/>
    <col min="11276" max="11276" width="5.109375" style="2960" customWidth="1"/>
    <col min="11277" max="11277" width="13.77734375" style="2960" customWidth="1"/>
    <col min="11278" max="11520" width="9" style="2960"/>
    <col min="11521" max="11521" width="4.88671875" style="2960" customWidth="1"/>
    <col min="11522" max="11522" width="13.21875" style="2960" customWidth="1"/>
    <col min="11523" max="11523" width="15.6640625" style="2960" customWidth="1"/>
    <col min="11524" max="11524" width="9.33203125" style="2960" bestFit="1" customWidth="1"/>
    <col min="11525" max="11525" width="13.44140625" style="2960" customWidth="1"/>
    <col min="11526" max="11526" width="9" style="2960"/>
    <col min="11527" max="11527" width="9.33203125" style="2960" bestFit="1" customWidth="1"/>
    <col min="11528" max="11529" width="9" style="2960"/>
    <col min="11530" max="11530" width="9.33203125" style="2960" bestFit="1" customWidth="1"/>
    <col min="11531" max="11531" width="4" style="2960" customWidth="1"/>
    <col min="11532" max="11532" width="5.109375" style="2960" customWidth="1"/>
    <col min="11533" max="11533" width="13.77734375" style="2960" customWidth="1"/>
    <col min="11534" max="11776" width="9" style="2960"/>
    <col min="11777" max="11777" width="4.88671875" style="2960" customWidth="1"/>
    <col min="11778" max="11778" width="13.21875" style="2960" customWidth="1"/>
    <col min="11779" max="11779" width="15.6640625" style="2960" customWidth="1"/>
    <col min="11780" max="11780" width="9.33203125" style="2960" bestFit="1" customWidth="1"/>
    <col min="11781" max="11781" width="13.44140625" style="2960" customWidth="1"/>
    <col min="11782" max="11782" width="9" style="2960"/>
    <col min="11783" max="11783" width="9.33203125" style="2960" bestFit="1" customWidth="1"/>
    <col min="11784" max="11785" width="9" style="2960"/>
    <col min="11786" max="11786" width="9.33203125" style="2960" bestFit="1" customWidth="1"/>
    <col min="11787" max="11787" width="4" style="2960" customWidth="1"/>
    <col min="11788" max="11788" width="5.109375" style="2960" customWidth="1"/>
    <col min="11789" max="11789" width="13.77734375" style="2960" customWidth="1"/>
    <col min="11790" max="12032" width="9" style="2960"/>
    <col min="12033" max="12033" width="4.88671875" style="2960" customWidth="1"/>
    <col min="12034" max="12034" width="13.21875" style="2960" customWidth="1"/>
    <col min="12035" max="12035" width="15.6640625" style="2960" customWidth="1"/>
    <col min="12036" max="12036" width="9.33203125" style="2960" bestFit="1" customWidth="1"/>
    <col min="12037" max="12037" width="13.44140625" style="2960" customWidth="1"/>
    <col min="12038" max="12038" width="9" style="2960"/>
    <col min="12039" max="12039" width="9.33203125" style="2960" bestFit="1" customWidth="1"/>
    <col min="12040" max="12041" width="9" style="2960"/>
    <col min="12042" max="12042" width="9.33203125" style="2960" bestFit="1" customWidth="1"/>
    <col min="12043" max="12043" width="4" style="2960" customWidth="1"/>
    <col min="12044" max="12044" width="5.109375" style="2960" customWidth="1"/>
    <col min="12045" max="12045" width="13.77734375" style="2960" customWidth="1"/>
    <col min="12046" max="12288" width="9" style="2960"/>
    <col min="12289" max="12289" width="4.88671875" style="2960" customWidth="1"/>
    <col min="12290" max="12290" width="13.21875" style="2960" customWidth="1"/>
    <col min="12291" max="12291" width="15.6640625" style="2960" customWidth="1"/>
    <col min="12292" max="12292" width="9.33203125" style="2960" bestFit="1" customWidth="1"/>
    <col min="12293" max="12293" width="13.44140625" style="2960" customWidth="1"/>
    <col min="12294" max="12294" width="9" style="2960"/>
    <col min="12295" max="12295" width="9.33203125" style="2960" bestFit="1" customWidth="1"/>
    <col min="12296" max="12297" width="9" style="2960"/>
    <col min="12298" max="12298" width="9.33203125" style="2960" bestFit="1" customWidth="1"/>
    <col min="12299" max="12299" width="4" style="2960" customWidth="1"/>
    <col min="12300" max="12300" width="5.109375" style="2960" customWidth="1"/>
    <col min="12301" max="12301" width="13.77734375" style="2960" customWidth="1"/>
    <col min="12302" max="12544" width="9" style="2960"/>
    <col min="12545" max="12545" width="4.88671875" style="2960" customWidth="1"/>
    <col min="12546" max="12546" width="13.21875" style="2960" customWidth="1"/>
    <col min="12547" max="12547" width="15.6640625" style="2960" customWidth="1"/>
    <col min="12548" max="12548" width="9.33203125" style="2960" bestFit="1" customWidth="1"/>
    <col min="12549" max="12549" width="13.44140625" style="2960" customWidth="1"/>
    <col min="12550" max="12550" width="9" style="2960"/>
    <col min="12551" max="12551" width="9.33203125" style="2960" bestFit="1" customWidth="1"/>
    <col min="12552" max="12553" width="9" style="2960"/>
    <col min="12554" max="12554" width="9.33203125" style="2960" bestFit="1" customWidth="1"/>
    <col min="12555" max="12555" width="4" style="2960" customWidth="1"/>
    <col min="12556" max="12556" width="5.109375" style="2960" customWidth="1"/>
    <col min="12557" max="12557" width="13.77734375" style="2960" customWidth="1"/>
    <col min="12558" max="12800" width="9" style="2960"/>
    <col min="12801" max="12801" width="4.88671875" style="2960" customWidth="1"/>
    <col min="12802" max="12802" width="13.21875" style="2960" customWidth="1"/>
    <col min="12803" max="12803" width="15.6640625" style="2960" customWidth="1"/>
    <col min="12804" max="12804" width="9.33203125" style="2960" bestFit="1" customWidth="1"/>
    <col min="12805" max="12805" width="13.44140625" style="2960" customWidth="1"/>
    <col min="12806" max="12806" width="9" style="2960"/>
    <col min="12807" max="12807" width="9.33203125" style="2960" bestFit="1" customWidth="1"/>
    <col min="12808" max="12809" width="9" style="2960"/>
    <col min="12810" max="12810" width="9.33203125" style="2960" bestFit="1" customWidth="1"/>
    <col min="12811" max="12811" width="4" style="2960" customWidth="1"/>
    <col min="12812" max="12812" width="5.109375" style="2960" customWidth="1"/>
    <col min="12813" max="12813" width="13.77734375" style="2960" customWidth="1"/>
    <col min="12814" max="13056" width="9" style="2960"/>
    <col min="13057" max="13057" width="4.88671875" style="2960" customWidth="1"/>
    <col min="13058" max="13058" width="13.21875" style="2960" customWidth="1"/>
    <col min="13059" max="13059" width="15.6640625" style="2960" customWidth="1"/>
    <col min="13060" max="13060" width="9.33203125" style="2960" bestFit="1" customWidth="1"/>
    <col min="13061" max="13061" width="13.44140625" style="2960" customWidth="1"/>
    <col min="13062" max="13062" width="9" style="2960"/>
    <col min="13063" max="13063" width="9.33203125" style="2960" bestFit="1" customWidth="1"/>
    <col min="13064" max="13065" width="9" style="2960"/>
    <col min="13066" max="13066" width="9.33203125" style="2960" bestFit="1" customWidth="1"/>
    <col min="13067" max="13067" width="4" style="2960" customWidth="1"/>
    <col min="13068" max="13068" width="5.109375" style="2960" customWidth="1"/>
    <col min="13069" max="13069" width="13.77734375" style="2960" customWidth="1"/>
    <col min="13070" max="13312" width="9" style="2960"/>
    <col min="13313" max="13313" width="4.88671875" style="2960" customWidth="1"/>
    <col min="13314" max="13314" width="13.21875" style="2960" customWidth="1"/>
    <col min="13315" max="13315" width="15.6640625" style="2960" customWidth="1"/>
    <col min="13316" max="13316" width="9.33203125" style="2960" bestFit="1" customWidth="1"/>
    <col min="13317" max="13317" width="13.44140625" style="2960" customWidth="1"/>
    <col min="13318" max="13318" width="9" style="2960"/>
    <col min="13319" max="13319" width="9.33203125" style="2960" bestFit="1" customWidth="1"/>
    <col min="13320" max="13321" width="9" style="2960"/>
    <col min="13322" max="13322" width="9.33203125" style="2960" bestFit="1" customWidth="1"/>
    <col min="13323" max="13323" width="4" style="2960" customWidth="1"/>
    <col min="13324" max="13324" width="5.109375" style="2960" customWidth="1"/>
    <col min="13325" max="13325" width="13.77734375" style="2960" customWidth="1"/>
    <col min="13326" max="13568" width="9" style="2960"/>
    <col min="13569" max="13569" width="4.88671875" style="2960" customWidth="1"/>
    <col min="13570" max="13570" width="13.21875" style="2960" customWidth="1"/>
    <col min="13571" max="13571" width="15.6640625" style="2960" customWidth="1"/>
    <col min="13572" max="13572" width="9.33203125" style="2960" bestFit="1" customWidth="1"/>
    <col min="13573" max="13573" width="13.44140625" style="2960" customWidth="1"/>
    <col min="13574" max="13574" width="9" style="2960"/>
    <col min="13575" max="13575" width="9.33203125" style="2960" bestFit="1" customWidth="1"/>
    <col min="13576" max="13577" width="9" style="2960"/>
    <col min="13578" max="13578" width="9.33203125" style="2960" bestFit="1" customWidth="1"/>
    <col min="13579" max="13579" width="4" style="2960" customWidth="1"/>
    <col min="13580" max="13580" width="5.109375" style="2960" customWidth="1"/>
    <col min="13581" max="13581" width="13.77734375" style="2960" customWidth="1"/>
    <col min="13582" max="13824" width="9" style="2960"/>
    <col min="13825" max="13825" width="4.88671875" style="2960" customWidth="1"/>
    <col min="13826" max="13826" width="13.21875" style="2960" customWidth="1"/>
    <col min="13827" max="13827" width="15.6640625" style="2960" customWidth="1"/>
    <col min="13828" max="13828" width="9.33203125" style="2960" bestFit="1" customWidth="1"/>
    <col min="13829" max="13829" width="13.44140625" style="2960" customWidth="1"/>
    <col min="13830" max="13830" width="9" style="2960"/>
    <col min="13831" max="13831" width="9.33203125" style="2960" bestFit="1" customWidth="1"/>
    <col min="13832" max="13833" width="9" style="2960"/>
    <col min="13834" max="13834" width="9.33203125" style="2960" bestFit="1" customWidth="1"/>
    <col min="13835" max="13835" width="4" style="2960" customWidth="1"/>
    <col min="13836" max="13836" width="5.109375" style="2960" customWidth="1"/>
    <col min="13837" max="13837" width="13.77734375" style="2960" customWidth="1"/>
    <col min="13838" max="14080" width="9" style="2960"/>
    <col min="14081" max="14081" width="4.88671875" style="2960" customWidth="1"/>
    <col min="14082" max="14082" width="13.21875" style="2960" customWidth="1"/>
    <col min="14083" max="14083" width="15.6640625" style="2960" customWidth="1"/>
    <col min="14084" max="14084" width="9.33203125" style="2960" bestFit="1" customWidth="1"/>
    <col min="14085" max="14085" width="13.44140625" style="2960" customWidth="1"/>
    <col min="14086" max="14086" width="9" style="2960"/>
    <col min="14087" max="14087" width="9.33203125" style="2960" bestFit="1" customWidth="1"/>
    <col min="14088" max="14089" width="9" style="2960"/>
    <col min="14090" max="14090" width="9.33203125" style="2960" bestFit="1" customWidth="1"/>
    <col min="14091" max="14091" width="4" style="2960" customWidth="1"/>
    <col min="14092" max="14092" width="5.109375" style="2960" customWidth="1"/>
    <col min="14093" max="14093" width="13.77734375" style="2960" customWidth="1"/>
    <col min="14094" max="14336" width="9" style="2960"/>
    <col min="14337" max="14337" width="4.88671875" style="2960" customWidth="1"/>
    <col min="14338" max="14338" width="13.21875" style="2960" customWidth="1"/>
    <col min="14339" max="14339" width="15.6640625" style="2960" customWidth="1"/>
    <col min="14340" max="14340" width="9.33203125" style="2960" bestFit="1" customWidth="1"/>
    <col min="14341" max="14341" width="13.44140625" style="2960" customWidth="1"/>
    <col min="14342" max="14342" width="9" style="2960"/>
    <col min="14343" max="14343" width="9.33203125" style="2960" bestFit="1" customWidth="1"/>
    <col min="14344" max="14345" width="9" style="2960"/>
    <col min="14346" max="14346" width="9.33203125" style="2960" bestFit="1" customWidth="1"/>
    <col min="14347" max="14347" width="4" style="2960" customWidth="1"/>
    <col min="14348" max="14348" width="5.109375" style="2960" customWidth="1"/>
    <col min="14349" max="14349" width="13.77734375" style="2960" customWidth="1"/>
    <col min="14350" max="14592" width="9" style="2960"/>
    <col min="14593" max="14593" width="4.88671875" style="2960" customWidth="1"/>
    <col min="14594" max="14594" width="13.21875" style="2960" customWidth="1"/>
    <col min="14595" max="14595" width="15.6640625" style="2960" customWidth="1"/>
    <col min="14596" max="14596" width="9.33203125" style="2960" bestFit="1" customWidth="1"/>
    <col min="14597" max="14597" width="13.44140625" style="2960" customWidth="1"/>
    <col min="14598" max="14598" width="9" style="2960"/>
    <col min="14599" max="14599" width="9.33203125" style="2960" bestFit="1" customWidth="1"/>
    <col min="14600" max="14601" width="9" style="2960"/>
    <col min="14602" max="14602" width="9.33203125" style="2960" bestFit="1" customWidth="1"/>
    <col min="14603" max="14603" width="4" style="2960" customWidth="1"/>
    <col min="14604" max="14604" width="5.109375" style="2960" customWidth="1"/>
    <col min="14605" max="14605" width="13.77734375" style="2960" customWidth="1"/>
    <col min="14606" max="14848" width="9" style="2960"/>
    <col min="14849" max="14849" width="4.88671875" style="2960" customWidth="1"/>
    <col min="14850" max="14850" width="13.21875" style="2960" customWidth="1"/>
    <col min="14851" max="14851" width="15.6640625" style="2960" customWidth="1"/>
    <col min="14852" max="14852" width="9.33203125" style="2960" bestFit="1" customWidth="1"/>
    <col min="14853" max="14853" width="13.44140625" style="2960" customWidth="1"/>
    <col min="14854" max="14854" width="9" style="2960"/>
    <col min="14855" max="14855" width="9.33203125" style="2960" bestFit="1" customWidth="1"/>
    <col min="14856" max="14857" width="9" style="2960"/>
    <col min="14858" max="14858" width="9.33203125" style="2960" bestFit="1" customWidth="1"/>
    <col min="14859" max="14859" width="4" style="2960" customWidth="1"/>
    <col min="14860" max="14860" width="5.109375" style="2960" customWidth="1"/>
    <col min="14861" max="14861" width="13.77734375" style="2960" customWidth="1"/>
    <col min="14862" max="15104" width="9" style="2960"/>
    <col min="15105" max="15105" width="4.88671875" style="2960" customWidth="1"/>
    <col min="15106" max="15106" width="13.21875" style="2960" customWidth="1"/>
    <col min="15107" max="15107" width="15.6640625" style="2960" customWidth="1"/>
    <col min="15108" max="15108" width="9.33203125" style="2960" bestFit="1" customWidth="1"/>
    <col min="15109" max="15109" width="13.44140625" style="2960" customWidth="1"/>
    <col min="15110" max="15110" width="9" style="2960"/>
    <col min="15111" max="15111" width="9.33203125" style="2960" bestFit="1" customWidth="1"/>
    <col min="15112" max="15113" width="9" style="2960"/>
    <col min="15114" max="15114" width="9.33203125" style="2960" bestFit="1" customWidth="1"/>
    <col min="15115" max="15115" width="4" style="2960" customWidth="1"/>
    <col min="15116" max="15116" width="5.109375" style="2960" customWidth="1"/>
    <col min="15117" max="15117" width="13.77734375" style="2960" customWidth="1"/>
    <col min="15118" max="15360" width="9" style="2960"/>
    <col min="15361" max="15361" width="4.88671875" style="2960" customWidth="1"/>
    <col min="15362" max="15362" width="13.21875" style="2960" customWidth="1"/>
    <col min="15363" max="15363" width="15.6640625" style="2960" customWidth="1"/>
    <col min="15364" max="15364" width="9.33203125" style="2960" bestFit="1" customWidth="1"/>
    <col min="15365" max="15365" width="13.44140625" style="2960" customWidth="1"/>
    <col min="15366" max="15366" width="9" style="2960"/>
    <col min="15367" max="15367" width="9.33203125" style="2960" bestFit="1" customWidth="1"/>
    <col min="15368" max="15369" width="9" style="2960"/>
    <col min="15370" max="15370" width="9.33203125" style="2960" bestFit="1" customWidth="1"/>
    <col min="15371" max="15371" width="4" style="2960" customWidth="1"/>
    <col min="15372" max="15372" width="5.109375" style="2960" customWidth="1"/>
    <col min="15373" max="15373" width="13.77734375" style="2960" customWidth="1"/>
    <col min="15374" max="15616" width="9" style="2960"/>
    <col min="15617" max="15617" width="4.88671875" style="2960" customWidth="1"/>
    <col min="15618" max="15618" width="13.21875" style="2960" customWidth="1"/>
    <col min="15619" max="15619" width="15.6640625" style="2960" customWidth="1"/>
    <col min="15620" max="15620" width="9.33203125" style="2960" bestFit="1" customWidth="1"/>
    <col min="15621" max="15621" width="13.44140625" style="2960" customWidth="1"/>
    <col min="15622" max="15622" width="9" style="2960"/>
    <col min="15623" max="15623" width="9.33203125" style="2960" bestFit="1" customWidth="1"/>
    <col min="15624" max="15625" width="9" style="2960"/>
    <col min="15626" max="15626" width="9.33203125" style="2960" bestFit="1" customWidth="1"/>
    <col min="15627" max="15627" width="4" style="2960" customWidth="1"/>
    <col min="15628" max="15628" width="5.109375" style="2960" customWidth="1"/>
    <col min="15629" max="15629" width="13.77734375" style="2960" customWidth="1"/>
    <col min="15630" max="15872" width="9" style="2960"/>
    <col min="15873" max="15873" width="4.88671875" style="2960" customWidth="1"/>
    <col min="15874" max="15874" width="13.21875" style="2960" customWidth="1"/>
    <col min="15875" max="15875" width="15.6640625" style="2960" customWidth="1"/>
    <col min="15876" max="15876" width="9.33203125" style="2960" bestFit="1" customWidth="1"/>
    <col min="15877" max="15877" width="13.44140625" style="2960" customWidth="1"/>
    <col min="15878" max="15878" width="9" style="2960"/>
    <col min="15879" max="15879" width="9.33203125" style="2960" bestFit="1" customWidth="1"/>
    <col min="15880" max="15881" width="9" style="2960"/>
    <col min="15882" max="15882" width="9.33203125" style="2960" bestFit="1" customWidth="1"/>
    <col min="15883" max="15883" width="4" style="2960" customWidth="1"/>
    <col min="15884" max="15884" width="5.109375" style="2960" customWidth="1"/>
    <col min="15885" max="15885" width="13.77734375" style="2960" customWidth="1"/>
    <col min="15886" max="16128" width="9" style="2960"/>
    <col min="16129" max="16129" width="4.88671875" style="2960" customWidth="1"/>
    <col min="16130" max="16130" width="13.21875" style="2960" customWidth="1"/>
    <col min="16131" max="16131" width="15.6640625" style="2960" customWidth="1"/>
    <col min="16132" max="16132" width="9.33203125" style="2960" bestFit="1" customWidth="1"/>
    <col min="16133" max="16133" width="13.44140625" style="2960" customWidth="1"/>
    <col min="16134" max="16134" width="9" style="2960"/>
    <col min="16135" max="16135" width="9.33203125" style="2960" bestFit="1" customWidth="1"/>
    <col min="16136" max="16137" width="9" style="2960"/>
    <col min="16138" max="16138" width="9.33203125" style="2960" bestFit="1" customWidth="1"/>
    <col min="16139" max="16139" width="4" style="2960" customWidth="1"/>
    <col min="16140" max="16140" width="5.109375" style="2960" customWidth="1"/>
    <col min="16141" max="16141" width="13.77734375" style="2960" customWidth="1"/>
    <col min="16142" max="16384" width="9" style="2960"/>
  </cols>
  <sheetData>
    <row r="1" spans="1:257" s="3020" customFormat="1" ht="15" thickBot="1">
      <c r="A1" s="3019"/>
      <c r="B1" s="3021" t="s">
        <v>2786</v>
      </c>
      <c r="C1" s="3025">
        <f>项目基本情况!D3</f>
        <v>43507</v>
      </c>
      <c r="H1" s="2959">
        <f>IF(C1&gt;C13,0,MATCH(C1,C$13:C$100,-1))+IF(SUMIF(C13:C100,C1,D13:D100)=0,13,12)</f>
        <v>13</v>
      </c>
      <c r="I1" s="2959">
        <f ca="1">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6" thickTop="1" thickBot="1">
      <c r="A2" s="2961"/>
      <c r="B2" s="3022" t="s">
        <v>2817</v>
      </c>
      <c r="C2" s="3026">
        <f>'数据-取费表'!B22</f>
        <v>3</v>
      </c>
      <c r="D2" s="3021" t="s">
        <v>2787</v>
      </c>
      <c r="E2" s="3024">
        <f ca="1">INDIRECT("I"&amp;$I$1)/100</f>
        <v>4.7500000000000001E-2</v>
      </c>
      <c r="G2" s="2961"/>
      <c r="H2" s="2961"/>
      <c r="I2" s="2961" t="s">
        <v>2788</v>
      </c>
      <c r="K2" s="2961"/>
      <c r="L2" s="2961"/>
      <c r="M2" s="2961"/>
      <c r="N2" s="2961" t="s">
        <v>2789</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2819</v>
      </c>
      <c r="C3" s="3023">
        <f>'数据-取费表'!B19</f>
        <v>0</v>
      </c>
      <c r="D3" s="3021" t="s">
        <v>2787</v>
      </c>
      <c r="E3" s="3024">
        <f ca="1">INDIRECT("J"&amp;$J$1)/100</f>
        <v>0</v>
      </c>
      <c r="G3" s="2963" t="s">
        <v>2790</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2818</v>
      </c>
      <c r="C4" s="3024">
        <f ca="1">N4/100</f>
        <v>1.4999999999999999E-2</v>
      </c>
      <c r="G4" s="2969" t="s">
        <v>2791</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2792</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2793</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5" thickBot="1">
      <c r="A7" s="2962"/>
      <c r="G7" s="2974" t="s">
        <v>2794</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399999999999999">
      <c r="A9" s="2982"/>
      <c r="B9" s="2983" t="s">
        <v>2795</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2">
      <c r="A10" s="2988"/>
      <c r="B10" s="2989" t="s">
        <v>2796</v>
      </c>
      <c r="C10" s="2988"/>
      <c r="D10" s="2988"/>
      <c r="E10" s="2988"/>
      <c r="F10" s="2988"/>
      <c r="G10" s="2988"/>
      <c r="H10" s="2988"/>
      <c r="I10" s="2962"/>
      <c r="J10" s="2962"/>
      <c r="K10" s="2988"/>
      <c r="L10" s="2989" t="s">
        <v>2797</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2798</v>
      </c>
      <c r="C11" s="2993" t="s">
        <v>2799</v>
      </c>
      <c r="D11" s="2994" t="s">
        <v>2800</v>
      </c>
      <c r="E11" s="2995"/>
      <c r="F11" s="2994" t="s">
        <v>2801</v>
      </c>
      <c r="G11" s="2996"/>
      <c r="H11" s="2995"/>
      <c r="I11" s="2994" t="s">
        <v>2802</v>
      </c>
      <c r="J11" s="2995"/>
      <c r="K11" s="2991"/>
      <c r="L11" s="2992" t="s">
        <v>2798</v>
      </c>
      <c r="M11" s="2993" t="s">
        <v>2799</v>
      </c>
      <c r="N11" s="2992" t="s">
        <v>2803</v>
      </c>
      <c r="O11" s="2994" t="s">
        <v>2804</v>
      </c>
      <c r="P11" s="2996"/>
      <c r="Q11" s="2996"/>
      <c r="R11" s="2996"/>
      <c r="S11" s="2996"/>
      <c r="T11" s="2995"/>
      <c r="U11" s="2994" t="s">
        <v>2805</v>
      </c>
      <c r="V11" s="2996"/>
      <c r="W11" s="2995"/>
      <c r="X11" s="2992" t="s">
        <v>2806</v>
      </c>
      <c r="Y11" s="2992" t="s">
        <v>2807</v>
      </c>
      <c r="Z11" s="2992" t="s">
        <v>2808</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2809</v>
      </c>
      <c r="E12" s="3001" t="s">
        <v>2810</v>
      </c>
      <c r="F12" s="3001" t="s">
        <v>2811</v>
      </c>
      <c r="G12" s="3001" t="s">
        <v>2812</v>
      </c>
      <c r="H12" s="3001" t="s">
        <v>2794</v>
      </c>
      <c r="I12" s="3002" t="s">
        <v>2813</v>
      </c>
      <c r="J12" s="3002" t="s">
        <v>2813</v>
      </c>
      <c r="K12" s="2998"/>
      <c r="L12" s="2999"/>
      <c r="M12" s="3000"/>
      <c r="N12" s="2999"/>
      <c r="O12" s="3002" t="s">
        <v>2814</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31.2">
      <c r="A13" s="3004"/>
      <c r="B13" s="3005" t="s">
        <v>2815</v>
      </c>
      <c r="C13" s="3006">
        <v>42301</v>
      </c>
      <c r="D13" s="3007">
        <v>4.3499999999999996</v>
      </c>
      <c r="E13" s="3007">
        <v>4.3499999999999996</v>
      </c>
      <c r="F13" s="3007">
        <v>4.75</v>
      </c>
      <c r="G13" s="3007">
        <v>4.75</v>
      </c>
      <c r="H13" s="3007">
        <v>4.9000000000000004</v>
      </c>
      <c r="I13" s="3007">
        <v>2.75</v>
      </c>
      <c r="J13" s="3007">
        <v>3.25</v>
      </c>
      <c r="K13" s="3004"/>
      <c r="L13" s="3005" t="s">
        <v>2815</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6.8">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2816</v>
      </c>
      <c r="Y42" s="3011" t="s">
        <v>2816</v>
      </c>
      <c r="Z42" s="3011" t="s">
        <v>2816</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2816</v>
      </c>
      <c r="Y43" s="3011" t="s">
        <v>2816</v>
      </c>
      <c r="Z43" s="3011" t="s">
        <v>2816</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2816</v>
      </c>
      <c r="Y44" s="3011" t="s">
        <v>2816</v>
      </c>
      <c r="Z44" s="3011" t="s">
        <v>2816</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2816</v>
      </c>
      <c r="Y45" s="3011" t="s">
        <v>2816</v>
      </c>
      <c r="Z45" s="3011" t="s">
        <v>2816</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2816</v>
      </c>
      <c r="Y46" s="3011" t="s">
        <v>2816</v>
      </c>
      <c r="Z46" s="3011" t="s">
        <v>2816</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2816</v>
      </c>
      <c r="Y47" s="3011" t="s">
        <v>2816</v>
      </c>
      <c r="Z47" s="3011" t="s">
        <v>2816</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2816</v>
      </c>
      <c r="Y48" s="3011" t="s">
        <v>2816</v>
      </c>
      <c r="Z48" s="3011" t="s">
        <v>2816</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2816</v>
      </c>
      <c r="Y49" s="3011" t="s">
        <v>2816</v>
      </c>
      <c r="Z49" s="3011" t="s">
        <v>2816</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2816</v>
      </c>
      <c r="Y50" s="3011" t="s">
        <v>2816</v>
      </c>
      <c r="Z50" s="3011" t="s">
        <v>2816</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2816</v>
      </c>
      <c r="V51" s="3011" t="s">
        <v>2816</v>
      </c>
      <c r="W51" s="3011" t="s">
        <v>2816</v>
      </c>
      <c r="X51" s="3011" t="s">
        <v>2816</v>
      </c>
      <c r="Y51" s="3011" t="s">
        <v>2816</v>
      </c>
      <c r="Z51" s="3011" t="s">
        <v>2816</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2816</v>
      </c>
      <c r="J55" s="3011" t="s">
        <v>2816</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1" t="s">
        <v>2039</v>
      </c>
      <c r="B1" s="3221"/>
      <c r="C1" s="3221"/>
      <c r="D1" s="3221"/>
      <c r="E1" s="3221"/>
      <c r="F1" s="3221"/>
      <c r="G1" s="3221"/>
      <c r="H1" s="3221"/>
      <c r="I1" s="3221"/>
      <c r="J1" s="3221"/>
      <c r="K1" s="3221"/>
      <c r="L1" s="3221"/>
      <c r="M1" s="3221"/>
      <c r="N1" s="3221"/>
      <c r="O1" s="3221"/>
      <c r="P1" s="3221"/>
      <c r="Q1" s="3221"/>
      <c r="R1" s="3221"/>
    </row>
    <row r="2" spans="1:18">
      <c r="A2" s="1804" t="s">
        <v>2041</v>
      </c>
      <c r="B2" s="1804"/>
      <c r="C2" s="1804"/>
      <c r="D2" s="1804"/>
      <c r="E2" s="1804"/>
      <c r="F2" s="1804"/>
      <c r="G2" s="1804"/>
      <c r="H2" s="1804"/>
      <c r="I2" s="1805"/>
      <c r="J2" s="1805"/>
      <c r="K2" s="1806" t="str">
        <f>"估价期日："&amp;TEXT(项目基本情况!D3,"yyyy年m月d日;;")</f>
        <v>估价期日：2019年2月11日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22" t="s">
        <v>2030</v>
      </c>
      <c r="B3" s="3222" t="s">
        <v>2729</v>
      </c>
      <c r="C3" s="3223" t="s">
        <v>2031</v>
      </c>
      <c r="D3" s="3222" t="s">
        <v>2733</v>
      </c>
      <c r="E3" s="3225" t="s">
        <v>2032</v>
      </c>
      <c r="F3" s="3225"/>
      <c r="G3" s="3225"/>
      <c r="H3" s="3225" t="s">
        <v>2033</v>
      </c>
      <c r="I3" s="3225"/>
      <c r="J3" s="3225"/>
      <c r="K3" s="3223" t="s">
        <v>2034</v>
      </c>
      <c r="L3" s="3223" t="s">
        <v>2035</v>
      </c>
      <c r="M3" s="3222" t="s">
        <v>2730</v>
      </c>
      <c r="N3" s="3224" t="str">
        <f>"（分摊）"&amp;项目基本情况!B16&amp;"国有建设用地使用权面积/㎡"</f>
        <v>（分摊）出让国有建设用地使用权面积/㎡</v>
      </c>
      <c r="O3" s="3222" t="s">
        <v>2064</v>
      </c>
      <c r="P3" s="3223" t="s">
        <v>2044</v>
      </c>
      <c r="Q3" s="3223" t="s">
        <v>2065</v>
      </c>
      <c r="R3" s="3223" t="s">
        <v>2036</v>
      </c>
    </row>
    <row r="4" spans="1:18" ht="36.75" customHeight="1">
      <c r="A4" s="3222"/>
      <c r="B4" s="3222"/>
      <c r="C4" s="3223"/>
      <c r="D4" s="3222"/>
      <c r="E4" s="2670" t="s">
        <v>2043</v>
      </c>
      <c r="F4" s="2670" t="s">
        <v>2742</v>
      </c>
      <c r="G4" s="2670" t="s">
        <v>2037</v>
      </c>
      <c r="H4" s="2670" t="s">
        <v>2038</v>
      </c>
      <c r="I4" s="2670" t="s">
        <v>2743</v>
      </c>
      <c r="J4" s="2670" t="s">
        <v>2037</v>
      </c>
      <c r="K4" s="3223"/>
      <c r="L4" s="3223"/>
      <c r="M4" s="3222"/>
      <c r="N4" s="3224"/>
      <c r="O4" s="3222"/>
      <c r="P4" s="3223"/>
      <c r="Q4" s="3223"/>
      <c r="R4" s="3223"/>
    </row>
    <row r="5" spans="1:18" ht="135" customHeight="1">
      <c r="A5" s="1940" t="s">
        <v>2653</v>
      </c>
      <c r="B5" s="2888" t="s">
        <v>2651</v>
      </c>
      <c r="C5" s="2669">
        <v>22</v>
      </c>
      <c r="D5" s="2668" t="s">
        <v>2652</v>
      </c>
      <c r="E5" s="1807">
        <f>项目基本情况!B12</f>
        <v>0</v>
      </c>
      <c r="F5" s="2668">
        <v>258</v>
      </c>
      <c r="G5" s="1807" t="str">
        <f>项目基本情况!B13</f>
        <v>住宅</v>
      </c>
      <c r="H5" s="2668">
        <v>1.5</v>
      </c>
      <c r="I5" s="2668">
        <v>1.5</v>
      </c>
      <c r="J5" s="2668">
        <v>1.5</v>
      </c>
      <c r="K5" s="1807" t="str">
        <f>"红线外"&amp;项目基本情况!T40&amp;"、宗地红线内"&amp;项目基本情况!B35</f>
        <v>红线外七通、宗地红线内场地未平整</v>
      </c>
      <c r="L5" s="1807" t="str">
        <f>"红线外"&amp;项目基本情况!T40&amp;"、宗地红线内场地"&amp;项目基本情况!D36</f>
        <v>红线外七通、宗地红线内场地</v>
      </c>
      <c r="M5" s="1807">
        <f>IF(项目基本情况!B16="出让",项目基本情况!D20,"——")</f>
        <v>0</v>
      </c>
      <c r="N5" s="1807">
        <f>项目基本情况!C22</f>
        <v>65565</v>
      </c>
      <c r="O5" s="1807">
        <f>项目基本情况!C21</f>
        <v>237470</v>
      </c>
      <c r="P5" s="1807">
        <f ca="1">结果表!E42</f>
        <v>16865</v>
      </c>
      <c r="Q5" s="1807">
        <f ca="1">结果表!D42</f>
        <v>4657</v>
      </c>
      <c r="R5" s="1808">
        <f ca="1">结果表!C42</f>
        <v>110578</v>
      </c>
    </row>
    <row r="6" spans="1:18">
      <c r="A6" s="3226" t="str">
        <f>IF(项目基本情况!B9="市场价格","——","抵押价格")</f>
        <v>——</v>
      </c>
      <c r="B6" s="3227"/>
      <c r="C6" s="3227"/>
      <c r="D6" s="3227"/>
      <c r="E6" s="3227"/>
      <c r="F6" s="3227"/>
      <c r="G6" s="3227"/>
      <c r="H6" s="3227"/>
      <c r="I6" s="3227"/>
      <c r="J6" s="3227"/>
      <c r="K6" s="3227"/>
      <c r="L6" s="3227"/>
      <c r="M6" s="3227"/>
      <c r="N6" s="3227"/>
      <c r="O6" s="3227"/>
      <c r="P6" s="3227"/>
      <c r="Q6" s="3228"/>
      <c r="R6" s="1809">
        <f ca="1">结果表!O39</f>
        <v>110578</v>
      </c>
    </row>
    <row r="7" spans="1:18">
      <c r="A7" s="3226" t="str">
        <f>IF(项目基本情况!B9="市场价格","——",IF(项目基本情况!E8="已注销及未注销","抵押担保权已注销时的抵押价格","——"))</f>
        <v>——</v>
      </c>
      <c r="B7" s="3227"/>
      <c r="C7" s="3227"/>
      <c r="D7" s="3227"/>
      <c r="E7" s="3227"/>
      <c r="F7" s="3227"/>
      <c r="G7" s="3227"/>
      <c r="H7" s="3227"/>
      <c r="I7" s="3227"/>
      <c r="J7" s="3227"/>
      <c r="K7" s="3227"/>
      <c r="L7" s="3227"/>
      <c r="M7" s="3227"/>
      <c r="N7" s="3227"/>
      <c r="O7" s="3227"/>
      <c r="P7" s="3227"/>
      <c r="Q7" s="3228"/>
      <c r="R7" s="1809" t="str">
        <f>结果表!O40</f>
        <v>——</v>
      </c>
    </row>
    <row r="8" spans="1:18">
      <c r="A8" s="3226" t="str">
        <f>IF(项目基本情况!B9="市场价格","——",项目基本情况!E9)</f>
        <v>——</v>
      </c>
      <c r="B8" s="3227"/>
      <c r="C8" s="3227"/>
      <c r="D8" s="3227"/>
      <c r="E8" s="3227"/>
      <c r="F8" s="3227"/>
      <c r="G8" s="3227"/>
      <c r="H8" s="3227"/>
      <c r="I8" s="3227"/>
      <c r="J8" s="3227"/>
      <c r="K8" s="3227"/>
      <c r="L8" s="3227"/>
      <c r="M8" s="3227"/>
      <c r="N8" s="3227"/>
      <c r="O8" s="3227"/>
      <c r="P8" s="3227"/>
      <c r="Q8" s="3228"/>
      <c r="R8" s="1809" t="str">
        <f>结果表!O41</f>
        <v>——</v>
      </c>
    </row>
    <row r="9" spans="1:18">
      <c r="A9" s="1810" t="s">
        <v>2042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9" customWidth="1"/>
    <col min="2" max="3" width="21.33203125" style="1799" customWidth="1"/>
    <col min="4" max="4" width="19.88671875" style="1799" customWidth="1"/>
    <col min="5" max="16384" width="9" style="1799"/>
  </cols>
  <sheetData>
    <row r="1" spans="1:4">
      <c r="A1" s="3230" t="s">
        <v>2066</v>
      </c>
      <c r="B1" s="3230"/>
      <c r="C1" s="3230"/>
      <c r="D1" s="3230"/>
    </row>
    <row r="2" spans="1:4" ht="47.25" customHeight="1">
      <c r="A2" s="3231" t="str">
        <f>"1.权利限制："&amp;项目基本情况!L24&amp;"未设定租赁等其他他项权利。"</f>
        <v>1.权利限制：根据估价对象《不动产权证书》——、《国有土地使用权》——，截至估价期日，估价对象抵押权未见登记。未设定租赁等其他他项权利。</v>
      </c>
      <c r="B2" s="3231"/>
      <c r="C2" s="3231"/>
      <c r="D2" s="3231"/>
    </row>
    <row r="3" spans="1:4" ht="48" customHeight="1">
      <c r="A3" s="3230"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230"/>
      <c r="C3" s="3230"/>
      <c r="D3" s="3230"/>
    </row>
    <row r="4" spans="1:4" ht="36.75" customHeight="1">
      <c r="A4" s="3230" t="str">
        <f>"3.估价规划限制条件：详见"&amp;项目基本情况!E21&amp;"。"</f>
        <v>3.估价规划限制条件：详见《建设工程规划许可证》[]、《出让合同》[]。</v>
      </c>
      <c r="B4" s="3230"/>
      <c r="C4" s="3230"/>
      <c r="D4" s="3230"/>
    </row>
    <row r="5" spans="1:4">
      <c r="A5" s="3229" t="s">
        <v>2067</v>
      </c>
      <c r="B5" s="3229"/>
      <c r="C5" s="3229"/>
      <c r="D5" s="3229"/>
    </row>
    <row r="6" spans="1:4">
      <c r="A6" s="3230" t="s">
        <v>2045</v>
      </c>
      <c r="B6" s="3230"/>
      <c r="C6" s="3230"/>
      <c r="D6" s="3230"/>
    </row>
    <row r="7" spans="1:4" ht="33" customHeight="1">
      <c r="A7" s="3230" t="s">
        <v>2574</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30"/>
      <c r="C8" s="3230"/>
      <c r="D8" s="3230"/>
    </row>
    <row r="9" spans="1:4" ht="33.75" customHeight="1">
      <c r="A9" s="3230" t="str">
        <f>IF(项目基本情况!B8="抵押","3.抵押双方在办理抵押登记手续时，应使用本公司出具的正式《土地估价报告》，特提请报告使用者注意。","——")</f>
        <v>——</v>
      </c>
      <c r="B9" s="3230"/>
      <c r="C9" s="3230"/>
      <c r="D9" s="3230"/>
    </row>
    <row r="10" spans="1:4">
      <c r="A10" s="3230" t="str">
        <f>IF(项目基本情况!B8="抵押","4.估价师所知悉的法定优先受偿款情况为：","——")</f>
        <v>——</v>
      </c>
      <c r="B10" s="3230"/>
      <c r="C10" s="3230"/>
      <c r="D10" s="3230"/>
    </row>
    <row r="11" spans="1:4" ht="37.5" customHeight="1">
      <c r="A11" s="3232" t="str">
        <f>IF(项目基本情况!B8="抵押","（1）"&amp;CONCATENATE(项目基本情况!L24,项目基本情况!L25,项目基本情况!L26),"——")</f>
        <v>——</v>
      </c>
      <c r="B11" s="3232"/>
      <c r="C11" s="3232"/>
      <c r="D11" s="3232"/>
    </row>
    <row r="12" spans="1:4" ht="168" customHeight="1">
      <c r="A12" s="3229" t="s">
        <v>2069</v>
      </c>
      <c r="B12" s="3229"/>
      <c r="C12" s="3229"/>
      <c r="D12" s="3229"/>
    </row>
    <row r="13" spans="1:4">
      <c r="A13" s="3233" t="s">
        <v>2744</v>
      </c>
      <c r="B13" s="3233"/>
      <c r="C13" s="3233"/>
      <c r="D13" s="3233"/>
    </row>
    <row r="14" spans="1:4">
      <c r="A14" s="3232" t="str">
        <f>IF(项目基本情况!B8="抵押","综上，"&amp;结果表!K47,"——")</f>
        <v>——</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2700</v>
      </c>
      <c r="B17" s="3230"/>
      <c r="C17" s="3230"/>
      <c r="D17" s="3230"/>
    </row>
    <row r="18" spans="1:4">
      <c r="A18" s="3230" t="s">
        <v>2692</v>
      </c>
      <c r="B18" s="3230"/>
      <c r="C18" s="3230"/>
      <c r="D18" s="3230"/>
    </row>
    <row r="19" spans="1:4">
      <c r="A19" s="2889" t="s">
        <v>2693</v>
      </c>
      <c r="B19" s="2889" t="s">
        <v>2694</v>
      </c>
      <c r="C19" s="2889" t="s">
        <v>2695</v>
      </c>
      <c r="D19" s="2889" t="s">
        <v>2696</v>
      </c>
    </row>
    <row r="20" spans="1:4">
      <c r="A20" s="2889" t="str">
        <f>项目基本情况!B4</f>
        <v>欧红伟</v>
      </c>
      <c r="B20" s="2889">
        <f ca="1">项目基本情况!C4</f>
        <v>2000110082</v>
      </c>
      <c r="C20" s="2891"/>
      <c r="D20" s="1797" t="s">
        <v>2701</v>
      </c>
    </row>
    <row r="21" spans="1:4">
      <c r="A21" s="2889" t="str">
        <f>项目基本情况!D4</f>
        <v>崔锴</v>
      </c>
      <c r="B21" s="2889">
        <f ca="1">项目基本情况!E4</f>
        <v>2010110070</v>
      </c>
      <c r="C21" s="2891"/>
      <c r="D21" s="1797" t="s">
        <v>2702</v>
      </c>
    </row>
    <row r="23" spans="1:4">
      <c r="A23" s="3230" t="s">
        <v>2697</v>
      </c>
      <c r="B23" s="3230"/>
      <c r="C23" s="3230"/>
      <c r="D23" s="3230"/>
    </row>
    <row r="24" spans="1:4">
      <c r="A24" s="2889" t="s">
        <v>2693</v>
      </c>
      <c r="B24" s="2889" t="s">
        <v>2698</v>
      </c>
      <c r="C24" s="2889" t="s">
        <v>2695</v>
      </c>
      <c r="D24" s="2889" t="s">
        <v>2696</v>
      </c>
    </row>
    <row r="25" spans="1:4">
      <c r="A25" s="2892" t="s">
        <v>2699</v>
      </c>
      <c r="B25" s="2889" t="s">
        <v>951</v>
      </c>
      <c r="C25" s="2891"/>
      <c r="D25" s="1797" t="s">
        <v>2702</v>
      </c>
    </row>
    <row r="29" spans="1:4">
      <c r="D29" s="2890" t="s">
        <v>2040</v>
      </c>
    </row>
    <row r="30" spans="1:4">
      <c r="D30" s="289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4" customWidth="1"/>
    <col min="2" max="16384" width="14.44140625" style="1162"/>
  </cols>
  <sheetData>
    <row r="1" spans="1:7" s="1160" customFormat="1" ht="17.399999999999999">
      <c r="A1" s="1159" t="s">
        <v>65</v>
      </c>
    </row>
    <row r="3" spans="1:7">
      <c r="A3" s="1161" t="s">
        <v>66</v>
      </c>
      <c r="B3" s="1162" t="s">
        <v>67</v>
      </c>
      <c r="G3" s="1163"/>
    </row>
    <row r="4" spans="1:7">
      <c r="G4" s="1163"/>
    </row>
    <row r="5" spans="1:7">
      <c r="A5" s="1165" t="s">
        <v>45</v>
      </c>
      <c r="B5" s="1162" t="s">
        <v>46</v>
      </c>
      <c r="G5" s="1163"/>
    </row>
    <row r="6" spans="1:7">
      <c r="G6" s="1163"/>
    </row>
    <row r="7" spans="1:7">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4">
      <c r="A15" s="3241" t="s">
        <v>53</v>
      </c>
      <c r="B15" s="3242" t="s">
        <v>845</v>
      </c>
      <c r="C15" s="3238"/>
    </row>
    <row r="16" spans="1:7" ht="14.4">
      <c r="A16" s="3241"/>
      <c r="B16" s="3239" t="s">
        <v>54</v>
      </c>
      <c r="C16" s="1171" t="s">
        <v>53</v>
      </c>
    </row>
    <row r="17" spans="1:3" ht="14.4">
      <c r="A17" s="3241"/>
      <c r="B17" s="3239"/>
      <c r="C17" s="1171" t="s">
        <v>55</v>
      </c>
    </row>
    <row r="18" spans="1:3" ht="14.4">
      <c r="A18" s="3241"/>
      <c r="B18" s="3239"/>
      <c r="C18" s="1171" t="s">
        <v>56</v>
      </c>
    </row>
    <row r="19" spans="1:3" ht="14.4">
      <c r="A19" s="3241"/>
      <c r="B19" s="3237" t="s">
        <v>57</v>
      </c>
      <c r="C19" s="3238"/>
    </row>
    <row r="20" spans="1:3" ht="14.4">
      <c r="A20" s="1172" t="s">
        <v>58</v>
      </c>
      <c r="B20" s="1173"/>
      <c r="C20" s="1174"/>
    </row>
    <row r="21" spans="1:3" ht="14.4">
      <c r="A21" s="3240" t="s">
        <v>59</v>
      </c>
      <c r="B21" s="3237" t="s">
        <v>60</v>
      </c>
      <c r="C21" s="3238"/>
    </row>
    <row r="22" spans="1:3" ht="14.4">
      <c r="A22" s="3240"/>
      <c r="B22" s="3237" t="s">
        <v>61</v>
      </c>
      <c r="C22" s="3238"/>
    </row>
    <row r="23" spans="1:3" ht="14.4">
      <c r="A23" s="3240"/>
      <c r="B23" s="3237" t="s">
        <v>62</v>
      </c>
      <c r="C23" s="3238"/>
    </row>
    <row r="24" spans="1:3" ht="14.4">
      <c r="A24" s="3240"/>
      <c r="B24" s="3243" t="s">
        <v>63</v>
      </c>
      <c r="C24" s="1175" t="s">
        <v>836</v>
      </c>
    </row>
    <row r="25" spans="1:3" ht="14.4">
      <c r="A25" s="3240"/>
      <c r="B25" s="3244"/>
      <c r="C25" s="1175" t="s">
        <v>837</v>
      </c>
    </row>
    <row r="26" spans="1:3" ht="14.4">
      <c r="A26" s="3240"/>
      <c r="B26" s="3244"/>
      <c r="C26" s="1175" t="s">
        <v>838</v>
      </c>
    </row>
    <row r="27" spans="1:3" ht="14.4">
      <c r="A27" s="3240"/>
      <c r="B27" s="3244"/>
      <c r="C27" s="1175" t="s">
        <v>839</v>
      </c>
    </row>
    <row r="28" spans="1:3" ht="14.4">
      <c r="A28" s="3240"/>
      <c r="B28" s="3244"/>
      <c r="C28" s="1175" t="s">
        <v>840</v>
      </c>
    </row>
    <row r="29" spans="1:3" ht="14.4">
      <c r="A29" s="3240"/>
      <c r="B29" s="3244"/>
      <c r="C29" s="1175" t="s">
        <v>841</v>
      </c>
    </row>
    <row r="30" spans="1:3" ht="14.4">
      <c r="A30" s="3240"/>
      <c r="B30" s="3244"/>
      <c r="C30" s="1175" t="s">
        <v>842</v>
      </c>
    </row>
    <row r="31" spans="1:3" ht="14.4">
      <c r="A31" s="3240"/>
      <c r="B31" s="3244"/>
      <c r="C31" s="1175" t="s">
        <v>843</v>
      </c>
    </row>
    <row r="32" spans="1:3" ht="14.4">
      <c r="A32" s="3240"/>
      <c r="B32" s="3244"/>
      <c r="C32" s="1175" t="s">
        <v>1646</v>
      </c>
    </row>
    <row r="33" spans="1:3" ht="14.4">
      <c r="A33" s="3240"/>
      <c r="B33" s="3234" t="s">
        <v>1652</v>
      </c>
      <c r="C33" s="1175" t="s">
        <v>1647</v>
      </c>
    </row>
    <row r="34" spans="1:3" ht="14.4">
      <c r="A34" s="3240"/>
      <c r="B34" s="3235"/>
      <c r="C34" s="1180" t="s">
        <v>1648</v>
      </c>
    </row>
    <row r="35" spans="1:3" ht="14.4">
      <c r="A35" s="3240"/>
      <c r="B35" s="3235"/>
      <c r="C35" s="1181" t="s">
        <v>1649</v>
      </c>
    </row>
    <row r="36" spans="1:3" ht="14.4">
      <c r="A36" s="3240"/>
      <c r="B36" s="3235"/>
      <c r="C36" s="1181" t="s">
        <v>1650</v>
      </c>
    </row>
    <row r="37" spans="1:3" ht="14.4">
      <c r="A37" s="3240"/>
      <c r="B37" s="3236"/>
      <c r="C37" s="1182" t="s">
        <v>1651</v>
      </c>
    </row>
    <row r="38" spans="1:3">
      <c r="A38" s="1176" t="s">
        <v>844</v>
      </c>
    </row>
    <row r="41" spans="1:3">
      <c r="A41" s="1176" t="s">
        <v>68</v>
      </c>
    </row>
    <row r="42" spans="1:3" ht="14.4">
      <c r="A42" s="1177" t="s">
        <v>852</v>
      </c>
    </row>
    <row r="43" spans="1:3" ht="14.4">
      <c r="A43" s="1178" t="s">
        <v>69</v>
      </c>
    </row>
    <row r="44" spans="1:3" ht="14.4">
      <c r="A44" s="1177" t="s">
        <v>851</v>
      </c>
    </row>
    <row r="45" spans="1:3" ht="14.4">
      <c r="A45" s="1179" t="s">
        <v>853</v>
      </c>
    </row>
    <row r="46" spans="1:3" ht="14.4">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640625" defaultRowHeight="20.25" customHeight="1"/>
  <cols>
    <col min="1" max="1" width="24.77734375" style="2338" customWidth="1"/>
    <col min="2" max="5" width="22.6640625" style="2338"/>
    <col min="6" max="6" width="25.6640625" style="2338" customWidth="1"/>
    <col min="7" max="16384" width="22.6640625" style="2338"/>
  </cols>
  <sheetData>
    <row r="2" spans="1:6" ht="20.25" customHeight="1">
      <c r="A2" s="2335" t="s">
        <v>1907</v>
      </c>
      <c r="B2" s="1654">
        <f ca="1">TODAY()</f>
        <v>43524</v>
      </c>
      <c r="C2" s="2336" t="s">
        <v>1908</v>
      </c>
      <c r="D2" s="2337"/>
    </row>
    <row r="3" spans="1:6" ht="20.25" customHeight="1">
      <c r="A3" s="2339" t="s">
        <v>1909</v>
      </c>
      <c r="B3" s="2340" t="s">
        <v>1910</v>
      </c>
      <c r="C3" s="2340" t="s">
        <v>1911</v>
      </c>
      <c r="D3" s="2341" t="s">
        <v>1912</v>
      </c>
      <c r="E3" s="2340" t="s">
        <v>1913</v>
      </c>
      <c r="F3" s="2340" t="s">
        <v>1911</v>
      </c>
    </row>
    <row r="4" spans="1:6" ht="20.25" customHeight="1">
      <c r="A4" s="2340" t="s">
        <v>1914</v>
      </c>
      <c r="B4" s="2340">
        <f ca="1">IF(C4&lt;B2,"已过期",1119970066)</f>
        <v>1119970066</v>
      </c>
      <c r="C4" s="3027">
        <v>43849</v>
      </c>
      <c r="D4" s="2340" t="s">
        <v>1914</v>
      </c>
      <c r="E4" s="2340">
        <f ca="1">IF(F4&lt;B2,"已过期",96010014)</f>
        <v>96010014</v>
      </c>
      <c r="F4" s="3028">
        <v>47118</v>
      </c>
    </row>
    <row r="5" spans="1:6" ht="20.25" customHeight="1">
      <c r="A5" s="2340" t="s">
        <v>1915</v>
      </c>
      <c r="B5" s="2340">
        <f ca="1">IF(C5&lt;B2,"已过期",1119970074)</f>
        <v>1119970074</v>
      </c>
      <c r="C5" s="3027">
        <v>43849</v>
      </c>
      <c r="D5" s="2340" t="s">
        <v>1915</v>
      </c>
      <c r="E5" s="2340">
        <f ca="1">IF(F5&lt;B2,"已过期",2002110027)</f>
        <v>2002110027</v>
      </c>
      <c r="F5" s="3028">
        <v>46752</v>
      </c>
    </row>
    <row r="6" spans="1:6" ht="20.25" customHeight="1">
      <c r="A6" s="2340" t="s">
        <v>1916</v>
      </c>
      <c r="B6" s="2340">
        <f ca="1">IF(C6&lt;B2,"已过期",1119970111)</f>
        <v>1119970111</v>
      </c>
      <c r="C6" s="3027">
        <v>43849</v>
      </c>
      <c r="D6" s="2340" t="s">
        <v>1916</v>
      </c>
      <c r="E6" s="2340">
        <f ca="1">IF(F6&lt;B2,"已过期",94010078)</f>
        <v>94010078</v>
      </c>
      <c r="F6" s="3028">
        <v>46387</v>
      </c>
    </row>
    <row r="7" spans="1:6" ht="20.25" customHeight="1">
      <c r="A7" s="2340" t="s">
        <v>1917</v>
      </c>
      <c r="B7" s="2340" t="str">
        <f ca="1">IF(C7&lt;B2,"已过期",1120050019)</f>
        <v>已过期</v>
      </c>
      <c r="C7" s="3027">
        <v>43359</v>
      </c>
      <c r="D7" s="2340" t="s">
        <v>1917</v>
      </c>
      <c r="E7" s="2340">
        <f ca="1">IF(F7&lt;B2,"已过期",2002110030)</f>
        <v>2002110030</v>
      </c>
      <c r="F7" s="3028">
        <v>46387</v>
      </c>
    </row>
    <row r="8" spans="1:6" ht="20.25" customHeight="1">
      <c r="A8" s="2340" t="s">
        <v>1918</v>
      </c>
      <c r="B8" s="2340">
        <f ca="1">IF(C8&lt;B2,"已过期",1120000080)</f>
        <v>1120000080</v>
      </c>
      <c r="C8" s="3027">
        <v>43849</v>
      </c>
      <c r="D8" s="2340" t="s">
        <v>1918</v>
      </c>
      <c r="E8" s="2340">
        <f ca="1">IF(F8&lt;B2,"已过期",2000110082)</f>
        <v>2000110082</v>
      </c>
      <c r="F8" s="3028">
        <v>46387</v>
      </c>
    </row>
    <row r="9" spans="1:6" ht="20.25" customHeight="1">
      <c r="A9" s="2340" t="s">
        <v>1919</v>
      </c>
      <c r="B9" s="2340">
        <f ca="1">IF(C9&lt;B2,"已过期",1419970001)</f>
        <v>1419970001</v>
      </c>
      <c r="C9" s="3027">
        <v>43867</v>
      </c>
      <c r="D9" s="2340" t="s">
        <v>1919</v>
      </c>
      <c r="E9" s="2340">
        <f ca="1">IF(F9&lt;B2,"已过期",2002110125)</f>
        <v>2002110125</v>
      </c>
      <c r="F9" s="3028">
        <v>47118</v>
      </c>
    </row>
    <row r="10" spans="1:6" ht="20.25" customHeight="1">
      <c r="A10" s="2340" t="s">
        <v>1920</v>
      </c>
      <c r="B10" s="2340" t="str">
        <f ca="1">IF(C10&lt;B2,"已过期",1120060040)</f>
        <v>已过期</v>
      </c>
      <c r="C10" s="3027">
        <v>43483</v>
      </c>
      <c r="D10" s="2340" t="s">
        <v>1920</v>
      </c>
      <c r="E10" s="2340">
        <f ca="1">IF(F10&lt;B2,"已过期",2004110096)</f>
        <v>2004110096</v>
      </c>
      <c r="F10" s="3028">
        <v>47118</v>
      </c>
    </row>
    <row r="11" spans="1:6" ht="20.25" customHeight="1">
      <c r="A11" s="2340" t="s">
        <v>1921</v>
      </c>
      <c r="B11" s="2340">
        <f ca="1">IF(C11&lt;B2,"已过期",1120100036)</f>
        <v>1120100036</v>
      </c>
      <c r="C11" s="3027">
        <v>43622</v>
      </c>
      <c r="D11" s="2340" t="s">
        <v>1921</v>
      </c>
      <c r="E11" s="2340">
        <f ca="1">IF(F11&lt;B2,"已过期",2010110070)</f>
        <v>2010110070</v>
      </c>
      <c r="F11" s="3028">
        <v>47907</v>
      </c>
    </row>
    <row r="12" spans="1:6" ht="20.25" customHeight="1">
      <c r="A12" s="2340" t="s">
        <v>2977</v>
      </c>
      <c r="B12" s="2340">
        <v>1120110054</v>
      </c>
      <c r="C12" s="3027">
        <v>43937</v>
      </c>
      <c r="D12" s="2340" t="s">
        <v>2977</v>
      </c>
      <c r="E12" s="2340">
        <v>2008110060</v>
      </c>
      <c r="F12" s="3028">
        <v>47177</v>
      </c>
    </row>
    <row r="13" spans="1:6" ht="20.25" customHeight="1">
      <c r="A13" s="2340" t="s">
        <v>1922</v>
      </c>
      <c r="B13" s="2340">
        <f ca="1">IF(C13&lt;B2,"已过期",1120070131)</f>
        <v>1120070131</v>
      </c>
      <c r="C13" s="3027">
        <v>43814</v>
      </c>
      <c r="D13" s="2340" t="s">
        <v>1922</v>
      </c>
      <c r="E13" s="2340">
        <v>2014110011</v>
      </c>
      <c r="F13" s="3028">
        <v>49302</v>
      </c>
    </row>
    <row r="14" spans="1:6" ht="20.25" customHeight="1">
      <c r="A14" s="2340" t="s">
        <v>1923</v>
      </c>
      <c r="B14" s="2340">
        <f ca="1">IF(C14&lt;B2,"已过期",1120130020)</f>
        <v>1120130020</v>
      </c>
      <c r="C14" s="3027">
        <v>43622</v>
      </c>
      <c r="D14" s="2340"/>
      <c r="E14" s="2340"/>
      <c r="F14" s="2340"/>
    </row>
    <row r="15" spans="1:6" ht="20.25" customHeight="1">
      <c r="A15" s="2340" t="s">
        <v>2573</v>
      </c>
      <c r="B15" s="2340">
        <v>1120070085</v>
      </c>
      <c r="C15" s="3027">
        <v>43814</v>
      </c>
      <c r="D15" s="2340" t="s">
        <v>2573</v>
      </c>
      <c r="E15" s="2340">
        <v>2004110128</v>
      </c>
      <c r="F15" s="3028">
        <v>47118</v>
      </c>
    </row>
    <row r="16" spans="1:6" ht="20.25" customHeight="1">
      <c r="A16" s="2340" t="s">
        <v>1924</v>
      </c>
      <c r="B16" s="2340">
        <f ca="1">IF(C16&lt;B2,"已过期",1120140022)</f>
        <v>1120140022</v>
      </c>
      <c r="C16" s="3027">
        <v>44029</v>
      </c>
      <c r="D16" s="2340" t="s">
        <v>1924</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1925</v>
      </c>
      <c r="E21" s="2340">
        <f ca="1">IF(F21&lt;B2,"已过期",2011110090)</f>
        <v>2011110090</v>
      </c>
      <c r="F21" s="3028">
        <v>48302</v>
      </c>
    </row>
    <row r="22" spans="1:7" ht="20.25" customHeight="1">
      <c r="A22" s="2340" t="s">
        <v>1926</v>
      </c>
      <c r="B22" s="2340" t="str">
        <f ca="1">IF(C22&lt;B2,"已过期",1120020033)</f>
        <v>已过期</v>
      </c>
      <c r="C22" s="3027">
        <v>43304</v>
      </c>
      <c r="D22" s="2340" t="s">
        <v>1926</v>
      </c>
      <c r="E22" s="2340">
        <f ca="1">IF(F22&lt;B2,"已过期",2000110137)</f>
        <v>2000110137</v>
      </c>
      <c r="F22" s="3028">
        <v>46387</v>
      </c>
    </row>
    <row r="23" spans="1:7" ht="20.25" customHeight="1">
      <c r="A23" s="2340" t="s">
        <v>1927</v>
      </c>
      <c r="B23" s="2340">
        <f ca="1">IF(C23&lt;B2,"已过期",1120130048)</f>
        <v>1120130048</v>
      </c>
      <c r="C23" s="3027">
        <v>43686</v>
      </c>
      <c r="D23" s="2340"/>
      <c r="E23" s="2340"/>
      <c r="F23" s="2340"/>
    </row>
    <row r="24" spans="1:7" s="2344" customFormat="1" ht="20.25" customHeight="1">
      <c r="A24" s="2342" t="s">
        <v>2054</v>
      </c>
      <c r="B24" s="2342" t="s">
        <v>2054</v>
      </c>
      <c r="C24" s="3027"/>
      <c r="D24" s="3029" t="s">
        <v>2054</v>
      </c>
      <c r="E24" s="2342" t="s">
        <v>2054</v>
      </c>
      <c r="F24" s="2343"/>
    </row>
    <row r="25" spans="1:7" ht="20.25" customHeight="1">
      <c r="A25" s="3245" t="s">
        <v>1928</v>
      </c>
      <c r="B25" s="3245"/>
      <c r="C25" s="3245"/>
      <c r="D25" s="3245"/>
      <c r="E25" s="3245"/>
      <c r="F25" s="3245"/>
      <c r="G25" s="3245"/>
    </row>
    <row r="26" spans="1:7" ht="20.25" customHeight="1">
      <c r="A26" s="3246" t="s">
        <v>1929</v>
      </c>
      <c r="B26" s="3246"/>
      <c r="C26" s="3246"/>
      <c r="D26" s="3246" t="s">
        <v>1930</v>
      </c>
      <c r="E26" s="3246"/>
      <c r="F26" s="3246"/>
    </row>
    <row r="27" spans="1:7" s="2348" customFormat="1" ht="20.25" customHeight="1">
      <c r="A27" s="2345" t="s">
        <v>1931</v>
      </c>
      <c r="B27" s="2346" t="s">
        <v>1932</v>
      </c>
      <c r="C27" s="2346" t="s">
        <v>1933</v>
      </c>
      <c r="D27" s="2347" t="s">
        <v>1931</v>
      </c>
      <c r="E27" s="2346" t="s">
        <v>1932</v>
      </c>
      <c r="F27" s="2346" t="s">
        <v>1933</v>
      </c>
    </row>
    <row r="28" spans="1:7" s="2348" customFormat="1" ht="20.25" customHeight="1">
      <c r="A28" s="2349" t="s">
        <v>1934</v>
      </c>
      <c r="B28" s="2349" t="s">
        <v>1935</v>
      </c>
      <c r="C28" s="2350">
        <v>43725</v>
      </c>
      <c r="D28" s="2349" t="s">
        <v>1936</v>
      </c>
      <c r="E28" s="2349" t="s">
        <v>1937</v>
      </c>
      <c r="F28" s="2351">
        <v>44377</v>
      </c>
    </row>
    <row r="29" spans="1:7" s="2348" customFormat="1" ht="20.25" customHeight="1">
      <c r="A29" s="2349"/>
      <c r="B29" s="2349"/>
      <c r="C29" s="2352"/>
      <c r="D29" s="2349" t="s">
        <v>1938</v>
      </c>
      <c r="E29" s="2353" t="s">
        <v>2941</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12" priority="82">
      <formula>AND($C24-TODAY()&lt;30,TODAY()&lt;$C24)</formula>
    </cfRule>
  </conditionalFormatting>
  <conditionalFormatting sqref="C28">
    <cfRule type="expression" dxfId="211" priority="81">
      <formula>AND($C28-TODAY()&lt;30,TODAY()&lt;$C28)</formula>
    </cfRule>
  </conditionalFormatting>
  <conditionalFormatting sqref="C28 F4">
    <cfRule type="cellIs" dxfId="210" priority="83" stopIfTrue="1" operator="lessThan">
      <formula>$B$2</formula>
    </cfRule>
  </conditionalFormatting>
  <conditionalFormatting sqref="F5">
    <cfRule type="cellIs" dxfId="209" priority="79" stopIfTrue="1" operator="lessThan">
      <formula>$B$2</formula>
    </cfRule>
  </conditionalFormatting>
  <conditionalFormatting sqref="F6 F8 F10">
    <cfRule type="cellIs" dxfId="208" priority="77" stopIfTrue="1" operator="lessThan">
      <formula>$B$2</formula>
    </cfRule>
  </conditionalFormatting>
  <conditionalFormatting sqref="C24:D24">
    <cfRule type="expression" dxfId="207" priority="75">
      <formula>AND($C24-TODAY()&lt;30,TODAY()&lt;$C24)</formula>
    </cfRule>
  </conditionalFormatting>
  <conditionalFormatting sqref="F7 F9 F11 C24:D24">
    <cfRule type="cellIs" dxfId="206" priority="76" stopIfTrue="1" operator="lessThan">
      <formula>$B$2</formula>
    </cfRule>
  </conditionalFormatting>
  <conditionalFormatting sqref="F16">
    <cfRule type="cellIs" dxfId="205" priority="49" stopIfTrue="1" operator="lessThan">
      <formula>$B$2</formula>
    </cfRule>
  </conditionalFormatting>
  <conditionalFormatting sqref="F18">
    <cfRule type="cellIs" dxfId="204" priority="48" stopIfTrue="1" operator="lessThan">
      <formula>$B$2</formula>
    </cfRule>
  </conditionalFormatting>
  <conditionalFormatting sqref="F22">
    <cfRule type="cellIs" dxfId="203" priority="47" stopIfTrue="1" operator="lessThan">
      <formula>$B$2</formula>
    </cfRule>
  </conditionalFormatting>
  <conditionalFormatting sqref="F21">
    <cfRule type="cellIs" dxfId="202" priority="46" stopIfTrue="1" operator="lessThan">
      <formula>$B$2</formula>
    </cfRule>
  </conditionalFormatting>
  <conditionalFormatting sqref="F17">
    <cfRule type="cellIs" dxfId="201" priority="45" stopIfTrue="1" operator="lessThan">
      <formula>$B$2</formula>
    </cfRule>
  </conditionalFormatting>
  <conditionalFormatting sqref="B4:B11 E4:E11 E16:E23 B16:B23 B13:B14 E13:E14">
    <cfRule type="cellIs" dxfId="200" priority="44" stopIfTrue="1" operator="equal">
      <formula>"已过期"</formula>
    </cfRule>
  </conditionalFormatting>
  <conditionalFormatting sqref="F28">
    <cfRule type="cellIs" dxfId="199" priority="41" stopIfTrue="1" operator="lessThan">
      <formula>$B$2</formula>
    </cfRule>
  </conditionalFormatting>
  <conditionalFormatting sqref="F29">
    <cfRule type="cellIs" dxfId="198" priority="39" stopIfTrue="1" operator="lessThan">
      <formula>$B$2</formula>
    </cfRule>
  </conditionalFormatting>
  <conditionalFormatting sqref="F28">
    <cfRule type="expression" dxfId="197" priority="85">
      <formula>AND($E28-TODAY()&lt;30,TODAY()&lt;$E28)</formula>
    </cfRule>
  </conditionalFormatting>
  <conditionalFormatting sqref="F29">
    <cfRule type="expression" dxfId="196" priority="86" stopIfTrue="1">
      <formula>AND($E29-TODAY()&lt;30,TODAY()&lt;$E29)</formula>
    </cfRule>
  </conditionalFormatting>
  <conditionalFormatting sqref="C5">
    <cfRule type="expression" dxfId="195" priority="36">
      <formula>AND($C5-TODAY()&lt;30,TODAY()&lt;$C5)</formula>
    </cfRule>
  </conditionalFormatting>
  <conditionalFormatting sqref="C5">
    <cfRule type="cellIs" dxfId="194" priority="37" stopIfTrue="1" operator="lessThan">
      <formula>$B$2</formula>
    </cfRule>
  </conditionalFormatting>
  <conditionalFormatting sqref="C4:C6">
    <cfRule type="expression" dxfId="193" priority="34">
      <formula>AND($C4-TODAY()&lt;30,TODAY()&lt;$C4)</formula>
    </cfRule>
  </conditionalFormatting>
  <conditionalFormatting sqref="C4:C6">
    <cfRule type="cellIs" dxfId="192" priority="35" stopIfTrue="1" operator="lessThan">
      <formula>$B$2</formula>
    </cfRule>
  </conditionalFormatting>
  <conditionalFormatting sqref="C8:C9">
    <cfRule type="expression" dxfId="191" priority="32">
      <formula>AND($C8-TODAY()&lt;30,TODAY()&lt;$C8)</formula>
    </cfRule>
  </conditionalFormatting>
  <conditionalFormatting sqref="C8:C9">
    <cfRule type="cellIs" dxfId="190" priority="33" stopIfTrue="1" operator="lessThan">
      <formula>$B$2</formula>
    </cfRule>
  </conditionalFormatting>
  <conditionalFormatting sqref="B15 E15">
    <cfRule type="cellIs" dxfId="189" priority="20" stopIfTrue="1" operator="equal">
      <formula>"已过期"</formula>
    </cfRule>
  </conditionalFormatting>
  <conditionalFormatting sqref="F15">
    <cfRule type="cellIs" dxfId="188" priority="17" stopIfTrue="1" operator="lessThan">
      <formula>$B$2</formula>
    </cfRule>
  </conditionalFormatting>
  <conditionalFormatting sqref="C7">
    <cfRule type="expression" dxfId="187" priority="15">
      <formula>AND($C7-TODAY()&lt;30,TODAY()&lt;$C7)</formula>
    </cfRule>
  </conditionalFormatting>
  <conditionalFormatting sqref="C7">
    <cfRule type="cellIs" dxfId="186" priority="16" stopIfTrue="1" operator="lessThan">
      <formula>$B$2</formula>
    </cfRule>
  </conditionalFormatting>
  <conditionalFormatting sqref="C10:C11 C13:C23">
    <cfRule type="expression" dxfId="185" priority="13">
      <formula>AND($C10-TODAY()&lt;30,TODAY()&lt;$C10)</formula>
    </cfRule>
  </conditionalFormatting>
  <conditionalFormatting sqref="C10:C11 C13:C23">
    <cfRule type="cellIs" dxfId="184" priority="14" stopIfTrue="1" operator="lessThan">
      <formula>$B$2</formula>
    </cfRule>
  </conditionalFormatting>
  <conditionalFormatting sqref="F13">
    <cfRule type="cellIs" dxfId="183" priority="12" stopIfTrue="1" operator="lessThan">
      <formula>$B$2</formula>
    </cfRule>
  </conditionalFormatting>
  <conditionalFormatting sqref="F12">
    <cfRule type="cellIs" dxfId="182" priority="4" stopIfTrue="1" operator="lessThan">
      <formula>$B$2</formula>
    </cfRule>
  </conditionalFormatting>
  <conditionalFormatting sqref="B12 E12">
    <cfRule type="cellIs" dxfId="181" priority="3" stopIfTrue="1" operator="equal">
      <formula>"已过期"</formula>
    </cfRule>
  </conditionalFormatting>
  <conditionalFormatting sqref="C12">
    <cfRule type="expression" dxfId="180" priority="1">
      <formula>AND($C12-TODAY()&lt;30,TODAY()&lt;$C12)</formula>
    </cfRule>
  </conditionalFormatting>
  <conditionalFormatting sqref="C1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ColWidth="9" defaultRowHeight="13.8"/>
  <cols>
    <col min="1" max="1" width="10.33203125" style="1184" customWidth="1"/>
    <col min="2" max="2" width="18.88671875" style="1162"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2" customWidth="1"/>
    <col min="25" max="25" width="7.21875" style="1162" customWidth="1"/>
    <col min="26" max="16384" width="9" style="1162"/>
  </cols>
  <sheetData>
    <row r="1" spans="1:23" s="1183" customFormat="1" ht="28.8">
      <c r="A1" s="966"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2544</v>
      </c>
      <c r="R1" s="2603" t="s">
        <v>2538</v>
      </c>
      <c r="S1" s="6" t="s">
        <v>146</v>
      </c>
      <c r="T1" s="7" t="s">
        <v>147</v>
      </c>
      <c r="U1" s="6" t="s">
        <v>148</v>
      </c>
      <c r="V1" s="6" t="s">
        <v>149</v>
      </c>
      <c r="W1" s="1003" t="s">
        <v>873</v>
      </c>
    </row>
    <row r="2" spans="1:23" ht="14.4">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ht="14.4">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2540</v>
      </c>
      <c r="S3" s="9" t="s">
        <v>84</v>
      </c>
      <c r="T3" s="9" t="s">
        <v>85</v>
      </c>
      <c r="U3" s="9" t="s">
        <v>84</v>
      </c>
      <c r="V3" s="9" t="s">
        <v>86</v>
      </c>
      <c r="W3" s="9" t="s">
        <v>875</v>
      </c>
    </row>
    <row r="4" spans="1:23" ht="14.4">
      <c r="A4" s="8" t="s">
        <v>87</v>
      </c>
      <c r="B4" s="8" t="s">
        <v>152</v>
      </c>
      <c r="C4" s="1548"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2541</v>
      </c>
      <c r="S4" s="9" t="s">
        <v>92</v>
      </c>
      <c r="T4" s="9" t="s">
        <v>93</v>
      </c>
      <c r="U4" s="9" t="s">
        <v>92</v>
      </c>
      <c r="W4" s="9" t="s">
        <v>876</v>
      </c>
    </row>
    <row r="5" spans="1:23" ht="14.4">
      <c r="A5" s="8" t="s">
        <v>94</v>
      </c>
      <c r="B5" s="8" t="s">
        <v>153</v>
      </c>
      <c r="C5" s="1548" t="s">
        <v>1712</v>
      </c>
      <c r="F5" s="9" t="s">
        <v>95</v>
      </c>
      <c r="H5" s="9" t="s">
        <v>70</v>
      </c>
      <c r="I5" s="9" t="s">
        <v>96</v>
      </c>
      <c r="K5" s="9" t="s">
        <v>97</v>
      </c>
      <c r="L5" s="9" t="s">
        <v>97</v>
      </c>
      <c r="M5" s="9" t="s">
        <v>97</v>
      </c>
      <c r="N5" s="9" t="s">
        <v>97</v>
      </c>
      <c r="O5" s="9" t="s">
        <v>97</v>
      </c>
      <c r="P5" s="1005" t="s">
        <v>545</v>
      </c>
      <c r="Q5" s="9" t="s">
        <v>97</v>
      </c>
      <c r="R5" s="1005" t="s">
        <v>2542</v>
      </c>
      <c r="S5" s="9" t="s">
        <v>97</v>
      </c>
      <c r="T5" s="9" t="s">
        <v>98</v>
      </c>
      <c r="U5" s="9" t="s">
        <v>97</v>
      </c>
      <c r="W5" s="9" t="s">
        <v>877</v>
      </c>
    </row>
    <row r="6" spans="1:23" ht="14.4">
      <c r="A6" s="8" t="s">
        <v>99</v>
      </c>
      <c r="B6" s="1148" t="s">
        <v>1640</v>
      </c>
      <c r="C6" s="1550" t="s">
        <v>1713</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ht="14.4">
      <c r="A7" s="8" t="s">
        <v>102</v>
      </c>
      <c r="B7" s="8" t="s">
        <v>103</v>
      </c>
      <c r="C7" s="1548" t="s">
        <v>1714</v>
      </c>
      <c r="F7" s="9" t="s">
        <v>154</v>
      </c>
      <c r="H7" s="9" t="s">
        <v>104</v>
      </c>
      <c r="I7" s="9" t="s">
        <v>105</v>
      </c>
    </row>
    <row r="8" spans="1:23" ht="14.4">
      <c r="A8" s="8" t="s">
        <v>106</v>
      </c>
      <c r="B8" s="8" t="s">
        <v>107</v>
      </c>
      <c r="C8" s="1548" t="s">
        <v>1715</v>
      </c>
      <c r="F8" s="9" t="s">
        <v>155</v>
      </c>
      <c r="H8" s="9"/>
      <c r="I8" s="9" t="s">
        <v>108</v>
      </c>
    </row>
    <row r="9" spans="1:23" ht="14.4">
      <c r="A9" s="8" t="s">
        <v>109</v>
      </c>
      <c r="B9" s="8" t="s">
        <v>156</v>
      </c>
      <c r="C9" s="1548" t="s">
        <v>1716</v>
      </c>
      <c r="F9" s="9" t="s">
        <v>110</v>
      </c>
      <c r="H9" s="9"/>
    </row>
    <row r="10" spans="1:23" ht="14.4">
      <c r="A10" s="8" t="s">
        <v>111</v>
      </c>
      <c r="B10" s="8" t="s">
        <v>157</v>
      </c>
      <c r="C10" s="1548" t="s">
        <v>1717</v>
      </c>
      <c r="F10" s="9" t="s">
        <v>6</v>
      </c>
    </row>
    <row r="11" spans="1:23" ht="14.4">
      <c r="A11" s="8" t="s">
        <v>112</v>
      </c>
      <c r="B11" s="8" t="s">
        <v>158</v>
      </c>
      <c r="C11" s="1548" t="s">
        <v>1718</v>
      </c>
    </row>
    <row r="12" spans="1:23" ht="14.4">
      <c r="A12" s="8" t="s">
        <v>113</v>
      </c>
      <c r="B12" s="8" t="s">
        <v>159</v>
      </c>
      <c r="C12" s="1548" t="s">
        <v>1719</v>
      </c>
    </row>
    <row r="13" spans="1:23" ht="14.4">
      <c r="A13" s="8" t="s">
        <v>114</v>
      </c>
      <c r="B13" s="8" t="s">
        <v>160</v>
      </c>
      <c r="C13" s="1548" t="s">
        <v>1720</v>
      </c>
    </row>
    <row r="14" spans="1:23" ht="14.4">
      <c r="A14" s="8" t="s">
        <v>115</v>
      </c>
      <c r="B14" s="8" t="s">
        <v>161</v>
      </c>
      <c r="C14" s="1551" t="s">
        <v>1896</v>
      </c>
    </row>
    <row r="15" spans="1:23" ht="14.4">
      <c r="A15" s="8" t="s">
        <v>116</v>
      </c>
      <c r="B15" s="8" t="s">
        <v>1681</v>
      </c>
      <c r="C15" s="1551"/>
    </row>
    <row r="16" spans="1:23" ht="14.4">
      <c r="A16" s="8" t="s">
        <v>117</v>
      </c>
      <c r="B16" s="8" t="s">
        <v>1682</v>
      </c>
      <c r="C16" s="1551"/>
    </row>
    <row r="17" spans="1:3" ht="14.4">
      <c r="A17" s="8" t="s">
        <v>118</v>
      </c>
      <c r="B17" s="8" t="s">
        <v>1683</v>
      </c>
      <c r="C17" s="1551"/>
    </row>
    <row r="18" spans="1:3" ht="14.4">
      <c r="A18" s="8" t="s">
        <v>119</v>
      </c>
      <c r="B18" s="3137" t="s">
        <v>2954</v>
      </c>
      <c r="C18" s="1551"/>
    </row>
    <row r="19" spans="1:3" ht="14.4">
      <c r="A19" s="8" t="s">
        <v>120</v>
      </c>
      <c r="B19" s="3137" t="s">
        <v>2962</v>
      </c>
      <c r="C19" s="1551"/>
    </row>
    <row r="20" spans="1:3" ht="14.4">
      <c r="A20" s="8" t="s">
        <v>121</v>
      </c>
      <c r="B20" s="8" t="s">
        <v>1641</v>
      </c>
      <c r="C20" s="1551"/>
    </row>
    <row r="21" spans="1:3" ht="14.4">
      <c r="A21" s="8" t="s">
        <v>122</v>
      </c>
      <c r="B21" s="8" t="s">
        <v>1641</v>
      </c>
      <c r="C21" s="1551"/>
    </row>
    <row r="22" spans="1:3" ht="14.4">
      <c r="A22" s="8" t="s">
        <v>123</v>
      </c>
      <c r="B22" s="8" t="s">
        <v>1641</v>
      </c>
      <c r="C22" s="1551"/>
    </row>
    <row r="23" spans="1:3" ht="14.4">
      <c r="A23" s="8" t="s">
        <v>124</v>
      </c>
      <c r="B23" s="8" t="s">
        <v>1641</v>
      </c>
      <c r="C23" s="1551"/>
    </row>
    <row r="24" spans="1:3">
      <c r="A24" s="8" t="s">
        <v>12</v>
      </c>
      <c r="B24" s="8" t="s">
        <v>1641</v>
      </c>
      <c r="C24" s="1551"/>
    </row>
    <row r="25" spans="1:3" ht="14.4">
      <c r="A25" s="8" t="s">
        <v>125</v>
      </c>
      <c r="B25" s="8" t="s">
        <v>1641</v>
      </c>
      <c r="C25" s="1551"/>
    </row>
    <row r="26" spans="1:3" ht="14.4">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西安融创胤达置业有限公司拟使用陕西省西安市新城区“东方宸院”项目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1987</v>
      </c>
      <c r="B52" s="1765" t="s">
        <v>1988</v>
      </c>
      <c r="C52" s="1763" t="s">
        <v>1989</v>
      </c>
      <c r="D52" s="1763" t="s">
        <v>1990</v>
      </c>
      <c r="E52" s="1764"/>
    </row>
    <row r="53" spans="1:5">
      <c r="A53" s="3247" t="s">
        <v>1991</v>
      </c>
      <c r="B53" s="1763" t="s">
        <v>1997</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11日，在规划利用条件下、设定土地开发程度为红线外“七通”、宗地内场地，设定用途为住宅，剩余土地使用年限为的出让国有建设用地使用权价格。</v>
      </c>
      <c r="D53" s="1764"/>
      <c r="E53" s="1764"/>
    </row>
    <row r="54" spans="1:5">
      <c r="A54" s="3247"/>
      <c r="B54" s="1763" t="s">
        <v>1998</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47"/>
      <c r="B55" s="1763" t="s">
        <v>1992</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47"/>
      <c r="B56" s="1763" t="s">
        <v>1993</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47"/>
      <c r="B57" s="1763" t="s">
        <v>1994</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ht="14.4">
      <c r="A58" s="1766" t="s">
        <v>2050</v>
      </c>
      <c r="B58" s="1763"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不动产收益法-商业</vt:lpstr>
      <vt:lpstr>酒店收入计算</vt:lpstr>
      <vt:lpstr>成本逼近法</vt:lpstr>
      <vt:lpstr>不动产比较法-洋房</vt:lpstr>
      <vt:lpstr>不动产比较法-高层</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2019-02-28T09:43:58Z</dcterms:modified>
</cp:coreProperties>
</file>