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3365" windowHeight="14025" tabRatio="837" firstSheet="32"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3" i="73"/>
  <c r="F13" i="73"/>
  <c r="E13" i="73"/>
  <c r="D3" i="4"/>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6" i="73"/>
  <c r="F16" i="73"/>
  <c r="E16"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E11" i="76"/>
  <c r="F4" i="73"/>
  <c r="M23" i="67"/>
  <c r="E13" i="76"/>
  <c r="E12" i="76"/>
  <c r="M27" i="15"/>
  <c r="F38" i="15"/>
  <c r="D20" i="9"/>
  <c r="D7" i="73"/>
  <c r="F20" i="31"/>
  <c r="F37" i="15"/>
  <c r="D5" i="73"/>
  <c r="M29" i="15"/>
  <c r="AO10" i="1"/>
  <c r="M28" i="15"/>
  <c r="F40" i="15"/>
  <c r="F41" i="15"/>
  <c r="D2" i="36"/>
  <c r="AO7" i="1"/>
  <c r="D34" i="9"/>
  <c r="AO12" i="1"/>
  <c r="E7" i="76"/>
  <c r="B11" i="76"/>
  <c r="M8" i="15"/>
  <c r="F13" i="67"/>
  <c r="C76" i="15"/>
  <c r="F42" i="15"/>
  <c r="F40" i="67"/>
  <c r="AO11" i="1"/>
  <c r="B9" i="76"/>
  <c r="M22" i="15"/>
  <c r="F5" i="73"/>
  <c r="F6" i="67"/>
  <c r="B13" i="76"/>
  <c r="F16" i="15"/>
  <c r="F7" i="67"/>
  <c r="F8" i="15"/>
  <c r="M6" i="67"/>
  <c r="F38" i="67"/>
  <c r="M23" i="15"/>
  <c r="M8" i="67"/>
  <c r="M6" i="15"/>
  <c r="J15" i="15"/>
  <c r="E8" i="76"/>
  <c r="F43" i="67"/>
  <c r="AO13" i="1"/>
  <c r="D2" i="37"/>
  <c r="F3" i="73"/>
  <c r="F13" i="15"/>
  <c r="M9" i="15"/>
  <c r="D2" i="34"/>
  <c r="L48" i="15"/>
  <c r="E62" i="43" l="1"/>
  <c r="B60" i="43" s="1"/>
  <c r="C28" i="43" s="1"/>
  <c r="D123" i="43"/>
  <c r="E123" i="43" s="1"/>
  <c r="F123" i="43" s="1"/>
  <c r="G123" i="43" s="1"/>
  <c r="H123" i="43" s="1"/>
  <c r="D26" i="43"/>
  <c r="D12" i="52"/>
  <c r="D127" i="9"/>
  <c r="D13" i="52"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S7" i="33" l="1"/>
  <c r="C18" i="67"/>
  <c r="C15" i="67"/>
  <c r="S10" i="40"/>
  <c r="J10" i="39"/>
  <c r="W10" i="39" s="1"/>
  <c r="H10" i="40"/>
  <c r="AB10" i="40" s="1"/>
  <c r="J10" i="40"/>
  <c r="AC10" i="40" s="1"/>
  <c r="H10" i="39"/>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W10" i="40" l="1"/>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C37" i="15"/>
  <c r="Q70" i="15"/>
  <c r="F35" i="67"/>
  <c r="M21" i="67"/>
  <c r="M21" i="15"/>
  <c r="F35" i="15"/>
  <c r="Q48" i="15" l="1"/>
  <c r="F63" i="15"/>
  <c r="C62" i="15" s="1"/>
  <c r="C59" i="15" s="1"/>
  <c r="C58" i="15" s="1"/>
  <c r="C67" i="15" s="1"/>
  <c r="C68" i="15" s="1"/>
  <c r="C71" i="15" s="1"/>
  <c r="C34" i="15"/>
  <c r="C31" i="15" s="1"/>
  <c r="C30" i="15" s="1"/>
  <c r="C39" i="15" s="1"/>
  <c r="C40"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L57" i="67" l="1"/>
  <c r="L60" i="67" s="1"/>
  <c r="Q57" i="67" s="1"/>
  <c r="Q67" i="67"/>
  <c r="Q69" i="15"/>
  <c r="Q68" i="15" s="1"/>
  <c r="C80" i="15"/>
  <c r="C79" i="15" s="1"/>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6" i="15"/>
  <c r="Q56" i="15"/>
  <c r="B2" i="15"/>
  <c r="B3" i="15" s="1"/>
  <c r="Q47" i="15"/>
  <c r="Q53" i="15" s="1"/>
  <c r="Q65" i="15"/>
  <c r="C43" i="15"/>
  <c r="C83" i="15"/>
  <c r="C82" i="15" s="1"/>
  <c r="L51" i="15"/>
  <c r="Q67" i="15" l="1"/>
  <c r="L57" i="15"/>
  <c r="L60" i="15" s="1"/>
  <c r="Q66" i="15" s="1"/>
  <c r="Q75" i="15" s="1"/>
  <c r="C31" i="68"/>
  <c r="Q66" i="67"/>
  <c r="C43" i="67"/>
  <c r="Q65" i="67"/>
  <c r="C83" i="67"/>
  <c r="C82" i="67" s="1"/>
  <c r="Q47" i="67"/>
  <c r="Q53" i="67" s="1"/>
  <c r="C45" i="67"/>
  <c r="C46" i="67" s="1"/>
  <c r="Q56" i="67"/>
  <c r="Q62" i="67" s="1"/>
  <c r="D2" i="67"/>
  <c r="Q57" i="15"/>
  <c r="C49" i="68"/>
  <c r="C51" i="68" s="1"/>
  <c r="C49" i="69"/>
  <c r="C51" i="69" s="1"/>
  <c r="C31" i="69"/>
  <c r="C56" i="11"/>
  <c r="C57" i="11" s="1"/>
  <c r="E6" i="71"/>
  <c r="B5" i="71"/>
  <c r="M63" i="40"/>
  <c r="L65" i="40"/>
  <c r="N52" i="37"/>
  <c r="O52" i="37" s="1"/>
  <c r="L70" i="39"/>
  <c r="M68" i="39"/>
  <c r="D16" i="71"/>
  <c r="C15" i="71"/>
  <c r="Q62" i="15"/>
  <c r="C52" i="68" l="1"/>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F14" i="74"/>
  <c r="E14" i="74"/>
  <c r="H4" i="52"/>
  <c r="C104" i="9"/>
  <c r="D6" i="74"/>
  <c r="C6" i="74"/>
  <c r="N61" i="9"/>
  <c r="N60" i="9"/>
  <c r="B30" i="72"/>
  <c r="N59" i="9"/>
  <c r="B31" i="72"/>
  <c r="B53" i="72"/>
  <c r="B52" i="72"/>
  <c r="C81" i="9"/>
  <c r="B51" i="72"/>
  <c r="B49" i="72"/>
  <c r="C73" i="9"/>
  <c r="D53" i="9"/>
  <c r="C78" i="9"/>
  <c r="D52" i="9"/>
  <c r="I4" i="52"/>
  <c r="C105" i="9"/>
  <c r="N58" i="9"/>
  <c r="N57" i="9"/>
  <c r="P57" i="9"/>
  <c r="D5" i="74"/>
  <c r="D14" i="74"/>
  <c r="B5" i="74"/>
  <c r="C5" i="74"/>
  <c r="L66" i="9"/>
  <c r="M66" i="9"/>
  <c r="N69" i="9"/>
  <c r="M55" i="9"/>
  <c r="M69" i="9"/>
  <c r="E81" i="9"/>
  <c r="L63" i="9"/>
  <c r="M63" i="9"/>
  <c r="D9" i="52"/>
  <c r="D4" i="52"/>
  <c r="B47" i="72"/>
  <c r="L65" i="9"/>
  <c r="M65" i="9"/>
  <c r="D123" i="9"/>
  <c r="D8" i="52"/>
  <c r="M48" i="9"/>
  <c r="B20" i="72"/>
  <c r="H108" i="9"/>
  <c r="D15" i="53"/>
  <c r="C80" i="9"/>
  <c r="E80" i="9"/>
  <c r="L67" i="9"/>
  <c r="M67" i="9"/>
  <c r="C72" i="9"/>
  <c r="C79" i="9"/>
  <c r="M54" i="9"/>
  <c r="C93" i="9"/>
  <c r="C86" i="9"/>
  <c r="F4" i="52"/>
  <c r="D59" i="9"/>
  <c r="D56" i="9"/>
  <c r="L64" i="9"/>
  <c r="M64" i="9"/>
  <c r="D55" i="9"/>
  <c r="M53" i="9"/>
  <c r="E97" i="9"/>
  <c r="G4" i="52"/>
  <c r="G118" i="9"/>
  <c r="F118" i="9"/>
  <c r="F119" i="9"/>
  <c r="F5" i="52"/>
  <c r="D13" i="53"/>
  <c r="D14" i="53"/>
  <c r="B32" i="72"/>
  <c r="B48" i="72"/>
  <c r="E4" i="52"/>
  <c r="C68" i="9"/>
  <c r="D54" i="9"/>
  <c r="D5" i="53"/>
  <c r="D6" i="53"/>
  <c r="B22" i="72"/>
  <c r="B21" i="72"/>
  <c r="C67" i="9"/>
  <c r="H119" i="9"/>
  <c r="H5" i="52"/>
  <c r="C97" i="9"/>
  <c r="D58" i="9"/>
  <c r="C85" i="9"/>
  <c r="C95" i="9"/>
  <c r="C96" i="9"/>
  <c r="E96" i="9"/>
  <c r="D122" i="9"/>
  <c r="G14" i="74"/>
  <c r="B6" i="74"/>
  <c r="H102" i="9"/>
  <c r="D7" i="53"/>
  <c r="H107" i="9"/>
  <c r="M49" i="9"/>
  <c r="L68" i="9"/>
  <c r="M68" i="9"/>
  <c r="H101" i="9"/>
  <c r="D45" i="9"/>
  <c r="C64" i="9"/>
  <c r="C63"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<sst xmlns="http://schemas.openxmlformats.org/spreadsheetml/2006/main" count="7729" uniqueCount="3115">
  <si>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</si>
  <si>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</si>
  <si>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</si>
  <si>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</si>
  <si>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</si>
  <si>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</si>
  <si>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</si>
  <si>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</si>
  <si>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</si>
  <si>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</si>
  <si>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</si>
  <si>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</si>
  <si>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</si>
  <si>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</si>
  <si>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</si>
  <si>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</si>
  <si>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</si>
  <si>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</si>
  <si>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</si>
  <si>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</si>
  <si>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</si>
  <si>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</si>
  <si>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</si>
  <si>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</si>
  <si>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</si>
  <si>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</si>
  <si>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</si>
  <si>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</si>
  <si>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</si>
  <si>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</si>
  <si>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</si>
  <si>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</si>
  <si>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</si>
  <si>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</si>
  <si>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</si>
  <si>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</si>
  <si>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</si>
  <si>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</si>
  <si>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</si>
  <si>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</si>
  <si>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</si>
  <si>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</si>
  <si>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</si>
  <si>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</si>
  <si>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</si>
  <si>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</si>
  <si>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</si>
  <si>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</si>
  <si>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</si>
  <si>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</si>
  <si>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</si>
  <si>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</si>
  <si>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</si>
  <si>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</si>
  <si>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</si>
  <si>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</si>
  <si>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</si>
  <si>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</si>
  <si>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</si>
  <si>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</si>
  <si>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</si>
  <si>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</si>
  <si>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</si>
  <si>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</si>
  <si>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</si>
  <si>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</si>
  <si>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</si>
  <si>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</si>
  <si>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</si>
  <si>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</si>
  <si>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</si>
  <si>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</si>
  <si>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</si>
  <si>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</si>
  <si>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</si>
  <si>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</si>
  <si>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</si>
  <si>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</si>
  <si>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</si>
  <si>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</si>
  <si>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</si>
  <si>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</si>
  <si>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</si>
  <si>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</si>
  <si>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</si>
  <si>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</si>
  <si>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</si>
  <si>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</si>
  <si>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</si>
  <si>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</si>
  <si>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</si>
  <si>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</si>
  <si>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</si>
  <si>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</si>
  <si>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</si>
  <si>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</si>
  <si>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</si>
  <si>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</si>
  <si>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</si>
  <si>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</si>
  <si>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</si>
  <si>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</si>
  <si>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</si>
  <si>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</si>
  <si>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</si>
  <si>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</si>
  <si>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</si>
  <si>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</si>
  <si>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</si>
  <si>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</si>
  <si>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</si>
  <si>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</si>
  <si>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</si>
  <si>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</si>
  <si>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</si>
  <si>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</si>
  <si>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</si>
  <si>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</si>
  <si>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</si>
  <si>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</si>
  <si>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</si>
  <si>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</si>
  <si>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</si>
  <si>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</si>
  <si>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</si>
  <si>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</si>
  <si>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</si>
  <si>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</si>
  <si>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</si>
  <si>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</si>
  <si>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</si>
  <si>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</si>
  <si>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</si>
  <si>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</si>
  <si>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</si>
  <si>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</si>
  <si>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</si>
  <si>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</si>
  <si>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</si>
  <si>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</si>
  <si>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</si>
  <si>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</si>
  <si>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</si>
  <si>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</si>
  <si>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</si>
  <si>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</si>
  <si>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</si>
  <si>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</si>
  <si>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</si>
  <si>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</si>
  <si>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</si>
  <si>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</si>
  <si>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</si>
  <si>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</si>
  <si>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</si>
  <si>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</si>
  <si>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</si>
  <si>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</si>
  <si>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</si>
  <si>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</si>
  <si>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</si>
  <si>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</si>
  <si>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</si>
  <si>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</si>
  <si>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</si>
  <si>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</si>
  <si>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</si>
  <si>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</si>
  <si>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</si>
  <si>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</si>
  <si>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</si>
  <si>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</si>
  <si>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</si>
  <si>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</si>
  <si>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</si>
  <si>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</si>
  <si>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</si>
  <si>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</si>
  <si>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</si>
  <si>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</si>
  <si>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</si>
  <si>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</si>
  <si>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</si>
  <si>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</si>
  <si>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</si>
  <si>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</si>
  <si>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</si>
  <si>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</si>
  <si>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</si>
  <si>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</si>
  <si>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</si>
  <si>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</si>
  <si>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</si>
  <si>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</si>
  <si>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</si>
  <si>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</si>
  <si>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</si>
  <si>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</si>
  <si>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</si>
  <si>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</si>
  <si>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</si>
  <si>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</si>
  <si>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</si>
  <si>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</si>
  <si>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</si>
  <si>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</si>
  <si>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</si>
  <si>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</si>
  <si>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</si>
  <si>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</si>
  <si>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</si>
  <si>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</si>
  <si>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</si>
  <si>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</si>
  <si>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</si>
  <si>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</si>
  <si>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</si>
  <si>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</si>
  <si>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</si>
  <si>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</si>
  <si>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</si>
  <si>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</si>
  <si>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</si>
  <si>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</si>
  <si>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</si>
  <si>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</si>
  <si>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</si>
  <si>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</si>
  <si>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</si>
  <si>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</si>
  <si>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</si>
  <si>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</si>
  <si>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</si>
  <si>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</si>
  <si>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</si>
  <si>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</si>
  <si>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</si>
  <si>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</si>
  <si>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</si>
  <si>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</si>
  <si>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</si>
  <si>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</si>
  <si>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</si>
  <si>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</si>
  <si>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</si>
  <si>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</si>
  <si>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</si>
  <si>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</si>
  <si>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</si>
  <si>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</si>
  <si>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</si>
  <si>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</si>
  <si>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</si>
  <si>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</si>
  <si>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</si>
  <si>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</si>
  <si>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</si>
  <si>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</si>
  <si>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</si>
  <si>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</si>
  <si>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</si>
  <si>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</si>
  <si>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</si>
  <si>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</si>
  <si>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</si>
  <si>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</si>
  <si>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</si>
  <si>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</si>
  <si>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</si>
  <si>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</si>
  <si>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</si>
  <si>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</si>
  <si>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</si>
  <si>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</si>
  <si>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</si>
  <si>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</si>
  <si>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</si>
  <si>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</si>
  <si>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</si>
  <si>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</si>
  <si>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</si>
  <si>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</si>
  <si>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</si>
  <si>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</si>
  <si>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</si>
  <si>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</si>
  <si>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</si>
  <si>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</si>
  <si>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</si>
  <si>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</si>
  <si>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</si>
  <si>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</si>
  <si>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</si>
  <si>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</si>
  <si>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</si>
  <si>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</si>
  <si>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</si>
  <si>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</si>
  <si>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</si>
  <si>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</si>
  <si>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</si>
  <si>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</si>
  <si>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</si>
  <si>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</si>
  <si>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</si>
  <si>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</si>
  <si>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</si>
  <si>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</si>
  <si>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</si>
  <si>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</si>
  <si>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</si>
  <si>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</si>
  <si>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</si>
  <si>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</si>
  <si>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</si>
  <si>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</si>
  <si>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</si>
  <si>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</si>
  <si>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</si>
  <si>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</si>
  <si>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</si>
  <si>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</si>
  <si>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</si>
  <si>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</si>
  <si>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</si>
  <si>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</si>
  <si>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</si>
  <si>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</si>
  <si>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</si>
  <si>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</si>
  <si>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</si>
  <si>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</si>
  <si>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</si>
  <si>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</si>
  <si>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</si>
  <si>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</si>
  <si>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</si>
  <si>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</si>
  <si>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</si>
  <si>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</si>
  <si>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</si>
  <si>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</si>
  <si>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</si>
  <si>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</si>
  <si>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</si>
  <si>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</si>
  <si>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</si>
  <si>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</si>
  <si>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</si>
  <si>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</si>
  <si>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</si>
  <si>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</si>
  <si>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</si>
  <si>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</si>
  <si>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</si>
  <si>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</si>
  <si>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</si>
  <si>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</si>
  <si>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</si>
  <si>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</si>
  <si>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</si>
  <si>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</si>
  <si>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</si>
  <si>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</si>
  <si>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</si>
  <si>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</si>
  <si>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</si>
  <si>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</si>
  <si>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</si>
  <si>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</si>
  <si>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</si>
  <si>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</si>
  <si>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</si>
  <si>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</si>
  <si>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</si>
  <si>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</si>
  <si>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</si>
  <si>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</si>
  <si>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</si>
  <si>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</si>
  <si>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</si>
  <si>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</si>
  <si>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</si>
  <si>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</si>
  <si>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</si>
  <si>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</si>
  <si>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</si>
  <si>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</si>
  <si>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</si>
  <si>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</si>
  <si>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</si>
  <si>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</si>
  <si>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</si>
  <si>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</si>
  <si>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</si>
  <si>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</si>
  <si>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</si>
  <si>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</si>
  <si>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</si>
  <si>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</si>
  <si>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</si>
  <si>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</si>
  <si>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</si>
  <si>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</si>
  <si>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</si>
  <si>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</si>
  <si>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</si>
  <si>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</si>
  <si>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</si>
  <si>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</si>
  <si>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</si>
  <si>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</si>
  <si>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</si>
  <si>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</si>
  <si>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</si>
  <si>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</si>
  <si>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</si>
  <si>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</si>
  <si>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</si>
  <si>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</si>
  <si>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</si>
  <si>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</si>
  <si>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</si>
  <si>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</si>
  <si>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</si>
  <si>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</si>
  <si>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</si>
  <si>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</si>
  <si>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</si>
  <si>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</si>
  <si>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</si>
  <si>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</si>
  <si>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</si>
  <si>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</si>
  <si>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</si>
  <si>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</si>
  <si>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</si>
  <si>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</si>
  <si>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</si>
  <si>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</si>
  <si>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</si>
  <si>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</si>
  <si>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</si>
  <si>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</si>
  <si>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</si>
  <si>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</si>
  <si>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</si>
  <si>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</si>
  <si>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</si>
  <si>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</si>
  <si>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</si>
  <si>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</si>
  <si>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</si>
  <si>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</si>
  <si>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</si>
  <si>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</si>
  <si>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</si>
  <si>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</si>
  <si>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</si>
  <si>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</si>
  <si>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</si>
  <si>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</si>
  <si>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</si>
  <si>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</si>
  <si>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</si>
  <si>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</si>
  <si>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</si>
  <si>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</si>
  <si>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</si>
  <si>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</si>
  <si>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</si>
  <si>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</si>
  <si>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</si>
  <si>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</si>
  <si>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</si>
  <si>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</si>
  <si>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</si>
  <si>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</si>
  <si>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</si>
  <si>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</si>
  <si>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</si>
  <si>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</si>
  <si>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</si>
  <si>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</si>
  <si>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</si>
  <si>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</si>
  <si>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</si>
  <si>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</si>
  <si>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</si>
  <si>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</si>
  <si>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</si>
  <si>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</si>
  <si>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</si>
  <si>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</si>
  <si>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</si>
  <si>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</si>
  <si>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</si>
  <si>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</si>
  <si>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</si>
  <si>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</si>
  <si>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</si>
  <si>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</si>
  <si>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</si>
  <si>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</si>
  <si>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</si>
  <si>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</si>
  <si>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</si>
  <si>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</si>
  <si>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</si>
  <si>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</si>
  <si>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</si>
  <si>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</si>
  <si>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</si>
  <si>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</si>
  <si>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</si>
  <si>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</si>
  <si>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</si>
  <si>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</si>
  <si>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</si>
  <si>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</si>
  <si>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</si>
  <si>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</si>
  <si>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</si>
  <si>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</si>
  <si>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</si>
  <si>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</si>
  <si>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</si>
  <si>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</si>
  <si>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</si>
  <si>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</si>
  <si>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</si>
  <si>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</si>
  <si>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</si>
  <si>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</si>
  <si>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</si>
  <si>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</si>
  <si>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</si>
  <si>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</si>
  <si>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</si>
  <si>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</si>
  <si>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</si>
  <si>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</si>
  <si>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</si>
  <si>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</si>
  <si>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</si>
  <si>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</si>
  <si>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</si>
  <si>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</si>
  <si>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</si>
  <si>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</si>
  <si>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</si>
  <si>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</si>
  <si>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</si>
  <si>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</si>
  <si>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</si>
  <si>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</si>
  <si>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</si>
  <si>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</si>
  <si>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</si>
  <si>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</si>
  <si>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</si>
  <si>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</si>
  <si>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</si>
  <si>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</si>
  <si>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</si>
  <si>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</si>
  <si>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</si>
  <si>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</si>
  <si>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</si>
  <si>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</si>
  <si>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</si>
  <si>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</si>
  <si>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</si>
  <si>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</si>
  <si>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</si>
  <si>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</si>
  <si>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</si>
  <si>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</si>
  <si>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</si>
  <si>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</si>
  <si>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</si>
  <si>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</si>
  <si>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</si>
  <si>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</si>
  <si>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</si>
  <si>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</si>
  <si>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</si>
  <si>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</si>
  <si>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</si>
  <si>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</si>
  <si>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</si>
  <si>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</si>
  <si>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</si>
  <si>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</si>
  <si>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</si>
  <si>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</si>
  <si>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</si>
  <si>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</si>
  <si>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</si>
  <si>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</si>
  <si>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</si>
  <si>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</si>
  <si>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</si>
  <si>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</si>
  <si>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</si>
  <si>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</si>
  <si>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</si>
  <si>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</si>
  <si>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</si>
  <si>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</si>
  <si>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</si>
  <si>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</si>
  <si>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</si>
  <si>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</si>
  <si>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</si>
  <si>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</si>
  <si>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</si>
  <si>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</si>
  <si>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</si>
  <si>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</si>
  <si>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</si>
  <si>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</si>
  <si>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</si>
  <si>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</si>
  <si>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</si>
  <si>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</si>
  <si>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</si>
  <si>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</si>
  <si>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</si>
  <si>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</si>
  <si>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</si>
  <si>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</si>
  <si>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</si>
  <si>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</si>
  <si>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</si>
  <si>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</si>
  <si>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</si>
  <si>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</si>
  <si>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</si>
  <si>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</si>
  <si>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</si>
  <si>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</si>
  <si>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</si>
  <si>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</si>
  <si>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</si>
  <si>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</si>
  <si>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</si>
  <si>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</si>
  <si>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</si>
  <si>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</si>
  <si>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</si>
  <si>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</si>
  <si>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</si>
  <si>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</si>
  <si>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</si>
  <si>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</si>
  <si>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</si>
  <si>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</si>
  <si>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</si>
  <si>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</si>
  <si>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</si>
  <si>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</si>
  <si>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</si>
  <si>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</si>
  <si>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</si>
  <si>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</si>
  <si>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</si>
  <si>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</si>
  <si>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</si>
  <si>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</si>
  <si>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</si>
  <si>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</si>
  <si>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</si>
  <si>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</si>
  <si>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</si>
  <si>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</si>
  <si>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</si>
  <si>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</si>
  <si>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</si>
  <si>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</si>
  <si>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</si>
  <si>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</si>
  <si>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</si>
  <si>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</si>
  <si>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</si>
  <si>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</si>
  <si>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</si>
  <si>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</si>
  <si>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</si>
  <si>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</si>
  <si>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</si>
  <si>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</si>
  <si>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</si>
  <si>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</si>
  <si>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</si>
  <si>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</si>
  <si>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</si>
  <si>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</si>
  <si>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</si>
  <si>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</si>
  <si>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</si>
  <si>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</si>
  <si>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</si>
  <si>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</si>
  <si>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</si>
  <si>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</si>
  <si>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</si>
  <si>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</si>
  <si>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</si>
  <si>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</si>
  <si>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</si>
  <si>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</si>
  <si>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</si>
  <si>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</si>
  <si>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</si>
  <si>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</si>
  <si>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</si>
  <si>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</si>
  <si>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</si>
  <si>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</si>
  <si>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</si>
  <si>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</si>
  <si>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</si>
  <si>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</si>
  <si>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</si>
  <si>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</si>
  <si>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</si>
  <si>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</si>
  <si>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</si>
  <si>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</si>
  <si>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</si>
  <si>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</si>
  <si>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</si>
  <si>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</si>
  <si>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</si>
  <si>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</si>
  <si>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</si>
  <si>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</si>
  <si>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</si>
  <si>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</si>
  <si>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</si>
  <si>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</si>
  <si>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</si>
  <si>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</si>
  <si>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</si>
  <si>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</si>
  <si>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</si>
  <si>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</si>
  <si>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</si>
  <si>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</si>
  <si>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</si>
  <si>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</si>
  <si>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</si>
  <si>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</si>
  <si>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</si>
  <si>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</si>
  <si>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</si>
  <si>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</si>
  <si>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</si>
  <si>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</si>
  <si>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</si>
  <si>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</si>
  <si>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</si>
  <si>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</si>
  <si>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</si>
  <si>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</si>
  <si>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</si>
  <si>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</si>
  <si>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</si>
  <si>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</si>
  <si>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</si>
  <si>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</si>
  <si>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</si>
  <si>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</si>
  <si>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</si>
  <si>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</si>
  <si>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</si>
  <si>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</si>
  <si>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</si>
  <si>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</si>
  <si>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</si>
  <si>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</si>
  <si>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</si>
  <si>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</si>
  <si>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</si>
  <si>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</si>
  <si>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</si>
  <si>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</si>
  <si>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</si>
  <si>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</si>
  <si>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</si>
  <si>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</si>
  <si>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</si>
  <si>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</si>
  <si>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</si>
  <si>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</si>
  <si>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</si>
  <si>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</si>
  <si>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</si>
  <si>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</si>
  <si>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</si>
  <si>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</si>
  <si>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</si>
  <si>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</si>
  <si>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</si>
  <si>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</si>
  <si>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</si>
  <si>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</si>
  <si>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</si>
  <si>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</si>
  <si>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</si>
  <si>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</si>
  <si>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</si>
  <si>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</si>
  <si>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</si>
  <si>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</si>
  <si>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</si>
  <si>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</si>
  <si>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</si>
  <si>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</si>
  <si>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</si>
  <si>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</si>
  <si>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</si>
  <si>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</si>
  <si>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</si>
  <si>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</si>
  <si>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</si>
  <si>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</si>
  <si>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</si>
  <si>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</si>
  <si>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</si>
  <si>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</si>
  <si>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</si>
  <si>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</si>
  <si>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</si>
  <si>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</si>
  <si>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</si>
  <si>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</si>
  <si>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</si>
  <si>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</si>
  <si>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</si>
  <si>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</si>
  <si>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</si>
  <si>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</si>
  <si>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</si>
  <si>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</si>
  <si>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</si>
  <si>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</si>
  <si>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</si>
  <si>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</si>
  <si>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</si>
  <si>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</si>
  <si>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</si>
  <si>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</si>
  <si>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</si>
  <si>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</si>
  <si>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</si>
  <si>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</si>
  <si>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</si>
  <si>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</si>
  <si>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</si>
  <si>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</si>
  <si>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</si>
  <si>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</si>
  <si>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</si>
  <si>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</si>
  <si>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</si>
  <si>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</si>
  <si>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</si>
  <si>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</si>
  <si>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</si>
  <si>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</si>
  <si>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</si>
  <si>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</si>
  <si>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</si>
  <si>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</si>
  <si>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</si>
  <si>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</si>
  <si>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</si>
  <si>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</si>
  <si>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</si>
  <si>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</si>
  <si>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</si>
  <si>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</si>
  <si>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</si>
  <si>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</si>
  <si>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</si>
  <si>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</si>
  <si>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</si>
  <si>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</si>
  <si>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</si>
  <si>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</si>
  <si>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</si>
  <si>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</si>
  <si>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</si>
  <si>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</si>
  <si>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</si>
  <si>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</si>
  <si>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</si>
  <si>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</si>
  <si>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</si>
  <si>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</si>
  <si>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</si>
  <si>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</si>
  <si>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</si>
  <si>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</si>
  <si>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</si>
  <si>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</si>
  <si>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</si>
  <si>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</si>
  <si>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</si>
  <si>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</si>
  <si>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</si>
  <si>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</si>
  <si>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</si>
  <si>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</si>
  <si>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</si>
  <si>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</si>
  <si>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</si>
  <si>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</si>
  <si>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</si>
  <si>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</si>
  <si>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</si>
  <si>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</si>
  <si>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</si>
  <si>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</si>
  <si>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</si>
  <si>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</si>
  <si>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</si>
  <si>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</si>
  <si>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</si>
  <si>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</si>
  <si>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</si>
  <si>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</si>
  <si>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</si>
  <si>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</si>
  <si>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</si>
  <si>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</si>
  <si>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</si>
  <si>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</si>
  <si>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</si>
  <si>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</si>
  <si>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</si>
  <si>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</si>
  <si>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</si>
  <si>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</si>
  <si>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</si>
  <si>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</si>
  <si>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</si>
  <si>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</si>
  <si>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</si>
  <si>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</si>
  <si>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</si>
  <si>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</si>
  <si>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</si>
  <si>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</si>
  <si>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</si>
  <si>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</si>
  <si>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</si>
  <si>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</si>
  <si>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</si>
  <si>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</si>
  <si>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</si>
  <si>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</si>
  <si>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</si>
  <si>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</si>
  <si>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</si>
  <si>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</si>
  <si>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</si>
  <si>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</si>
  <si>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</si>
  <si>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</si>
  <si>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</si>
  <si>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</si>
  <si>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</si>
  <si>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</si>
  <si>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</si>
  <si>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</si>
  <si>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</si>
  <si>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</si>
  <si>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</si>
  <si>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</si>
  <si>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</si>
  <si>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</si>
  <si>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</si>
  <si>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</si>
  <si>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</si>
  <si>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</si>
  <si>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</si>
  <si>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</si>
  <si>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</si>
  <si>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</si>
  <si>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</si>
  <si>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</si>
  <si>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</si>
  <si>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</si>
  <si>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</si>
  <si>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</si>
  <si>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</si>
  <si>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</si>
  <si>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</si>
  <si>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</si>
  <si>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</si>
  <si>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</si>
  <si>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</si>
  <si>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</si>
  <si>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</si>
  <si>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</si>
  <si>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</si>
  <si>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</si>
  <si>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</si>
  <si>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</si>
  <si>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</si>
  <si>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</si>
  <si>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</si>
  <si>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</si>
  <si>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</si>
  <si>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</si>
  <si>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</si>
  <si>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</si>
  <si>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</si>
  <si>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</si>
  <si>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</si>
  <si>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</si>
  <si>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</si>
  <si>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</si>
  <si>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</si>
  <si>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</si>
  <si>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</si>
  <si>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</si>
  <si>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</si>
  <si>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</si>
  <si>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</si>
  <si>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</si>
  <si>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</si>
  <si>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</si>
  <si>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</si>
  <si>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</si>
  <si>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</si>
  <si>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</si>
  <si>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</si>
  <si>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</si>
  <si>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</si>
  <si>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</si>
  <si>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</si>
  <si>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</si>
  <si>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</si>
  <si>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</si>
  <si>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</si>
  <si>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</si>
  <si>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</si>
  <si>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</si>
  <si>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</si>
  <si>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</si>
  <si>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</si>
  <si>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</si>
  <si>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</si>
  <si>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</si>
  <si>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</si>
  <si>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</si>
  <si>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</si>
  <si>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</si>
  <si>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</si>
  <si>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</si>
  <si>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</si>
  <si>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</si>
  <si>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</si>
  <si>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</si>
  <si>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</si>
  <si>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</si>
  <si>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</si>
  <si>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</si>
  <si>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</si>
  <si>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</si>
  <si>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</si>
  <si>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</si>
  <si>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</si>
  <si>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</si>
  <si>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</si>
  <si>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</si>
  <si>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</si>
  <si>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</si>
  <si>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</si>
  <si>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</si>
  <si>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</si>
  <si>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</si>
  <si>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</si>
  <si>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</si>
  <si>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</si>
  <si>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</si>
  <si>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</si>
  <si>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</si>
  <si>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</si>
  <si>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</si>
  <si>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</si>
  <si>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</si>
  <si>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</si>
  <si>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</si>
  <si>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</si>
  <si>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</si>
  <si>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</si>
  <si>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</si>
  <si>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</si>
  <si>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</si>
  <si>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</si>
  <si>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</si>
  <si>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</si>
  <si>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</si>
  <si>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</si>
  <si>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</si>
  <si>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</si>
  <si>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</si>
  <si>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</si>
  <si>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</si>
  <si>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</si>
  <si>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</si>
  <si>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</si>
  <si>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</si>
  <si>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</si>
  <si>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</si>
  <si>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</si>
  <si>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</si>
  <si>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</si>
  <si>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</si>
  <si>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</si>
  <si>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</si>
  <si>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</si>
  <si>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</si>
  <si>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</si>
  <si>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</si>
  <si>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</si>
  <si>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</si>
  <si>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</si>
  <si>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</si>
  <si>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</si>
  <si>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</si>
  <si>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</si>
  <si>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</si>
  <si>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</si>
  <si>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</si>
  <si>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</si>
  <si>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</si>
  <si>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</si>
  <si>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</si>
  <si>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</si>
  <si>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</si>
  <si>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</si>
  <si>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</si>
  <si>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</si>
  <si>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</si>
  <si>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</si>
  <si>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</si>
  <si>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</si>
  <si>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</si>
  <si>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</si>
  <si>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</si>
  <si>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</si>
  <si>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</si>
  <si>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</si>
  <si>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</si>
  <si>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</si>
  <si>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</si>
  <si>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</si>
  <si>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</si>
  <si>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</si>
  <si>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</si>
  <si>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</si>
  <si>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</si>
  <si>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</si>
  <si>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</si>
  <si>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</si>
  <si>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</si>
  <si>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</si>
  <si>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</si>
  <si>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</si>
  <si>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</si>
  <si>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</si>
  <si>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</si>
  <si>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</si>
  <si>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</si>
  <si>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</si>
  <si>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</si>
  <si>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</si>
  <si>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</si>
  <si>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</si>
  <si>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</si>
  <si>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</si>
  <si>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</si>
  <si>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</si>
  <si>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</si>
  <si>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</si>
  <si>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</si>
  <si>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</si>
  <si>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</si>
  <si>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</si>
  <si>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</si>
  <si>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</si>
  <si>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</si>
  <si>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</si>
  <si>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</si>
  <si>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</si>
  <si>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</si>
  <si>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</si>
  <si>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</si>
  <si>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</si>
  <si>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</si>
  <si>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</si>
  <si>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</si>
  <si>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</si>
  <si>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</si>
  <si>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</si>
  <si>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</si>
  <si>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</si>
  <si>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</si>
  <si>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</si>
  <si>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</si>
  <si>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</si>
  <si>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</si>
  <si>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</si>
  <si>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</si>
  <si>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</si>
  <si>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</si>
  <si>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</si>
  <si>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</si>
  <si>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</si>
  <si>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</si>
  <si>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</si>
  <si>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</si>
  <si>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</si>
  <si>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</si>
  <si>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</si>
  <si>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</si>
  <si>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</si>
  <si>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</si>
  <si>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</si>
  <si>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</si>
  <si>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</si>
  <si>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</si>
  <si>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</si>
  <si>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</si>
  <si>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</si>
  <si>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</si>
  <si>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</si>
  <si>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</si>
  <si>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</si>
  <si>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</si>
  <si>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</si>
  <si>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</si>
  <si>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</si>
  <si>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</si>
  <si>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</si>
  <si>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</si>
  <si>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</si>
  <si>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</si>
  <si>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</si>
  <si>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</si>
  <si>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</si>
  <si>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</si>
  <si>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</si>
  <si>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</si>
  <si>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</si>
  <si>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</si>
  <si>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</si>
  <si>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</si>
  <si>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</si>
  <si>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</si>
  <si>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</si>
  <si>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</si>
  <si>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</si>
  <si>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</si>
  <si>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</si>
  <si>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</si>
  <si>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</si>
  <si>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</si>
  <si>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</si>
  <si>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</si>
  <si>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</si>
  <si>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</si>
  <si>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</si>
  <si>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</si>
  <si>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</si>
  <si>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</si>
  <si>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</si>
  <si>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</si>
  <si>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</si>
  <si>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</si>
  <si>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</si>
  <si>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</si>
  <si>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</si>
  <si>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</si>
  <si>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</si>
  <si>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</si>
  <si>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</si>
  <si>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</si>
  <si>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</si>
  <si>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</si>
  <si>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</si>
  <si>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</si>
  <si>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</si>
  <si>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</si>
  <si>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</si>
  <si>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</si>
  <si>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</si>
  <si>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</si>
  <si>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</si>
  <si>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</si>
  <si>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</si>
  <si>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</si>
  <si>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</si>
  <si>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</si>
  <si>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</si>
  <si>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</si>
  <si>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</si>
  <si>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</si>
  <si>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</si>
  <si>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</si>
  <si>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</si>
  <si>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</si>
  <si>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</si>
  <si>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</si>
  <si>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</si>
  <si>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</si>
  <si>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</si>
  <si>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</si>
  <si>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</si>
  <si>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</si>
  <si>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</si>
  <si>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</si>
  <si>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</si>
  <si>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</si>
  <si>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</si>
  <si>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</si>
  <si>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</si>
  <si>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</si>
  <si>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</si>
  <si>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</si>
  <si>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</si>
  <si>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</si>
  <si>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</si>
  <si>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</si>
  <si>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</si>
  <si>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</si>
  <si>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</si>
  <si>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</si>
  <si>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</si>
  <si>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</si>
  <si>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</si>
  <si>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</si>
  <si>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</si>
  <si>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</si>
  <si>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</si>
  <si>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</si>
  <si>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</si>
  <si>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</si>
  <si>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</si>
  <si>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</si>
  <si>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</si>
  <si>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</si>
  <si>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</si>
  <si>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</si>
  <si>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</si>
  <si>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</si>
  <si>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</si>
  <si>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</si>
  <si>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</si>
  <si>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</si>
  <si>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</si>
  <si>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</si>
  <si>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</si>
  <si>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</si>
  <si>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</si>
  <si>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</si>
  <si>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</si>
  <si>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</si>
  <si>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</si>
  <si>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</si>
  <si>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</si>
  <si>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</si>
  <si>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</si>
  <si>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</si>
  <si>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</si>
  <si>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</si>
  <si>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</si>
  <si>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</si>
  <si>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</si>
  <si>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</si>
  <si>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</si>
  <si>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</si>
  <si>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</si>
  <si>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</si>
  <si>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</si>
  <si>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</si>
  <si>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</si>
  <si>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</si>
  <si>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</si>
  <si>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</si>
  <si>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</si>
  <si>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</si>
  <si>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</si>
  <si>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</si>
  <si>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</si>
  <si>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</si>
  <si>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</si>
  <si>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</si>
  <si>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</si>
  <si>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</si>
  <si>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</si>
  <si>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</si>
  <si>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</si>
  <si>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</si>
  <si>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</si>
  <si>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</si>
  <si>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</si>
  <si>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</si>
  <si>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</si>
  <si>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</si>
  <si>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</si>
  <si>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</si>
  <si>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</si>
  <si>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</si>
  <si>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</si>
  <si>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</si>
  <si>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</si>
  <si>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</si>
  <si>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</si>
  <si>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</si>
  <si>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</si>
  <si>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</si>
  <si>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</si>
  <si>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</si>
  <si>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</si>
  <si>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</si>
  <si>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</si>
  <si>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</si>
  <si>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</si>
  <si>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</si>
  <si>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</si>
  <si>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</si>
  <si>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</si>
  <si>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</si>
  <si>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</si>
  <si>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</si>
  <si>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</si>
  <si>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</si>
  <si>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</si>
  <si>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</si>
  <si>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</si>
  <si>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</si>
  <si>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</si>
  <si>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</si>
  <si>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</si>
  <si>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</si>
  <si>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</si>
  <si>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</si>
  <si>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</si>
  <si>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</si>
  <si>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</si>
  <si>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</si>
  <si>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</si>
  <si>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</si>
  <si>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</si>
  <si>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</si>
  <si>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</si>
  <si>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</si>
  <si>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</si>
  <si>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</si>
  <si>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</si>
  <si>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</si>
  <si>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</si>
  <si>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</si>
  <si>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</si>
  <si>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</si>
  <si>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</si>
  <si>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</si>
  <si>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</si>
  <si>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</si>
  <si>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</si>
  <si>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</si>
  <si>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</si>
  <si>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</si>
  <si>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</si>
  <si>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</si>
  <si>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</si>
  <si>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</si>
  <si>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</si>
  <si>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</si>
  <si>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</si>
  <si>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</si>
  <si>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</si>
  <si>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</si>
  <si>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</si>
  <si>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</si>
  <si>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</si>
  <si>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</si>
  <si>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</si>
  <si>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</si>
  <si>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</si>
  <si>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</si>
  <si>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</si>
  <si>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</si>
  <si>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</si>
  <si>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</si>
  <si>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</si>
  <si>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</si>
  <si>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</si>
  <si>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</si>
  <si>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</si>
  <si>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</si>
  <si>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</si>
  <si>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</si>
  <si>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</si>
  <si>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</si>
  <si>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</si>
  <si>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</si>
  <si>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</si>
  <si>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</si>
  <si>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</si>
  <si>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</si>
  <si>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</si>
  <si>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</si>
  <si>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</si>
  <si>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</si>
  <si>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</si>
  <si>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</si>
  <si>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</si>
  <si>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</si>
  <si>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</si>
  <si>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</si>
  <si>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</si>
  <si>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</si>
  <si>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</si>
  <si>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</si>
  <si>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</si>
  <si>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</si>
  <si>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</si>
  <si>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</si>
  <si>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</si>
  <si>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</si>
  <si>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</si>
  <si>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</si>
  <si>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</si>
  <si>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</si>
  <si>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</si>
  <si>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</si>
  <si>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</si>
  <si>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</si>
  <si>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</si>
  <si>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</si>
  <si>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</si>
  <si>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</si>
  <si>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</si>
  <si>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</si>
  <si>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</si>
  <si>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</si>
  <si>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</si>
  <si>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</si>
  <si>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</si>
  <si>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</si>
  <si>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</si>
  <si>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</si>
  <si>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</si>
  <si>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</si>
  <si>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</si>
  <si>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</si>
  <si>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</si>
  <si>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</si>
  <si>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</si>
  <si>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</si>
  <si>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</si>
  <si>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</si>
  <si>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</si>
  <si>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</si>
  <si>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</si>
  <si>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</si>
  <si>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</si>
  <si>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</si>
  <si>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</si>
  <si>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</si>
  <si>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</si>
  <si>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</si>
  <si>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</si>
  <si>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</si>
  <si>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</si>
  <si>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</si>
  <si>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</si>
  <si>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</si>
  <si>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</si>
  <si>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</si>
  <si>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</si>
  <si>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</si>
  <si>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</si>
  <si>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</si>
  <si>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</si>
  <si>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</si>
  <si>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</si>
  <si>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</si>
  <si>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</si>
  <si>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</si>
  <si>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</si>
  <si>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</si>
  <si>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</si>
  <si>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</si>
  <si>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</si>
  <si>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</si>
  <si>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</si>
  <si>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</si>
  <si>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</si>
  <si>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</si>
  <si>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</si>
  <si>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</si>
  <si>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</si>
  <si>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</si>
  <si>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</si>
  <si>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</si>
  <si>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</si>
  <si>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</si>
  <si>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</si>
  <si>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</si>
  <si>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</si>
  <si>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</si>
  <si>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</si>
  <si>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</si>
  <si>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</si>
  <si>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</si>
  <si>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</si>
  <si>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</si>
  <si>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</si>
  <si>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</si>
  <si>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</si>
  <si>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</si>
  <si>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</si>
  <si>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</si>
  <si>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</si>
  <si>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</si>
  <si>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</si>
  <si>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</si>
  <si>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</si>
  <si>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</si>
  <si>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</si>
  <si>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</si>
  <si>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</si>
  <si>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</si>
  <si>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</si>
  <si>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</si>
  <si>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</si>
  <si>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</si>
  <si>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</si>
  <si>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</si>
  <si>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</si>
  <si>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</si>
  <si>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</si>
  <si>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</si>
  <si>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</si>
  <si>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</si>
  <si>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</si>
  <si>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</si>
  <si>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</si>
  <si>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</si>
  <si>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</si>
  <si>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</si>
  <si>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</si>
  <si>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</si>
  <si>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</si>
  <si>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</si>
  <si>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</si>
  <si>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</si>
  <si>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</si>
  <si>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</si>
  <si>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</si>
  <si>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</si>
  <si>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</si>
  <si>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</si>
  <si>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</si>
  <si>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</si>
  <si>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</si>
  <si>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</si>
  <si>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</si>
  <si>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</si>
  <si>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</si>
  <si>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</si>
  <si>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</si>
  <si>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</si>
  <si>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</si>
  <si>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</si>
  <si>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</si>
  <si>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</si>
  <si>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</si>
  <si>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</si>
  <si>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</si>
  <si>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</si>
  <si>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</si>
  <si>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</si>
  <si>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</si>
  <si>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</si>
  <si>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</si>
  <si>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</si>
  <si>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</si>
  <si>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</si>
  <si>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</si>
  <si>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</si>
  <si>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</si>
  <si>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</si>
  <si>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</si>
  <si>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</si>
  <si>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</si>
  <si>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</si>
  <si>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</si>
  <si>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</si>
  <si>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</si>
  <si>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</si>
  <si>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</si>
  <si>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</si>
  <si>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</si>
  <si>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</si>
  <si>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</si>
  <si>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</si>
  <si>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</si>
  <si>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</si>
  <si>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</si>
  <si>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</si>
  <si>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</si>
  <si>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</si>
  <si>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</si>
  <si>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</si>
  <si>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</si>
  <si>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</si>
  <si>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</si>
  <si>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</si>
  <si>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</si>
  <si>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</si>
  <si>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</si>
  <si>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</si>
  <si>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</si>
  <si>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</si>
  <si>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</si>
  <si>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</si>
  <si>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</si>
  <si>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</si>
  <si>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</si>
  <si>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</si>
  <si>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</si>
  <si>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</si>
  <si>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</si>
  <si>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</si>
  <si>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</si>
  <si>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</si>
  <si>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</si>
  <si>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</si>
  <si>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</si>
  <si>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</si>
  <si>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</si>
  <si>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</si>
  <si>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</si>
  <si>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</si>
  <si>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</si>
  <si>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</si>
  <si>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</si>
  <si>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</si>
  <si>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</si>
  <si>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</si>
  <si>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</si>
  <si>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</si>
  <si>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</si>
  <si>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</si>
  <si>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</si>
  <si>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</si>
  <si>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</si>
  <si>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</si>
  <si>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</si>
  <si>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</si>
  <si>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</si>
  <si>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</si>
  <si>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</si>
  <si>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</si>
  <si>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</si>
  <si>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</si>
  <si>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</si>
  <si>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</si>
  <si>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</si>
  <si>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</si>
  <si>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</si>
  <si>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</si>
  <si>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</si>
  <si>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</si>
  <si>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</si>
  <si>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</si>
  <si>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</si>
  <si>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</si>
  <si>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</si>
  <si>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</si>
  <si>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</si>
  <si>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</si>
  <si>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</si>
  <si>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</si>
  <si>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</si>
  <si>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</si>
  <si>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</si>
  <si>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</si>
  <si>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</si>
  <si>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</si>
  <si>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</si>
  <si>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</si>
  <si>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</si>
  <si>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</si>
  <si>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</si>
  <si>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</si>
  <si>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</si>
  <si>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</si>
  <si>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</si>
  <si>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</si>
  <si>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</si>
  <si>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</si>
  <si>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</si>
  <si>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</si>
  <si>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</si>
  <si>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</si>
  <si>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</si>
  <si>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</si>
  <si>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</si>
  <si>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</si>
  <si>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</si>
  <si>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</si>
  <si>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</si>
  <si>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</si>
  <si>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</si>
  <si>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</si>
  <si>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</si>
  <si>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</si>
  <si>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</si>
  <si>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</si>
  <si>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</si>
  <si>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</si>
  <si>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</si>
  <si>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</si>
  <si>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</si>
  <si>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</si>
  <si>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</si>
  <si>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</si>
  <si>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</si>
  <si>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</si>
  <si>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</si>
  <si>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</si>
  <si>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</si>
  <si>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</si>
  <si>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</si>
  <si>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</si>
  <si>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</si>
  <si>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</si>
  <si>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</si>
  <si>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</si>
  <si>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</si>
  <si>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</si>
  <si>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</si>
  <si>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</si>
  <si>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</si>
  <si>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</si>
  <si>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</si>
  <si>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</si>
  <si>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</si>
  <si>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</si>
  <si>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</si>
  <si>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</si>
  <si>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</si>
  <si>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</si>
  <si>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</si>
  <si>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</si>
  <si>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</si>
  <si>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</si>
  <si>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</si>
  <si>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</si>
  <si>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</si>
  <si>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</si>
  <si>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</si>
  <si>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</si>
  <si>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</si>
  <si>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</si>
  <si>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</si>
  <si>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</si>
  <si>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</si>
  <si>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</si>
  <si>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</si>
  <si>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</si>
  <si>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</si>
  <si>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</si>
  <si>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</si>
  <si>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</si>
  <si>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</si>
  <si>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</si>
  <si>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</si>
  <si>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</si>
  <si>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</si>
  <si>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</si>
  <si>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</si>
  <si>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</si>
  <si>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</si>
  <si>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</si>
  <si>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</si>
  <si>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</si>
  <si>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</si>
  <si>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</si>
  <si>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</si>
  <si>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</si>
  <si>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</si>
  <si>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</si>
  <si>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</si>
  <si>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</si>
  <si>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</si>
  <si>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</si>
  <si>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</si>
  <si>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</si>
  <si>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</si>
  <si>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</si>
  <si>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</si>
  <si>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</si>
  <si>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</si>
  <si>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</si>
  <si>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</si>
  <si>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</si>
  <si>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</si>
  <si>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</si>
  <si>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</si>
  <si>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</si>
  <si>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</si>
  <si>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</si>
  <si>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</si>
  <si>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</si>
  <si>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</si>
  <si>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</si>
  <si>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</si>
  <si>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</si>
  <si>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</si>
  <si>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</si>
  <si>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</si>
  <si>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</si>
  <si>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</si>
  <si>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</si>
  <si>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</si>
  <si>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</si>
  <si>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</si>
  <si>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</si>
  <si>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</si>
  <si>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</si>
  <si>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</si>
  <si>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</si>
  <si>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</si>
  <si>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</si>
  <si>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</si>
  <si>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</si>
  <si>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</si>
  <si>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</si>
  <si>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</si>
  <si>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</si>
  <si>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</si>
  <si>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</si>
  <si>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</si>
  <si>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</si>
  <si>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</si>
  <si>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</si>
  <si>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</si>
  <si>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</si>
  <si>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</si>
  <si>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</si>
  <si>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</si>
  <si>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</si>
  <si>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</si>
  <si>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</si>
  <si>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</si>
  <si>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</si>
  <si>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</si>
  <si>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</si>
  <si>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</si>
  <si>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</si>
  <si>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</si>
  <si>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</si>
  <si>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</si>
  <si>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</si>
  <si>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</si>
  <si>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</si>
  <si>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</si>
  <si>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</si>
  <si>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</si>
  <si>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</si>
  <si>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</si>
  <si>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</si>
  <si>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</si>
  <si>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</si>
  <si>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</si>
  <si>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</si>
  <si>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</si>
  <si>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</si>
  <si>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</si>
  <si>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</si>
  <si>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</si>
  <si>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</si>
  <si>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</si>
  <si>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</si>
  <si>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</si>
  <si>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</si>
  <si>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</si>
  <si>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</si>
  <si>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</si>
  <si>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</si>
  <si>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</si>
  <si>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</si>
  <si>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</si>
  <si>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</si>
  <si>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</si>
  <si>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</si>
  <si>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</si>
  <si>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</si>
  <si>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</si>
  <si>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</si>
  <si>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</si>
  <si>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</si>
  <si>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</si>
  <si>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</si>
  <si>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</si>
  <si>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</si>
  <si>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</si>
  <si>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</si>
  <si>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</si>
  <si>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</si>
  <si>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</si>
  <si>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</si>
  <si>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</si>
  <si>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</si>
  <si>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</si>
  <si>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</si>
  <si>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</si>
  <si>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</si>
  <si>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</si>
  <si>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</si>
  <si>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</si>
  <si>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</si>
  <si>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</si>
  <si>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</si>
  <si>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</si>
  <si>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</si>
  <si>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</si>
  <si>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</si>
  <si>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</si>
  <si>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</si>
  <si>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</si>
  <si>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</si>
  <si>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</si>
  <si>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</si>
  <si>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</si>
  <si>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</si>
  <si>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</si>
  <si>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</si>
  <si>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</si>
  <si>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</si>
  <si>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</si>
  <si>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</si>
  <si>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</si>
  <si>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</si>
  <si>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</si>
  <si>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</si>
  <si>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</si>
  <si>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</si>
  <si>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</si>
  <si>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</si>
  <si>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</si>
  <si>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</si>
  <si>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</si>
  <si>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</si>
  <si>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</si>
  <si>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</si>
  <si>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</si>
  <si>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</si>
  <si>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</si>
  <si>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</si>
  <si>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</si>
  <si>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</si>
  <si>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</si>
  <si>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</si>
  <si>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</si>
  <si>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</si>
  <si>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</si>
  <si>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</si>
  <si>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</si>
  <si>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</si>
  <si>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</si>
  <si>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</si>
  <si>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</si>
  <si>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</si>
  <si>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</si>
  <si>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</si>
  <si>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</si>
  <si>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</si>
  <si>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</si>
  <si>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</si>
  <si>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</si>
  <si>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</si>
  <si>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</si>
  <si>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</si>
  <si>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</si>
  <si>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</si>
  <si>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</si>
  <si>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</si>
  <si>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</si>
  <si>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</si>
  <si>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</si>
  <si>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</si>
  <si>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</si>
  <si>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</si>
  <si>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</si>
  <si>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</si>
  <si>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</si>
  <si>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</si>
  <si>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</si>
  <si>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</si>
  <si>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</si>
  <si>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</si>
  <si>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</si>
  <si>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</si>
  <si>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</si>
  <si>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</si>
  <si>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</si>
  <si>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</si>
  <si>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</si>
  <si>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</si>
  <si>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</si>
  <si>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</si>
  <si>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</si>
  <si>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</si>
  <si>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</si>
  <si>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</si>
  <si>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</si>
  <si>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</si>
  <si>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</si>
  <si>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</si>
  <si>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</si>
  <si>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</si>
  <si>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</si>
  <si>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</si>
  <si>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</si>
  <si>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</si>
  <si>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</si>
  <si>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</si>
  <si>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</si>
  <si>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</si>
  <si>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</si>
  <si>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</si>
  <si>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</si>
  <si>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</si>
  <si>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</si>
  <si>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</si>
  <si>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</si>
  <si>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</si>
  <si>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</si>
  <si>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</si>
  <si>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</si>
  <si>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</si>
  <si>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</si>
  <si>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</si>
  <si>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</si>
  <si>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</si>
  <si>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</si>
  <si>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</si>
  <si>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</si>
  <si>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</si>
  <si>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</si>
  <si>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</si>
  <si>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</si>
  <si>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</si>
  <si>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</si>
  <si>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</si>
  <si>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</si>
  <si>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</si>
  <si>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</si>
  <si>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</si>
  <si>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</si>
  <si>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</si>
  <si>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</si>
  <si>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</si>
  <si>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</si>
  <si>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</si>
  <si>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</si>
  <si>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</si>
  <si>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</si>
  <si>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</si>
  <si>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</si>
  <si>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</si>
  <si>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</si>
  <si>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</si>
  <si>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</si>
  <si>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</si>
  <si>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</si>
  <si>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</si>
  <si>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</si>
  <si>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</si>
  <si>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</si>
  <si>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</si>
  <si>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</si>
  <si>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</si>
  <si>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</si>
  <si>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</si>
  <si>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</si>
  <si>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</si>
  <si>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</si>
  <si>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</si>
  <si>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</si>
  <si>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</si>
  <si>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</si>
  <si>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</si>
  <si>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</si>
  <si>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</si>
  <si>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</si>
  <si>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</si>
  <si>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</si>
  <si>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</si>
  <si>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</si>
  <si>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</si>
  <si>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</si>
  <si>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</si>
  <si>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</si>
  <si>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</si>
  <si>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</si>
  <si>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</si>
  <si>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</si>
  <si>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</si>
  <si>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</si>
  <si>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</si>
  <si>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</si>
  <si>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</si>
  <si>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</si>
  <si>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</si>
  <si>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</si>
  <si>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</si>
  <si>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</si>
  <si>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</si>
  <si>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</si>
  <si>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</si>
  <si>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</si>
  <si>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</si>
  <si>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</si>
  <si>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</si>
  <si>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</si>
  <si>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</si>
  <si>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</si>
  <si>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</si>
  <si>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</si>
  <si>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</si>
  <si>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</si>
  <si>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</si>
  <si>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</si>
  <si>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</si>
  <si>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</si>
  <si>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</si>
  <si>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</si>
  <si>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</si>
  <si>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</si>
  <si>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</si>
  <si>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</si>
  <si>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</si>
  <si>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</si>
  <si>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</si>
  <si>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</si>
  <si>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</si>
  <si>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</si>
  <si>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</si>
  <si>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</si>
  <si>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</si>
  <si>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</si>
  <si>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</si>
  <si>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</si>
  <si>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</si>
  <si>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</si>
  <si>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</si>
  <si>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</si>
  <si>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</si>
  <si>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</si>
  <si>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</si>
  <si>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</si>
  <si>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</si>
  <si>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</si>
  <si>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</si>
  <si>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</si>
  <si>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</si>
  <si>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</si>
  <si>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</si>
  <si>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</si>
  <si>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</si>
  <si>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</si>
  <si>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</si>
  <si>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</si>
  <si>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</si>
  <si>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</si>
  <si>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</si>
  <si>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</si>
  <si>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</si>
  <si>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</si>
  <si>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</si>
  <si>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</si>
  <si>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</si>
  <si>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</si>
  <si>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</si>
  <si>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</si>
  <si>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</si>
  <si>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</si>
  <si>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</si>
  <si>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</si>
  <si>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</si>
  <si>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</si>
  <si>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</si>
  <si>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</si>
  <si>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</si>
  <si>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</si>
  <si>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</si>
  <si>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</si>
  <si>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</si>
  <si>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</si>
  <si>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</si>
  <si>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</si>
  <si>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</si>
  <si>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</si>
  <si>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</si>
  <si>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</si>
  <si>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</si>
  <si>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</si>
  <si>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</si>
  <si>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</si>
  <si>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</si>
  <si>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</si>
  <si>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</si>
  <si>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</si>
  <si>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</si>
  <si>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</si>
  <si>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</si>
  <si>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</si>
  <si>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</si>
  <si>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</si>
  <si>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</si>
  <si>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</si>
  <si>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</si>
  <si>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</si>
  <si>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</si>
  <si>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</si>
  <si>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</si>
  <si>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</si>
  <si>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</si>
  <si>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</si>
  <si>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</si>
  <si>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</si>
  <si>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</si>
  <si>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</si>
  <si>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</si>
  <si>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</si>
  <si>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</si>
  <si>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</si>
  <si>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</si>
  <si>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</si>
  <si>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</si>
  <si>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</si>
  <si>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</si>
  <si>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</si>
  <si>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</si>
  <si>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</si>
  <si>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</si>
  <si>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</si>
  <si>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</si>
  <si>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</si>
  <si>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</si>
  <si>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</si>
  <si>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</si>
  <si>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</si>
  <si>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</si>
  <si>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</si>
  <si>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</si>
  <si>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</si>
  <si>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</si>
  <si>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</si>
  <si>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</si>
  <si>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</si>
  <si>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</si>
  <si>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</si>
  <si>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</si>
  <si>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</si>
  <si>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</si>
  <si>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</si>
  <si>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</si>
  <si>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</si>
  <si>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</si>
  <si>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</si>
  <si>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</si>
  <si>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</si>
  <si>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</si>
  <si>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</si>
  <si>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</si>
  <si>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</si>
  <si>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</si>
  <si>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</si>
  <si>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</si>
  <si>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</si>
  <si>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</si>
  <si>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</si>
  <si>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</si>
  <si>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</si>
  <si>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</si>
  <si>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</si>
  <si>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</si>
  <si>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</si>
  <si>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</si>
  <si>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</si>
  <si>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</si>
  <si>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</si>
  <si>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</si>
  <si>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</si>
  <si>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</si>
  <si>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</si>
  <si>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</si>
  <si>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</si>
  <si>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</si>
  <si>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</si>
  <si>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</si>
  <si>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</si>
  <si>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</si>
  <si>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</si>
  <si>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</si>
  <si>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</si>
  <si>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</si>
  <si>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</si>
  <si>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</si>
  <si>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</si>
  <si>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</si>
  <si>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</si>
  <si>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</si>
  <si>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</si>
  <si>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</si>
  <si>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</si>
  <si>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</si>
  <si>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</si>
  <si>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</si>
  <si>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</si>
  <si>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</si>
  <si>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</si>
  <si>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</si>
  <si>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</si>
  <si>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</si>
  <si>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</si>
  <si>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</si>
  <si>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</si>
  <si>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</si>
  <si>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</si>
  <si>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</si>
  <si>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</si>
  <si>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</si>
  <si>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</si>
  <si>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</si>
  <si>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</si>
  <si>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</si>
  <si>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</si>
  <si>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</si>
  <si>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</si>
  <si>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</si>
  <si>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</si>
  <si>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</si>
  <si>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</si>
  <si>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</si>
  <si>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</si>
  <si>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</si>
  <si>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</si>
  <si>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</si>
  <si>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</si>
  <si>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</si>
  <si>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</si>
  <si>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</si>
  <si>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</si>
  <si>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</si>
  <si>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</si>
  <si>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</si>
  <si>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</si>
  <si>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</si>
  <si>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</si>
  <si>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</si>
  <si>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</si>
  <si>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</si>
  <si>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</si>
  <si>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</si>
  <si>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</si>
  <si>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</si>
  <si>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</si>
  <si>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</si>
  <si>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</si>
  <si>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</si>
  <si>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</si>
  <si>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</si>
  <si>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</si>
  <si>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</si>
  <si>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</si>
  <si>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</si>
  <si>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</si>
  <si>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</si>
  <si>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</si>
  <si>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</si>
  <si>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</si>
  <si>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</si>
  <si>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</si>
  <si>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</si>
  <si>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</si>
  <si>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</si>
  <si>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</si>
  <si>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</si>
  <si>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</si>
  <si>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</si>
  <si>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</si>
  <si>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</si>
  <si>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</si>
  <si>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</si>
  <si>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</si>
  <si>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</si>
  <si>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</si>
  <si>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</si>
  <si>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</si>
  <si>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</si>
  <si>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</si>
  <si>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</si>
  <si>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</si>
  <si>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</si>
  <si>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</si>
  <si>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</si>
  <si>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</si>
  <si>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</si>
  <si>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</si>
  <si>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</si>
  <si>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</si>
  <si>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</si>
  <si>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</si>
  <si>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</si>
  <si>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</si>
  <si>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</si>
  <si>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</si>
  <si>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</si>
  <si>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</si>
  <si>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</si>
  <si>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</si>
  <si>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</si>
  <si>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</si>
  <si>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</si>
  <si>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</si>
  <si>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</si>
  <si>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</si>
  <si>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</si>
  <si>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</si>
  <si>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</si>
  <si>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</si>
  <si>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</si>
  <si>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</si>
  <si>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</si>
  <si>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</si>
  <si>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</si>
  <si>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</si>
  <si>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</si>
  <si>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</si>
  <si>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</si>
  <si>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</si>
  <si>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</si>
  <si>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</si>
  <si>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</si>
  <si>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</si>
  <si>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</si>
  <si>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</si>
  <si>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</si>
  <si>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</si>
  <si>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</si>
  <si>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</si>
  <si>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</si>
  <si>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</si>
  <si>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</si>
  <si>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</si>
  <si>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</si>
  <si>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</si>
  <si>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</si>
  <si>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</si>
  <si>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</si>
  <si>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</si>
  <si>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</si>
  <si>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</si>
  <si>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</si>
  <si>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</si>
  <si>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</si>
  <si>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</si>
  <si>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</si>
  <si>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</si>
  <si>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</si>
  <si>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</si>
  <si>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</si>
  <si>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</si>
  <si>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</si>
  <si>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</si>
  <si>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</si>
  <si>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</si>
  <si>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</si>
  <si>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</si>
  <si>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</si>
  <si>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</si>
  <si>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</si>
  <si>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</si>
  <si>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</si>
  <si>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</si>
  <si>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</si>
  <si>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</si>
  <si>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</si>
  <si>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</si>
  <si>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</si>
  <si>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</si>
  <si>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</si>
  <si>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</si>
  <si>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</si>
  <si>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</si>
  <si>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</si>
  <si>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</si>
  <si>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</si>
  <si>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</si>
  <si>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</si>
  <si>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</si>
  <si>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</si>
  <si>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</si>
  <si>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</si>
  <si>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</si>
  <si>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</si>
  <si>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</si>
  <si>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</si>
  <si>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</si>
  <si>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</si>
  <si>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</si>
  <si>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</si>
  <si>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</si>
  <si>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</si>
  <si>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</si>
  <si>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</si>
  <si>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</si>
  <si>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</si>
  <si>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</si>
  <si>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</si>
  <si>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</si>
  <si>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</si>
  <si>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</si>
  <si>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</si>
  <si>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</si>
  <si>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</si>
  <si>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</si>
  <si>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</si>
  <si>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</si>
  <si>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</si>
  <si>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</si>
  <si>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</si>
  <si>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</si>
  <si>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</si>
  <si>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</si>
  <si>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</si>
  <si>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</si>
  <si>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</si>
  <si>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</si>
  <si>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</si>
  <si>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</si>
  <si>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</si>
  <si>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</si>
  <si>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</si>
  <si>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</si>
  <si>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</si>
  <si>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</si>
  <si>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</si>
  <si>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</si>
  <si>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</si>
  <si>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</si>
  <si>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</si>
  <si>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</si>
  <si>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</si>
  <si>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</si>
  <si>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</si>
  <si>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</si>
  <si>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</si>
  <si>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</si>
  <si>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</si>
  <si>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</si>
  <si>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</si>
  <si>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</si>
  <si>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</si>
  <si>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</si>
  <si>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</si>
  <si>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</si>
  <si>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</si>
  <si>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</si>
  <si>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</si>
  <si>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</si>
  <si>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</si>
  <si>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</si>
  <si>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</si>
  <si>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</si>
  <si>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</si>
  <si>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</si>
  <si>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</si>
  <si>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</si>
  <si>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</si>
  <si>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</si>
  <si>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</si>
  <si>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</si>
  <si>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</si>
  <si>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</si>
  <si>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</si>
  <si>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</si>
  <si>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</si>
  <si>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</si>
  <si>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</si>
  <si>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</si>
  <si>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</si>
  <si>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</si>
  <si>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</si>
  <si>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</si>
  <si>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</si>
  <si>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</si>
  <si>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</si>
  <si>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</si>
  <si>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</si>
  <si>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</si>
  <si>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</si>
  <si>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</si>
  <si>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</si>
  <si>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</si>
  <si>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</si>
  <si>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</si>
  <si>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</si>
  <si>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</si>
  <si>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</si>
  <si>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</si>
  <si>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</si>
  <si>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</si>
  <si>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</si>
  <si>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</si>
  <si>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</si>
  <si>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</si>
  <si>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</si>
  <si>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</si>
  <si>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</si>
  <si>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</si>
  <si>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</si>
  <si>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</si>
  <si>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</si>
  <si>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</si>
  <si>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</si>
  <si>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</si>
  <si>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</si>
  <si>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</si>
  <si>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</si>
  <si>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</si>
  <si>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</si>
  <si>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</si>
  <si>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</si>
  <si>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</si>
  <si>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</si>
  <si>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</si>
  <si>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</si>
  <si>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</si>
  <si>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</si>
  <si>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</si>
  <si>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</si>
  <si>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</si>
  <si>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</si>
  <si>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</si>
  <si>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</si>
  <si>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</si>
  <si>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</si>
  <si>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</si>
  <si>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</si>
  <si>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</si>
  <si>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</si>
  <si>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</si>
  <si>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</si>
  <si>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</si>
  <si>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</si>
  <si>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</si>
  <si>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</si>
  <si>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</si>
  <si>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</si>
  <si>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</si>
  <si>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</si>
  <si>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</si>
  <si>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</si>
  <si>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</si>
  <si>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</si>
  <si>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</si>
  <si>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</si>
  <si>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</si>
  <si>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</si>
  <si>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</si>
  <si>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</si>
  <si>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</si>
  <si>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</si>
  <si>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</si>
  <si>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</si>
  <si>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</si>
  <si>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</si>
  <si>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</si>
  <si>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</si>
  <si>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</si>
  <si>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</si>
  <si>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</si>
  <si>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</si>
  <si>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</si>
  <si>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</si>
  <si>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</si>
  <si>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</si>
  <si>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</si>
  <si>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</si>
  <si>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</si>
  <si>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</si>
  <si>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</si>
  <si>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</si>
  <si>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</si>
  <si>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</si>
  <si>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</si>
  <si>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</si>
  <si>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</si>
  <si>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</si>
  <si>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</si>
  <si>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</si>
  <si>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</si>
  <si>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</si>
  <si>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</si>
  <si>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</si>
  <si>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</si>
  <si>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</si>
  <si>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</si>
  <si>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</si>
  <si>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</si>
  <si>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</si>
  <si>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</si>
  <si>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</si>
  <si>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</si>
  <si>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</si>
  <si>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</si>
  <si>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</si>
  <si>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</si>
  <si>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</si>
  <si>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</si>
  <si>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</si>
  <si>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</si>
  <si>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</si>
  <si>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</si>
  <si>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</si>
  <si>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</si>
  <si>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</si>
  <si>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</si>
  <si>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</si>
  <si>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</si>
  <si>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</si>
  <si>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</si>
  <si>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</si>
  <si>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</si>
  <si>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</si>
  <si>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</si>
  <si>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</si>
  <si>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</si>
  <si>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</si>
  <si>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</si>
  <si>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</si>
  <si>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</si>
  <si>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</si>
  <si>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</si>
  <si>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</si>
  <si>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</si>
  <si>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</si>
  <si>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</si>
  <si>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</si>
  <si>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</si>
  <si>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</si>
  <si>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</si>
  <si>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</si>
  <si>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</si>
  <si>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</si>
  <si>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</si>
  <si>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</si>
  <si>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</si>
  <si>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</si>
  <si>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</si>
  <si>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</si>
  <si>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</si>
  <si>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</si>
  <si>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</si>
  <si>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</si>
  <si>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</si>
  <si>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</si>
  <si>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</si>
  <si>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</si>
  <si>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</si>
  <si>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</si>
  <si>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</si>
  <si>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</si>
  <si>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</si>
  <si>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</si>
  <si>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</si>
  <si>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</si>
  <si>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</si>
  <si>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</si>
  <si>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</si>
  <si>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</si>
  <si>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</si>
  <si>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</si>
  <si>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</si>
  <si>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</si>
  <si>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</si>
  <si>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</si>
  <si>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</si>
  <si>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</si>
  <si>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</si>
  <si>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</si>
  <si>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</si>
  <si>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</si>
  <si>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</si>
  <si>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</si>
  <si>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</si>
  <si>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</si>
  <si>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</si>
  <si>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</si>
  <si>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</si>
  <si>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</si>
  <si>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</si>
  <si>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</si>
  <si>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</si>
  <si>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</si>
  <si>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</si>
  <si>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</si>
  <si>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</si>
  <si>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</si>
  <si>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</si>
  <si>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</si>
  <si>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</si>
  <si>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</si>
  <si>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</si>
  <si>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</si>
  <si>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</si>
  <si>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</si>
  <si>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</si>
  <si>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</si>
  <si>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</si>
  <si>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</si>
  <si>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</si>
  <si>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</si>
  <si>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</si>
  <si>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</si>
  <si>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</si>
  <si>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</si>
  <si>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</si>
  <si>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</si>
  <si>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</si>
  <si>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</si>
  <si>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</si>
  <si>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</si>
  <si>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</si>
  <si>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</si>
  <si>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</si>
  <si>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</si>
  <si>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</si>
  <si>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</si>
  <si>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</si>
  <si>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</si>
  <si>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</si>
  <si>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</si>
  <si>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</si>
  <si>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</si>
  <si>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</si>
  <si>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</si>
  <si>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</si>
  <si>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</si>
  <si>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</si>
  <si>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</si>
  <si>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</si>
  <si>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</si>
  <si>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</si>
  <si>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</si>
  <si>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</si>
  <si>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</si>
  <si>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</si>
  <si>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</si>
  <si>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</si>
  <si>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</si>
  <si>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</si>
  <si>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</si>
  <si>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</si>
  <si>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</si>
  <si>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</si>
  <si>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</si>
  <si>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</si>
  <si>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</si>
  <si>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</si>
  <si>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</si>
  <si>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</si>
  <si>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</si>
  <si>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</si>
  <si>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</si>
  <si>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</si>
  <si>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</si>
  <si>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</si>
  <si>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</si>
  <si>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</si>
  <si>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</si>
  <si>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</si>
  <si>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</si>
  <si>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</si>
  <si>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</si>
  <si>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</si>
  <si>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</si>
  <si>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</si>
  <si>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</si>
  <si>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</si>
  <si>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</si>
  <si>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</si>
  <si>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</si>
  <si>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</si>
  <si>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</si>
  <si>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</si>
  <si>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</si>
  <si>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</si>
  <si>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</si>
  <si>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</si>
  <si>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</si>
  <si>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</si>
  <si>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</si>
  <si>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</si>
  <si>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</si>
  <si>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</si>
  <si>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</si>
  <si>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</si>
  <si>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</si>
  <si>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</si>
  <si>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</si>
  <si>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</si>
  <si>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</si>
  <si>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</si>
  <si>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</si>
  <si>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</si>
  <si>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</si>
  <si>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</si>
  <si>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</si>
  <si>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</si>
  <si>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</si>
  <si>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</si>
  <si>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</si>
  <si>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</si>
  <si>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</si>
  <si>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</si>
  <si>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</si>
  <si>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</si>
  <si>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</si>
  <si>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</si>
  <si>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</si>
  <si>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</si>
  <si>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</si>
  <si>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</si>
  <si>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</si>
  <si>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</si>
  <si>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</si>
  <si>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</si>
  <si>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</si>
  <si>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</si>
  <si>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</si>
  <si>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</si>
  <si>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</si>
  <si>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</si>
  <si>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</si>
  <si>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</si>
  <si>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</si>
  <si>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</si>
  <si>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</si>
  <si>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</si>
  <si>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</si>
  <si>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</si>
  <si>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</si>
  <si>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</si>
  <si>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</si>
  <si>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</si>
  <si>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</si>
  <si>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</si>
  <si>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</si>
  <si>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</si>
  <si>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</si>
  <si>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</si>
  <si>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</si>
  <si>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</si>
  <si>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</si>
  <si>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</si>
  <si>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</si>
  <si>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</si>
  <si>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</si>
  <si>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</si>
  <si>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</si>
  <si>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</si>
  <si>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</si>
  <si>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</si>
  <si>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</si>
  <si>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</si>
  <si>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</si>
  <si>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</si>
  <si>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</si>
  <si>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</si>
  <si>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抵押</t>
  </si>
  <si>
    <t>房地产抵押价值</t>
  </si>
  <si>
    <t>北京市</t>
  </si>
  <si>
    <t>自然人</t>
  </si>
  <si>
    <t>商务金融用地</t>
  </si>
  <si>
    <t>自定义容积率</t>
  </si>
  <si>
    <t>不临65条商业街</t>
  </si>
  <si>
    <t>通路</t>
  </si>
  <si>
    <t>通电</t>
  </si>
  <si>
    <t>通讯</t>
  </si>
  <si>
    <t>通上水</t>
  </si>
  <si>
    <t>通下水</t>
  </si>
  <si>
    <t>平整</t>
  </si>
  <si>
    <t>按公示增长率计算</t>
  </si>
  <si>
    <t>一般</t>
  </si>
  <si>
    <t>较好</t>
  </si>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</sst>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1">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2022年8月23日（评估专业人员实地查勘之日）</v>
      </c>
    </row>
    <row r="13" spans="1:2" s="2762" customFormat="1">
      <c r="A13" s="2760" t="s">
        <v>742</v>
      </c>
      <c r="B13" s="2761" t="str">
        <f>'预评函-1'!A18</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24"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828" t="s">
        <v>594</v>
      </c>
      <c r="C54" s="2824" t="s">
        <v>796</v>
      </c>
    </row>
    <row r="55" spans="1:4">
      <c r="A55" s="3024"/>
      <c r="B55" s="2828" t="s">
        <v>595</v>
      </c>
      <c r="C55" s="2824" t="s">
        <v>797</v>
      </c>
    </row>
    <row r="56" spans="1:4">
      <c r="A56" s="3024"/>
      <c r="B56" s="2828" t="s">
        <v>596</v>
      </c>
      <c r="C56" s="2824" t="s">
        <v>801</v>
      </c>
    </row>
    <row r="57" spans="1:4">
      <c r="A57" s="3024"/>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8" sqref="E8"/>
    </sheetView>
  </sheetViews>
  <sheetFormatPr defaultColWidth="10" defaultRowHeight="12.75"/>
  <cols>
    <col min="1" max="1" width="16.875" style="2867" customWidth="1"/>
    <col min="2" max="2" width="10" style="2867" customWidth="1"/>
    <col min="3" max="3" width="11.5" style="2867" customWidth="1"/>
    <col min="4" max="4" width="12.25" style="2867" customWidth="1"/>
    <col min="5" max="5" width="12.625" style="2867" customWidth="1"/>
    <col min="6" max="6" width="10" style="2867" customWidth="1"/>
    <col min="7" max="7" width="10.75" style="2867" customWidth="1"/>
    <col min="8" max="8" width="10" style="2867" customWidth="1"/>
    <col min="9" max="9" width="11.125" style="2971" customWidth="1"/>
    <col min="10" max="10" width="10" style="2868" customWidth="1"/>
    <col min="11" max="11" width="10" style="2972" customWidth="1"/>
    <col min="12" max="13" width="10" style="690" customWidth="1"/>
    <col min="14" max="14" width="10" style="2868" customWidth="1"/>
    <col min="15" max="15" width="10" style="690" customWidth="1"/>
    <col min="16" max="17" width="10" style="2868"/>
    <col min="18" max="18" width="10" style="2868" customWidth="1"/>
    <col min="19" max="30" width="10" style="2868"/>
    <col min="31" max="16384" width="10" style="2867"/>
  </cols>
  <sheetData>
    <row r="1" spans="1:28" ht="13.5" thickBot="1">
      <c r="A1" s="2862" t="s">
        <v>2430</v>
      </c>
      <c r="B1" s="3032" t="str">
        <f>IF(B10="北京市","北京市",C10)&amp;F10&amp;IF(结果表!G1="在建","出让国有建设用地使用权及在建建筑物",IF(结果表!G1="土地","出让国有建设用地使用权",))&amp;B9&amp;"预评估"</f>
        <v>北京市房地产抵押价值预评估</v>
      </c>
      <c r="C1" s="3033"/>
      <c r="D1" s="3033"/>
      <c r="E1" s="3033"/>
      <c r="F1" s="3033"/>
      <c r="G1" s="3033"/>
      <c r="H1" s="3033"/>
      <c r="I1" s="3034"/>
      <c r="J1" s="820"/>
      <c r="K1" s="2863"/>
      <c r="L1" s="2864"/>
      <c r="M1" s="2864"/>
      <c r="N1" s="2865"/>
      <c r="O1" s="2864"/>
      <c r="P1" s="2865"/>
      <c r="Q1" s="2865"/>
      <c r="R1" s="2865"/>
      <c r="S1" s="2866" t="str">
        <f>IF(B10="北京市","北京市",C10)&amp;F10&amp;IF(结果表!G1="在建","出让国有建设用地使用权及在建建筑物房地产抵押价值",IF(结果表!G1="土地","出让国有建设用地使用权抵押价值",B9))</f>
        <v>北京市房地产抵押价值</v>
      </c>
      <c r="T1" s="2867"/>
      <c r="U1" s="2867"/>
      <c r="V1" s="2867"/>
      <c r="W1" s="2867"/>
      <c r="X1" s="2867"/>
      <c r="Y1" s="2867"/>
      <c r="Z1" s="2867"/>
      <c r="AA1" s="2867"/>
      <c r="AB1" s="2867"/>
    </row>
    <row r="2" spans="1:28">
      <c r="A2" s="2869" t="s">
        <v>2431</v>
      </c>
      <c r="B2" s="2870"/>
      <c r="C2" s="2871"/>
      <c r="D2" s="2872"/>
      <c r="E2" s="2873"/>
      <c r="F2" s="2873"/>
      <c r="G2" s="2874"/>
      <c r="H2" s="2874"/>
      <c r="I2" s="2874"/>
      <c r="J2" s="820"/>
      <c r="K2" s="2863"/>
      <c r="L2" s="2864"/>
      <c r="M2" s="2864"/>
      <c r="N2" s="2865"/>
      <c r="O2" s="2864"/>
      <c r="P2" s="2865"/>
      <c r="Q2" s="2865"/>
      <c r="R2" s="2865"/>
      <c r="S2" s="2866" t="str">
        <f>IF(B10="北京市","北京市",C10)&amp;F10&amp;IF(结果表!G1="在建","出让国有建设用地使用权及在建建筑物房地产",IF(结果表!G1="土地","出让国有建设用地使用权","房地产"))</f>
        <v>北京市房地产</v>
      </c>
      <c r="T2" s="2867"/>
      <c r="U2" s="2867"/>
      <c r="V2" s="2867"/>
      <c r="W2" s="2867"/>
      <c r="X2" s="2867"/>
      <c r="Y2" s="2867"/>
      <c r="Z2" s="2867"/>
      <c r="AA2" s="2867"/>
      <c r="AB2" s="2867"/>
    </row>
    <row r="3" spans="1:28">
      <c r="A3" s="879" t="s">
        <v>2432</v>
      </c>
      <c r="B3" s="352">
        <v>44796</v>
      </c>
      <c r="C3" s="2875" t="s">
        <v>2433</v>
      </c>
      <c r="D3" s="352">
        <f>B3</f>
        <v>44796</v>
      </c>
      <c r="E3" s="2874"/>
      <c r="F3" s="2874"/>
      <c r="G3" s="2874"/>
      <c r="H3" s="2874"/>
      <c r="I3" s="2874"/>
      <c r="J3" s="820"/>
      <c r="K3" s="2863"/>
      <c r="L3" s="2864"/>
      <c r="M3" s="2864"/>
      <c r="N3" s="2865"/>
      <c r="O3" s="2864"/>
      <c r="P3" s="2865"/>
      <c r="Q3" s="2865"/>
      <c r="R3" s="2865"/>
      <c r="S3" s="2866"/>
      <c r="T3" s="2867"/>
      <c r="U3" s="2867"/>
      <c r="V3" s="2867"/>
      <c r="W3" s="2867"/>
      <c r="X3" s="2867"/>
      <c r="Y3" s="2867"/>
      <c r="Z3" s="2867"/>
      <c r="AA3" s="2867"/>
      <c r="AB3" s="2867"/>
    </row>
    <row r="4" spans="1:28" ht="13.5" thickBot="1">
      <c r="A4" s="1353" t="s">
        <v>2434</v>
      </c>
      <c r="B4" s="2876"/>
      <c r="C4" s="458">
        <f>SUMIF(注册房地产估价师,B4,估价师及机构信息!B3:B24)</f>
        <v>0</v>
      </c>
      <c r="D4" s="2876"/>
      <c r="E4" s="458">
        <f>SUMIF(注册房地产估价师,D4,估价师及机构信息!B3:B24)</f>
        <v>0</v>
      </c>
      <c r="F4" s="2876"/>
      <c r="G4" s="458">
        <f>SUMIF(注册房地产估价师,F4,估价师及机构信息!B3:B24)</f>
        <v>0</v>
      </c>
      <c r="H4" s="2876"/>
      <c r="I4" s="458">
        <f>SUMIF(注册房地产估价师,H4,估价师及机构信息!B3:B24)</f>
        <v>0</v>
      </c>
      <c r="J4" s="862"/>
      <c r="K4" s="988" t="str">
        <f>CONCATENATE(B4,"（注册号：",C4,")、",D4,"（注册号：",E4,")")</f>
        <v>（注册号：0)、（注册号：0)</v>
      </c>
      <c r="L4" s="2864"/>
      <c r="M4" s="2864"/>
      <c r="N4" s="2865"/>
      <c r="O4" s="2864"/>
      <c r="P4" s="2865"/>
      <c r="Q4" s="2865"/>
      <c r="R4" s="2865"/>
      <c r="S4" s="2866"/>
      <c r="T4" s="2867"/>
      <c r="U4" s="2867"/>
      <c r="V4" s="2867"/>
      <c r="W4" s="2867"/>
      <c r="X4" s="2867"/>
      <c r="Y4" s="2867"/>
      <c r="Z4" s="2867"/>
      <c r="AA4" s="2867"/>
      <c r="AB4" s="2867"/>
    </row>
    <row r="5" spans="1:28" ht="13.5" thickTop="1">
      <c r="A5" s="2877" t="s">
        <v>2435</v>
      </c>
      <c r="B5" s="2878"/>
      <c r="C5" s="2879"/>
      <c r="D5" s="2880"/>
      <c r="E5" s="2881"/>
      <c r="F5" s="2881"/>
      <c r="G5" s="2881"/>
      <c r="H5" s="2881"/>
      <c r="I5" s="2881"/>
      <c r="J5" s="862"/>
      <c r="K5" s="988" t="str">
        <f>IF(F4="——","",IF(H4="——",F4&amp;"（注册号："&amp;G4&amp;")",CONCATENATE(F4,"（注册号：",G4,")、",H4,"（注册号：",I4,")")))</f>
        <v>（注册号：0)、（注册号：0)</v>
      </c>
      <c r="L5" s="2864"/>
      <c r="M5" s="2864"/>
      <c r="N5" s="2865"/>
      <c r="O5" s="2864"/>
      <c r="P5" s="2865"/>
      <c r="Q5" s="2865"/>
      <c r="R5" s="2865"/>
      <c r="S5" s="2867"/>
      <c r="T5" s="2867"/>
      <c r="U5" s="2867"/>
      <c r="V5" s="2867"/>
      <c r="W5" s="2867"/>
      <c r="X5" s="2867"/>
      <c r="Y5" s="2867"/>
      <c r="Z5" s="2867"/>
      <c r="AA5" s="2867"/>
      <c r="AB5" s="2867"/>
    </row>
    <row r="6" spans="1:28">
      <c r="A6" s="2882" t="s">
        <v>2436</v>
      </c>
      <c r="B6" s="2883"/>
      <c r="C6" s="2884"/>
      <c r="D6" s="2885"/>
      <c r="E6" s="2873"/>
      <c r="F6" s="2881"/>
      <c r="G6" s="2881"/>
      <c r="H6" s="2881"/>
      <c r="I6" s="2881"/>
      <c r="J6" s="862"/>
      <c r="K6" s="2886" t="str">
        <f>IF(COUNTIF(B6,"*上海银行*"),"上海银行","")</f>
        <v/>
      </c>
      <c r="L6" s="2887"/>
      <c r="M6" s="2887"/>
      <c r="N6" s="862"/>
      <c r="O6" s="2887"/>
      <c r="P6" s="862"/>
      <c r="Q6" s="862"/>
      <c r="R6" s="862"/>
    </row>
    <row r="7" spans="1:28">
      <c r="A7" s="2882" t="s">
        <v>2437</v>
      </c>
      <c r="B7" s="2888"/>
      <c r="C7" s="2884"/>
      <c r="D7" s="2885"/>
      <c r="E7" s="2873"/>
      <c r="F7" s="2881"/>
      <c r="G7" s="2881"/>
      <c r="H7" s="2881"/>
      <c r="I7" s="2881"/>
      <c r="J7" s="862"/>
      <c r="K7" s="2886"/>
      <c r="L7" s="2887"/>
      <c r="M7" s="2887"/>
      <c r="N7" s="862"/>
      <c r="O7" s="2887"/>
      <c r="P7" s="862"/>
      <c r="Q7" s="862"/>
      <c r="R7" s="862"/>
    </row>
    <row r="8" spans="1:28">
      <c r="A8" s="2889" t="s">
        <v>2438</v>
      </c>
      <c r="B8" s="2890" t="s">
        <v>3097</v>
      </c>
      <c r="C8" s="2891"/>
      <c r="D8" s="3035" t="s">
        <v>2439</v>
      </c>
      <c r="E8" s="2892" t="s">
        <v>3098</v>
      </c>
      <c r="F8" s="2893"/>
      <c r="G8" s="2874"/>
      <c r="H8" s="2874"/>
      <c r="I8" s="2874"/>
      <c r="J8" s="862"/>
      <c r="K8" s="2894"/>
      <c r="L8" s="2887"/>
      <c r="M8" s="2887"/>
      <c r="N8" s="862"/>
      <c r="O8" s="2887"/>
      <c r="P8" s="862"/>
      <c r="Q8" s="862"/>
      <c r="R8" s="862"/>
    </row>
    <row r="9" spans="1:28" ht="13.5" thickBot="1">
      <c r="A9" s="2895" t="s">
        <v>2440</v>
      </c>
      <c r="B9" s="2896" t="s">
        <v>3098</v>
      </c>
      <c r="C9" s="2897"/>
      <c r="D9" s="3036"/>
      <c r="E9" s="2896"/>
      <c r="F9" s="2898"/>
      <c r="G9" s="2899"/>
      <c r="H9" s="2899"/>
      <c r="I9" s="2899"/>
      <c r="J9" s="862"/>
      <c r="K9" s="2886"/>
      <c r="L9" s="2887"/>
      <c r="M9" s="2887"/>
      <c r="N9" s="862"/>
      <c r="O9" s="2887"/>
      <c r="P9" s="862"/>
      <c r="Q9" s="862"/>
      <c r="R9" s="862"/>
    </row>
    <row r="10" spans="1:28" ht="13.5" thickTop="1">
      <c r="A10" s="2900" t="s">
        <v>2441</v>
      </c>
      <c r="B10" s="2901" t="s">
        <v>3099</v>
      </c>
      <c r="C10" s="2902"/>
      <c r="D10" s="2880"/>
      <c r="E10" s="991" t="s">
        <v>2442</v>
      </c>
      <c r="F10" s="2903"/>
      <c r="G10" s="2904"/>
      <c r="H10" s="2905"/>
      <c r="I10" s="2906"/>
      <c r="J10" s="862"/>
      <c r="K10" s="2886"/>
      <c r="L10" s="2887"/>
      <c r="M10" s="2887"/>
      <c r="N10" s="862"/>
      <c r="O10" s="2887"/>
      <c r="P10" s="862"/>
      <c r="Q10" s="862"/>
      <c r="R10" s="862"/>
    </row>
    <row r="11" spans="1:28">
      <c r="A11" s="2907" t="s">
        <v>2443</v>
      </c>
      <c r="B11" s="2908" t="s">
        <v>3100</v>
      </c>
      <c r="C11" s="2909"/>
      <c r="D11" s="2910"/>
      <c r="E11" s="2865"/>
      <c r="F11" s="2865"/>
      <c r="G11" s="2865"/>
      <c r="H11" s="2865"/>
      <c r="I11" s="2865"/>
      <c r="J11" s="862"/>
      <c r="K11" s="2886"/>
      <c r="L11" s="2887"/>
      <c r="M11" s="2887"/>
      <c r="N11" s="862"/>
      <c r="O11" s="2887"/>
      <c r="P11" s="862"/>
      <c r="Q11" s="862"/>
      <c r="R11" s="862"/>
    </row>
    <row r="12" spans="1:28">
      <c r="A12" s="2911" t="s">
        <v>2444</v>
      </c>
      <c r="B12" s="2908" t="s">
        <v>3087</v>
      </c>
      <c r="C12" s="460" t="s">
        <v>2445</v>
      </c>
      <c r="D12" s="459" t="s">
        <v>2446</v>
      </c>
      <c r="E12" s="459" t="s">
        <v>2447</v>
      </c>
      <c r="F12" s="459" t="s">
        <v>2448</v>
      </c>
      <c r="G12" s="459" t="s">
        <v>2449</v>
      </c>
      <c r="H12" s="459" t="s">
        <v>2450</v>
      </c>
      <c r="I12" s="459" t="s">
        <v>2451</v>
      </c>
      <c r="J12" s="862"/>
      <c r="K12" s="2886"/>
      <c r="L12" s="2887"/>
      <c r="M12" s="2887"/>
      <c r="N12" s="862"/>
      <c r="O12" s="2887"/>
      <c r="P12" s="862"/>
      <c r="Q12" s="862"/>
      <c r="R12" s="862"/>
    </row>
    <row r="13" spans="1:28">
      <c r="A13" s="1360"/>
      <c r="B13" s="2912"/>
      <c r="C13" s="2913" t="s">
        <v>2452</v>
      </c>
      <c r="D13" s="2914"/>
      <c r="E13" s="2914"/>
      <c r="F13" s="3310">
        <v>57572</v>
      </c>
      <c r="G13" s="2914"/>
      <c r="H13" s="2914"/>
      <c r="I13" s="2914"/>
      <c r="J13" s="862"/>
      <c r="K13" s="2886"/>
      <c r="L13" s="2887"/>
      <c r="M13" s="2887"/>
      <c r="N13" s="862"/>
      <c r="O13" s="2887"/>
      <c r="P13" s="862"/>
      <c r="Q13" s="862"/>
      <c r="R13" s="862"/>
    </row>
    <row r="14" spans="1:28">
      <c r="A14" s="1360"/>
      <c r="B14" s="2912"/>
      <c r="C14" s="2913" t="s">
        <v>2453</v>
      </c>
      <c r="D14" s="2915"/>
      <c r="E14" s="2915"/>
      <c r="F14" s="2915">
        <v>50</v>
      </c>
      <c r="G14" s="2915"/>
      <c r="H14" s="2915"/>
      <c r="I14" s="2915"/>
      <c r="J14" s="862"/>
      <c r="K14" s="2886"/>
      <c r="L14" s="2887"/>
      <c r="M14" s="2887"/>
      <c r="N14" s="862"/>
      <c r="O14" s="2887"/>
      <c r="P14" s="862"/>
      <c r="Q14" s="862"/>
      <c r="R14" s="862"/>
    </row>
    <row r="15" spans="1:28">
      <c r="A15" s="978"/>
      <c r="B15" s="2916"/>
      <c r="C15" s="2917" t="s">
        <v>2454</v>
      </c>
      <c r="D15" s="459" t="str">
        <f>IF(B12="出让",IF(D13="","",ROUNDDOWN(MIN((D13-$D$3)/365,D14),2)),D14)</f>
        <v/>
      </c>
      <c r="E15" s="459" t="str">
        <f>IF(B12="出让",IF(E13="","",ROUNDDOWN(MIN((E13-$D$3)/365,E14),2)),E14)</f>
        <v/>
      </c>
      <c r="F15" s="459">
        <f>IF(B12="出让",IF(F13="","",ROUNDDOWN(MIN((F13-$D$3)/365,F14),2)),F14)</f>
        <v>35</v>
      </c>
      <c r="G15" s="459" t="str">
        <f>IF(B12="出让",IF(G13="","",ROUNDDOWN(MIN((G13-$D$3)/365,G14),2)),G14)</f>
        <v/>
      </c>
      <c r="H15" s="459" t="str">
        <f>IF(B12="出让",IF(H13="","",ROUNDDOWN(MIN((H13-$D$3)/365,H14),2)),H14)</f>
        <v/>
      </c>
      <c r="I15" s="459" t="str">
        <f>IF(B12="出让",IF(I13="","",ROUNDDOWN(MIN((I13-$D$3)/365,I14),2)),I14)</f>
        <v/>
      </c>
      <c r="J15" s="862"/>
      <c r="K15" s="2886"/>
      <c r="L15" s="2887"/>
      <c r="M15" s="2887"/>
      <c r="N15" s="862"/>
      <c r="O15" s="2887"/>
      <c r="P15" s="862"/>
      <c r="Q15" s="862"/>
      <c r="R15" s="862"/>
    </row>
    <row r="16" spans="1:28">
      <c r="A16" s="991" t="s">
        <v>2455</v>
      </c>
      <c r="B16" s="3042"/>
      <c r="C16" s="3043"/>
      <c r="D16" s="3044"/>
      <c r="E16" s="989" t="s">
        <v>2456</v>
      </c>
      <c r="F16" s="3045"/>
      <c r="G16" s="3046"/>
      <c r="H16" s="3046"/>
      <c r="I16" s="3047"/>
      <c r="J16" s="862"/>
      <c r="K16" s="2886"/>
      <c r="L16" s="2887"/>
      <c r="M16" s="2887"/>
      <c r="N16" s="862"/>
      <c r="O16" s="2887"/>
      <c r="P16" s="862"/>
      <c r="Q16" s="862"/>
      <c r="R16" s="862"/>
    </row>
    <row r="17" spans="1:28">
      <c r="A17" s="1337" t="s">
        <v>2457</v>
      </c>
      <c r="B17" s="879" t="s">
        <v>2458</v>
      </c>
      <c r="C17" s="459">
        <f>'数据-汇总表'!E3</f>
        <v>0</v>
      </c>
      <c r="D17" s="2840" t="s">
        <v>2459</v>
      </c>
      <c r="E17" s="3048" t="s">
        <v>2460</v>
      </c>
      <c r="F17" s="3049"/>
      <c r="G17" s="3049"/>
      <c r="H17" s="3049"/>
      <c r="I17" s="3050"/>
      <c r="J17" s="862"/>
      <c r="K17" s="2894"/>
      <c r="L17" s="2887"/>
      <c r="M17" s="2887"/>
      <c r="N17" s="862"/>
      <c r="O17" s="2887"/>
      <c r="P17" s="862"/>
      <c r="Q17" s="862"/>
      <c r="R17" s="862"/>
      <c r="S17" s="862"/>
      <c r="T17" s="862"/>
      <c r="U17" s="862"/>
      <c r="V17" s="862"/>
    </row>
    <row r="18" spans="1:28" ht="24.75" thickBot="1">
      <c r="A18" s="2918" t="s">
        <v>2461</v>
      </c>
      <c r="B18" s="1353" t="s">
        <v>2462</v>
      </c>
      <c r="C18" s="2919" t="e">
        <f>'数据-汇总表'!D3</f>
        <v>#DIV/0!</v>
      </c>
      <c r="D18" s="1386" t="s">
        <v>2463</v>
      </c>
      <c r="E18" s="3051" t="s">
        <v>2464</v>
      </c>
      <c r="F18" s="3052"/>
      <c r="G18" s="3052"/>
      <c r="H18" s="3052"/>
      <c r="I18" s="3053"/>
      <c r="J18" s="862"/>
      <c r="K18" s="2894"/>
      <c r="L18" s="2887"/>
      <c r="M18" s="2887"/>
      <c r="N18" s="862"/>
      <c r="O18" s="2887"/>
      <c r="P18" s="862"/>
      <c r="Q18" s="862"/>
      <c r="R18" s="862"/>
      <c r="S18" s="862"/>
      <c r="T18" s="862"/>
      <c r="U18" s="862"/>
      <c r="V18" s="862"/>
    </row>
    <row r="19" spans="1:28" ht="25.5" thickTop="1" thickBot="1">
      <c r="A19" s="991" t="s">
        <v>1279</v>
      </c>
      <c r="B19" s="1333" t="s">
        <v>2465</v>
      </c>
      <c r="C19" s="2920"/>
      <c r="D19" s="2921" t="s">
        <v>2466</v>
      </c>
      <c r="E19" s="2922"/>
      <c r="F19" s="2923" t="str">
        <f>IF(AND(C19="是",E19="否"),"是否提供他项权证或相关说明","")</f>
        <v/>
      </c>
      <c r="G19" s="2924"/>
      <c r="H19" s="2881"/>
      <c r="I19" s="2881"/>
      <c r="J19" s="862"/>
      <c r="K19" s="2886"/>
      <c r="L19" s="2887"/>
      <c r="M19" s="2887"/>
      <c r="N19" s="862"/>
      <c r="O19" s="2887"/>
      <c r="P19" s="862"/>
      <c r="Q19" s="862"/>
      <c r="R19" s="862"/>
      <c r="S19" s="862"/>
      <c r="T19" s="862"/>
      <c r="U19" s="862"/>
      <c r="V19" s="862"/>
    </row>
    <row r="20" spans="1:28">
      <c r="A20" s="2925" t="s">
        <v>2467</v>
      </c>
      <c r="B20" s="3038" t="s">
        <v>2468</v>
      </c>
      <c r="C20" s="3039"/>
      <c r="D20" s="3040" t="s">
        <v>2469</v>
      </c>
      <c r="E20" s="3041"/>
      <c r="F20" s="2926" t="s">
        <v>1280</v>
      </c>
      <c r="G20" s="2881"/>
      <c r="H20" s="2881"/>
      <c r="I20" s="2881"/>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4"/>
      <c r="N20" s="2865"/>
      <c r="O20" s="2864"/>
      <c r="P20" s="2865"/>
      <c r="Q20" s="2865"/>
      <c r="R20" s="2865"/>
      <c r="S20" s="2865"/>
      <c r="T20" s="2865"/>
      <c r="U20" s="2865"/>
      <c r="V20" s="2865"/>
      <c r="W20" s="2867"/>
      <c r="X20" s="2867"/>
      <c r="Y20" s="2867"/>
      <c r="Z20" s="2867"/>
      <c r="AA20" s="2867"/>
      <c r="AB20" s="2867"/>
    </row>
    <row r="21" spans="1:28" ht="24.75" thickBot="1">
      <c r="A21" s="2925"/>
      <c r="B21" s="2927" t="s">
        <v>2471</v>
      </c>
      <c r="C21" s="856" t="s">
        <v>1281</v>
      </c>
      <c r="D21" s="2928" t="s">
        <v>2472</v>
      </c>
      <c r="E21" s="2929" t="s">
        <v>1281</v>
      </c>
      <c r="F21" s="2930"/>
      <c r="G21" s="2881"/>
      <c r="H21" s="2881"/>
      <c r="I21" s="2881"/>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4"/>
      <c r="N21" s="2865"/>
      <c r="O21" s="2864"/>
      <c r="P21" s="2865"/>
      <c r="Q21" s="2865"/>
      <c r="R21" s="2865"/>
      <c r="S21" s="2865"/>
      <c r="T21" s="2865"/>
      <c r="U21" s="2865"/>
      <c r="V21" s="2865"/>
      <c r="W21" s="2867"/>
      <c r="X21" s="2867"/>
      <c r="Y21" s="2867"/>
      <c r="Z21" s="2867"/>
      <c r="AA21" s="2867"/>
      <c r="AB21" s="2867"/>
    </row>
    <row r="22" spans="1:28" ht="24.75" thickBot="1">
      <c r="A22" s="2925"/>
      <c r="B22" s="2931" t="s">
        <v>2473</v>
      </c>
      <c r="C22" s="856" t="s">
        <v>1282</v>
      </c>
      <c r="D22" s="2874"/>
      <c r="E22" s="2874"/>
      <c r="F22" s="2874"/>
      <c r="G22" s="2881"/>
      <c r="H22" s="2881"/>
      <c r="I22" s="2881"/>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4"/>
      <c r="N22" s="2865"/>
      <c r="O22" s="2864"/>
      <c r="P22" s="2865"/>
      <c r="Q22" s="2865"/>
      <c r="R22" s="2865"/>
      <c r="S22" s="2865"/>
      <c r="T22" s="2865"/>
      <c r="U22" s="2865"/>
      <c r="V22" s="2865"/>
      <c r="W22" s="2867"/>
      <c r="X22" s="2867"/>
      <c r="Y22" s="2867"/>
      <c r="Z22" s="2867"/>
      <c r="AA22" s="2867"/>
      <c r="AB22" s="2867"/>
    </row>
    <row r="23" spans="1:28">
      <c r="A23" s="2932" t="s">
        <v>2474</v>
      </c>
      <c r="B23" s="854" t="s">
        <v>2475</v>
      </c>
      <c r="C23" s="2933"/>
      <c r="D23" s="2934" t="s">
        <v>2475</v>
      </c>
      <c r="E23" s="2935"/>
      <c r="F23" s="2874"/>
      <c r="G23" s="2881"/>
      <c r="H23" s="2881"/>
      <c r="I23" s="2881"/>
      <c r="J23" s="862"/>
      <c r="K23" s="2886"/>
      <c r="L23" s="831"/>
      <c r="M23" s="2887"/>
      <c r="N23" s="862"/>
      <c r="O23" s="2887"/>
      <c r="P23" s="862"/>
      <c r="Q23" s="862"/>
      <c r="R23" s="862"/>
      <c r="S23" s="862"/>
      <c r="T23" s="862"/>
      <c r="U23" s="862"/>
      <c r="V23" s="862"/>
    </row>
    <row r="24" spans="1:28">
      <c r="A24" s="2932"/>
      <c r="B24" s="854" t="s">
        <v>1283</v>
      </c>
      <c r="C24" s="824"/>
      <c r="D24" s="2932" t="s">
        <v>1283</v>
      </c>
      <c r="E24" s="2936"/>
      <c r="F24" s="2874"/>
      <c r="G24" s="2881"/>
      <c r="H24" s="2881"/>
      <c r="I24" s="2881"/>
      <c r="J24" s="862"/>
      <c r="K24" s="2886"/>
      <c r="L24" s="831"/>
      <c r="M24" s="2887"/>
      <c r="N24" s="862"/>
      <c r="O24" s="2887"/>
      <c r="P24" s="862"/>
      <c r="Q24" s="862"/>
      <c r="R24" s="862"/>
      <c r="S24" s="862"/>
      <c r="T24" s="862"/>
      <c r="U24" s="862"/>
      <c r="V24" s="862"/>
    </row>
    <row r="25" spans="1:28">
      <c r="A25" s="2932"/>
      <c r="B25" s="854" t="s">
        <v>1284</v>
      </c>
      <c r="C25" s="824"/>
      <c r="D25" s="2932" t="s">
        <v>1284</v>
      </c>
      <c r="E25" s="2936"/>
      <c r="F25" s="2874"/>
      <c r="G25" s="2881"/>
      <c r="H25" s="2881"/>
      <c r="I25" s="2881"/>
      <c r="J25" s="862"/>
      <c r="K25" s="2886"/>
      <c r="L25" s="2887"/>
      <c r="M25" s="2887"/>
      <c r="N25" s="862"/>
      <c r="O25" s="2887"/>
      <c r="P25" s="862"/>
      <c r="Q25" s="862"/>
      <c r="R25" s="862"/>
      <c r="S25" s="862"/>
      <c r="T25" s="862"/>
      <c r="U25" s="862"/>
      <c r="V25" s="862"/>
    </row>
    <row r="26" spans="1:28" ht="13.5" thickBot="1">
      <c r="A26" s="2937"/>
      <c r="B26" s="2938" t="s">
        <v>1285</v>
      </c>
      <c r="C26" s="2939"/>
      <c r="D26" s="2937" t="s">
        <v>1285</v>
      </c>
      <c r="E26" s="2940"/>
      <c r="F26" s="2899"/>
      <c r="G26" s="2899"/>
      <c r="H26" s="2899"/>
      <c r="I26" s="2899"/>
      <c r="J26" s="862"/>
      <c r="K26" s="2886"/>
      <c r="L26" s="2887"/>
      <c r="M26" s="2887"/>
      <c r="N26" s="862"/>
      <c r="O26" s="2887"/>
      <c r="P26" s="862"/>
      <c r="Q26" s="862"/>
      <c r="R26" s="862"/>
      <c r="S26" s="862"/>
      <c r="T26" s="862"/>
      <c r="U26" s="862"/>
      <c r="V26" s="862"/>
    </row>
    <row r="27" spans="1:28" ht="13.5" thickTop="1">
      <c r="A27" s="3026" t="s">
        <v>2476</v>
      </c>
      <c r="B27" s="978" t="s">
        <v>2477</v>
      </c>
      <c r="C27" s="2941"/>
      <c r="D27" s="2942"/>
      <c r="E27" s="2881"/>
      <c r="F27" s="2881"/>
      <c r="G27" s="2881"/>
      <c r="H27" s="2881"/>
      <c r="I27" s="2881"/>
      <c r="J27" s="862"/>
      <c r="K27" s="2886"/>
      <c r="L27" s="2887"/>
      <c r="M27" s="2887"/>
      <c r="N27" s="862"/>
      <c r="O27" s="2887"/>
      <c r="P27" s="862"/>
      <c r="Q27" s="862"/>
      <c r="R27" s="862"/>
      <c r="S27" s="862"/>
      <c r="T27" s="862"/>
      <c r="U27" s="862"/>
      <c r="V27" s="862"/>
    </row>
    <row r="28" spans="1:28">
      <c r="A28" s="3026"/>
      <c r="B28" s="879" t="s">
        <v>2478</v>
      </c>
      <c r="C28" s="2943"/>
      <c r="D28" s="2944"/>
      <c r="E28" s="2881"/>
      <c r="F28" s="2881"/>
      <c r="G28" s="2881"/>
      <c r="H28" s="2881"/>
      <c r="I28" s="2881"/>
      <c r="J28" s="862"/>
      <c r="K28" s="2886"/>
      <c r="L28" s="2887"/>
      <c r="M28" s="2887"/>
      <c r="N28" s="862"/>
      <c r="O28" s="2887"/>
      <c r="P28" s="862"/>
      <c r="Q28" s="862"/>
      <c r="R28" s="862"/>
      <c r="S28" s="862"/>
      <c r="T28" s="862"/>
      <c r="U28" s="862"/>
      <c r="V28" s="862"/>
    </row>
    <row r="29" spans="1:28">
      <c r="A29" s="3026"/>
      <c r="B29" s="879" t="s">
        <v>2479</v>
      </c>
      <c r="C29" s="2945"/>
      <c r="D29" s="2946"/>
      <c r="E29" s="2881"/>
      <c r="F29" s="2881"/>
      <c r="G29" s="2881"/>
      <c r="H29" s="2881"/>
      <c r="I29" s="2881"/>
      <c r="J29" s="862"/>
      <c r="K29" s="2886"/>
      <c r="L29" s="2887"/>
      <c r="M29" s="2887"/>
      <c r="N29" s="862"/>
      <c r="O29" s="2887"/>
      <c r="P29" s="862"/>
      <c r="Q29" s="862"/>
      <c r="R29" s="862"/>
      <c r="S29" s="862"/>
      <c r="T29" s="862"/>
      <c r="U29" s="862"/>
      <c r="V29" s="862"/>
    </row>
    <row r="30" spans="1:28">
      <c r="A30" s="3027"/>
      <c r="B30" s="879" t="s">
        <v>2480</v>
      </c>
      <c r="C30" s="3028"/>
      <c r="D30" s="3029"/>
      <c r="E30" s="2881"/>
      <c r="F30" s="2881"/>
      <c r="G30" s="2881"/>
      <c r="H30" s="2881"/>
      <c r="I30" s="2881"/>
      <c r="J30" s="862"/>
      <c r="K30" s="2886"/>
      <c r="L30" s="2887"/>
      <c r="M30" s="2887"/>
      <c r="N30" s="862"/>
      <c r="O30" s="2887"/>
      <c r="P30" s="862"/>
      <c r="Q30" s="862"/>
      <c r="R30" s="862"/>
      <c r="S30" s="862"/>
      <c r="T30" s="862"/>
      <c r="U30" s="862"/>
      <c r="V30" s="862"/>
    </row>
    <row r="31" spans="1:28">
      <c r="A31" s="3030" t="s">
        <v>2481</v>
      </c>
      <c r="B31" s="2947"/>
      <c r="C31" s="2839" t="str">
        <f>IF(B31="现房","成新及维护状况正常否",IF(B31="在建","工程状态是否正常",IF(B31="土地","是否闲置","-")))</f>
        <v>-</v>
      </c>
      <c r="D31" s="826"/>
      <c r="E31" s="2948"/>
      <c r="F31" s="2881"/>
      <c r="G31" s="2881"/>
      <c r="H31" s="2881"/>
      <c r="I31" s="2881"/>
      <c r="J31" s="862"/>
      <c r="K31" s="2886"/>
      <c r="L31" s="2887"/>
      <c r="M31" s="2887"/>
      <c r="N31" s="862"/>
      <c r="O31" s="2887"/>
      <c r="P31" s="862"/>
      <c r="Q31" s="862"/>
      <c r="R31" s="862"/>
      <c r="S31" s="862"/>
      <c r="T31" s="862"/>
      <c r="U31" s="862"/>
      <c r="V31" s="862"/>
    </row>
    <row r="32" spans="1:28">
      <c r="A32" s="3031"/>
      <c r="B32" s="2947"/>
      <c r="C32" s="2839" t="str">
        <f>IF(B32="现房","成新及维护状况是否正常",IF(B32="在建","工程状态是否正常",IF(B32="土地","是否闲置","-")))</f>
        <v>-</v>
      </c>
      <c r="D32" s="826"/>
      <c r="E32" s="2948"/>
      <c r="F32" s="2881"/>
      <c r="G32" s="2881"/>
      <c r="H32" s="2881"/>
      <c r="I32" s="2881"/>
      <c r="J32" s="862"/>
      <c r="K32" s="2886"/>
      <c r="L32" s="2887"/>
      <c r="M32" s="2887"/>
      <c r="N32" s="862"/>
      <c r="O32" s="2887"/>
      <c r="P32" s="862"/>
      <c r="Q32" s="862"/>
      <c r="R32" s="862"/>
      <c r="S32" s="862"/>
      <c r="T32" s="862"/>
      <c r="U32" s="862"/>
      <c r="V32" s="862"/>
    </row>
    <row r="33" spans="1:30">
      <c r="A33" s="3031"/>
      <c r="B33" s="2949"/>
      <c r="C33" s="982" t="str">
        <f>IF(B33="现房","成新及维护状况是否正常",IF(B33="在建","工程状态是否正常",IF(B33="土地","是否闲置","-")))</f>
        <v>-</v>
      </c>
      <c r="D33" s="1339"/>
      <c r="E33" s="2950"/>
      <c r="F33" s="2881"/>
      <c r="G33" s="2881"/>
      <c r="H33" s="2881"/>
      <c r="I33" s="2881"/>
      <c r="J33" s="862"/>
      <c r="K33" s="2886"/>
      <c r="L33" s="2887"/>
      <c r="M33" s="2887"/>
      <c r="N33" s="862"/>
      <c r="O33" s="2887"/>
      <c r="P33" s="862"/>
      <c r="Q33" s="862"/>
      <c r="R33" s="862"/>
      <c r="S33" s="862"/>
      <c r="T33" s="862"/>
      <c r="U33" s="862"/>
      <c r="V33" s="862"/>
    </row>
    <row r="34" spans="1:30">
      <c r="A34" s="879" t="s">
        <v>2482</v>
      </c>
      <c r="B34" s="2951"/>
      <c r="C34" s="2951"/>
      <c r="D34" s="2951"/>
      <c r="E34" s="2951"/>
      <c r="F34" s="2951"/>
      <c r="G34" s="2951"/>
      <c r="H34" s="2951"/>
      <c r="I34" s="2881"/>
      <c r="J34" s="862"/>
      <c r="K34" s="459">
        <f>COUNTIF(B34:H34,"——")</f>
        <v>0</v>
      </c>
      <c r="L34" s="460" t="s">
        <v>2483</v>
      </c>
      <c r="M34" s="460" t="s">
        <v>2484</v>
      </c>
      <c r="N34" s="460" t="s">
        <v>2485</v>
      </c>
      <c r="O34" s="460" t="s">
        <v>2486</v>
      </c>
      <c r="P34" s="460" t="s">
        <v>2487</v>
      </c>
      <c r="Q34" s="460" t="s">
        <v>2488</v>
      </c>
      <c r="R34" s="460" t="s">
        <v>2489</v>
      </c>
      <c r="S34" s="3025" t="s">
        <v>2490</v>
      </c>
      <c r="T34" s="460" t="str">
        <f>NUMBERSTRING(7-K34,1)&amp;"通"</f>
        <v>七通</v>
      </c>
      <c r="U34" s="862"/>
      <c r="V34" s="862"/>
    </row>
    <row r="35" spans="1:30">
      <c r="A35" s="2952"/>
      <c r="B35" s="3025" t="s">
        <v>2491</v>
      </c>
      <c r="C35" s="3025"/>
      <c r="D35" s="3025"/>
      <c r="E35" s="3025"/>
      <c r="F35" s="459">
        <f>C10</f>
        <v>0</v>
      </c>
      <c r="G35" s="2881"/>
      <c r="H35" s="2881"/>
      <c r="I35" s="2881"/>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25"/>
      <c r="T35" s="1248" t="str">
        <f>IF(T34="一通",L35,IF(T34="二通",M35,IF(T34="三通",N35,IF(T34="四通",O35,IF(T34="五通",P35,IF(T34="六通",Q35,R35))))))</f>
        <v>、、、、、、</v>
      </c>
      <c r="U35" s="862"/>
      <c r="V35" s="862"/>
    </row>
    <row r="36" spans="1:30">
      <c r="A36" s="2863"/>
      <c r="B36" s="459" t="s">
        <v>2447</v>
      </c>
      <c r="C36" s="459" t="s">
        <v>2448</v>
      </c>
      <c r="D36" s="459" t="s">
        <v>2446</v>
      </c>
      <c r="E36" s="459" t="s">
        <v>2451</v>
      </c>
      <c r="F36" s="459" t="s">
        <v>2902</v>
      </c>
      <c r="G36" s="2881"/>
      <c r="H36" s="2881"/>
      <c r="I36" s="2881"/>
      <c r="J36" s="862"/>
      <c r="K36" s="2886"/>
      <c r="L36" s="2887"/>
      <c r="M36" s="2887"/>
      <c r="N36" s="862"/>
      <c r="O36" s="2887"/>
      <c r="P36" s="862"/>
      <c r="Q36" s="862"/>
      <c r="R36" s="862"/>
      <c r="S36" s="862"/>
      <c r="T36" s="862"/>
      <c r="U36" s="862"/>
      <c r="V36" s="862"/>
    </row>
    <row r="37" spans="1:30">
      <c r="A37" s="2953" t="s">
        <v>2492</v>
      </c>
      <c r="B37" s="1228"/>
      <c r="C37" s="1228" t="s">
        <v>32</v>
      </c>
      <c r="D37" s="1228"/>
      <c r="E37" s="1228"/>
      <c r="F37" s="1228"/>
      <c r="G37" s="2881"/>
      <c r="H37" s="2881"/>
      <c r="I37" s="2881"/>
      <c r="J37" s="862"/>
      <c r="K37" s="2886"/>
      <c r="L37" s="2887"/>
      <c r="M37" s="2887"/>
      <c r="N37" s="862"/>
      <c r="O37" s="2887"/>
      <c r="P37" s="862"/>
      <c r="Q37" s="862"/>
      <c r="R37" s="862"/>
      <c r="S37" s="862"/>
      <c r="T37" s="862"/>
      <c r="U37" s="862"/>
      <c r="V37" s="862"/>
    </row>
    <row r="38" spans="1:30" ht="13.5" thickBot="1">
      <c r="A38" s="2954" t="s">
        <v>2493</v>
      </c>
      <c r="B38" s="2955"/>
      <c r="C38" s="2955" t="s">
        <v>2938</v>
      </c>
      <c r="D38" s="2955"/>
      <c r="E38" s="2955"/>
      <c r="F38" s="2955"/>
      <c r="G38" s="2899"/>
      <c r="H38" s="2899"/>
      <c r="I38" s="2899"/>
      <c r="J38" s="862"/>
      <c r="K38" s="2886"/>
      <c r="L38" s="2887"/>
      <c r="M38" s="2887"/>
      <c r="N38" s="862"/>
      <c r="O38" s="2887"/>
      <c r="P38" s="862"/>
      <c r="Q38" s="862"/>
      <c r="R38" s="862"/>
      <c r="S38" s="862"/>
      <c r="T38" s="862"/>
      <c r="U38" s="862"/>
      <c r="V38" s="862"/>
    </row>
    <row r="39" spans="1:30" s="2962" customFormat="1" ht="14.25" thickTop="1" thickBot="1">
      <c r="A39" s="2956" t="s">
        <v>2494</v>
      </c>
      <c r="B39" s="2957"/>
      <c r="C39" s="2957"/>
      <c r="D39" s="2957"/>
      <c r="E39" s="2957"/>
      <c r="F39" s="2957"/>
      <c r="G39" s="2957"/>
      <c r="H39" s="2957"/>
      <c r="I39" s="2957"/>
      <c r="J39" s="2958"/>
      <c r="K39" s="2959"/>
      <c r="L39" s="2958"/>
      <c r="M39" s="2958"/>
      <c r="N39" s="2958"/>
      <c r="O39" s="2960"/>
      <c r="P39" s="2958"/>
      <c r="Q39" s="2958"/>
      <c r="R39" s="2958"/>
      <c r="S39" s="2958"/>
      <c r="T39" s="2958"/>
      <c r="U39" s="2958"/>
      <c r="V39" s="2958"/>
      <c r="W39" s="2961"/>
      <c r="X39" s="2961"/>
      <c r="Y39" s="2961"/>
      <c r="Z39" s="2961"/>
      <c r="AA39" s="2961"/>
      <c r="AB39" s="2961"/>
      <c r="AC39" s="2961"/>
      <c r="AD39" s="2961"/>
    </row>
    <row r="40" spans="1:30">
      <c r="A40" s="2865"/>
      <c r="B40" s="2865"/>
      <c r="C40" s="2865"/>
      <c r="D40" s="2865"/>
      <c r="E40" s="2865"/>
      <c r="F40" s="2865"/>
      <c r="G40" s="2865"/>
      <c r="H40" s="2865"/>
      <c r="I40" s="1022"/>
      <c r="J40" s="862"/>
      <c r="K40" s="2886"/>
      <c r="L40" s="2887"/>
      <c r="M40" s="2887"/>
      <c r="N40" s="862"/>
      <c r="O40" s="2887"/>
      <c r="P40" s="862"/>
      <c r="Q40" s="862"/>
      <c r="R40" s="862"/>
      <c r="S40" s="862"/>
      <c r="T40" s="862"/>
      <c r="U40" s="862"/>
      <c r="V40" s="862"/>
    </row>
    <row r="41" spans="1:30">
      <c r="A41" s="2963" t="s">
        <v>2495</v>
      </c>
      <c r="B41" s="876"/>
      <c r="C41" s="826"/>
      <c r="D41" s="2865"/>
      <c r="E41" s="2865"/>
      <c r="F41" s="2865"/>
      <c r="G41" s="2865"/>
      <c r="H41" s="2865"/>
      <c r="I41" s="2864"/>
      <c r="J41" s="862"/>
      <c r="K41" s="2886"/>
      <c r="L41" s="2887"/>
      <c r="M41" s="2887"/>
      <c r="N41" s="862"/>
      <c r="O41" s="2887"/>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64" t="s">
        <v>2505</v>
      </c>
      <c r="K42" s="2965" t="s">
        <v>2506</v>
      </c>
      <c r="L42" s="2965" t="s">
        <v>2507</v>
      </c>
      <c r="M42" s="2965" t="s">
        <v>2508</v>
      </c>
      <c r="N42" s="2965" t="s">
        <v>2509</v>
      </c>
      <c r="O42" s="2965" t="s">
        <v>2510</v>
      </c>
      <c r="P42" s="2965" t="s">
        <v>2511</v>
      </c>
      <c r="Q42" s="2966" t="s">
        <v>2512</v>
      </c>
      <c r="R42" s="2966" t="s">
        <v>2513</v>
      </c>
      <c r="S42" s="862"/>
      <c r="T42" s="862"/>
      <c r="U42" s="862"/>
      <c r="V42" s="862"/>
    </row>
    <row r="43" spans="1:30" s="2868" customFormat="1">
      <c r="A43" s="2967"/>
      <c r="B43" s="2968"/>
      <c r="C43" s="2968"/>
      <c r="D43" s="2968"/>
      <c r="E43" s="2968"/>
      <c r="F43" s="2968"/>
      <c r="G43" s="2968"/>
      <c r="H43" s="2968"/>
      <c r="I43" s="2968"/>
      <c r="J43" s="2969"/>
      <c r="K43" s="2968"/>
      <c r="L43" s="2968"/>
      <c r="M43" s="2968"/>
      <c r="N43" s="2968"/>
      <c r="O43" s="2968"/>
      <c r="P43" s="2968"/>
      <c r="Q43" s="2968"/>
      <c r="R43" s="2968"/>
      <c r="S43" s="862"/>
      <c r="T43" s="862"/>
      <c r="U43" s="862"/>
      <c r="V43" s="862"/>
    </row>
    <row r="44" spans="1:30" s="2868" customFormat="1">
      <c r="A44" s="2967"/>
      <c r="B44" s="2967"/>
      <c r="C44" s="2968"/>
      <c r="D44" s="2968"/>
      <c r="E44" s="2968"/>
      <c r="F44" s="2968"/>
      <c r="G44" s="2968"/>
      <c r="H44" s="2968"/>
      <c r="I44" s="2968"/>
      <c r="J44" s="2969"/>
      <c r="K44" s="2968"/>
      <c r="L44" s="2968"/>
      <c r="M44" s="2968"/>
      <c r="N44" s="2968"/>
      <c r="O44" s="2968"/>
      <c r="P44" s="2968"/>
      <c r="Q44" s="2968"/>
      <c r="R44" s="2968"/>
      <c r="S44" s="862"/>
      <c r="T44" s="862"/>
      <c r="U44" s="862"/>
      <c r="V44" s="862"/>
    </row>
    <row r="45" spans="1:30" s="2868" customFormat="1">
      <c r="A45" s="2967"/>
      <c r="B45" s="2967"/>
      <c r="C45" s="2968"/>
      <c r="D45" s="2968"/>
      <c r="E45" s="2968"/>
      <c r="F45" s="2968"/>
      <c r="G45" s="2968"/>
      <c r="H45" s="2968"/>
      <c r="I45" s="2968"/>
      <c r="J45" s="2969"/>
      <c r="K45" s="2968"/>
      <c r="L45" s="2968"/>
      <c r="M45" s="2968"/>
      <c r="N45" s="2968"/>
      <c r="O45" s="2968"/>
      <c r="P45" s="2968"/>
      <c r="Q45" s="2968"/>
      <c r="R45" s="2968"/>
      <c r="S45" s="862"/>
      <c r="T45" s="862"/>
      <c r="U45" s="862"/>
      <c r="V45" s="862"/>
    </row>
    <row r="46" spans="1:30" s="2868" customFormat="1">
      <c r="A46" s="2967"/>
      <c r="B46" s="2967"/>
      <c r="C46" s="2968"/>
      <c r="D46" s="2968"/>
      <c r="E46" s="2968"/>
      <c r="F46" s="2968"/>
      <c r="G46" s="2968"/>
      <c r="H46" s="2968"/>
      <c r="I46" s="2968"/>
      <c r="J46" s="2969"/>
      <c r="K46" s="2968"/>
      <c r="L46" s="2968"/>
      <c r="M46" s="2968"/>
      <c r="N46" s="2968"/>
      <c r="O46" s="2968"/>
      <c r="P46" s="2968"/>
      <c r="Q46" s="2968"/>
      <c r="R46" s="2968"/>
      <c r="S46" s="862"/>
      <c r="T46" s="862"/>
      <c r="U46" s="862"/>
      <c r="V46" s="862"/>
    </row>
    <row r="47" spans="1:30" s="2868" customFormat="1">
      <c r="A47" s="2967"/>
      <c r="B47" s="2967"/>
      <c r="C47" s="2968"/>
      <c r="D47" s="2968"/>
      <c r="E47" s="2968"/>
      <c r="F47" s="2968"/>
      <c r="G47" s="2968"/>
      <c r="H47" s="2968"/>
      <c r="I47" s="2968"/>
      <c r="J47" s="2969"/>
      <c r="K47" s="2968"/>
      <c r="L47" s="2968"/>
      <c r="M47" s="2968"/>
      <c r="N47" s="2968"/>
      <c r="O47" s="2968"/>
      <c r="P47" s="2968"/>
      <c r="Q47" s="2968"/>
      <c r="R47" s="2968"/>
      <c r="S47" s="862"/>
      <c r="T47" s="862"/>
      <c r="U47" s="862"/>
      <c r="V47" s="862"/>
    </row>
    <row r="48" spans="1:30" s="2868" customFormat="1">
      <c r="A48" s="2967"/>
      <c r="B48" s="2967"/>
      <c r="C48" s="2968"/>
      <c r="D48" s="2968"/>
      <c r="E48" s="2968"/>
      <c r="F48" s="2968"/>
      <c r="G48" s="2968"/>
      <c r="H48" s="2968"/>
      <c r="I48" s="2968"/>
      <c r="J48" s="2969"/>
      <c r="K48" s="2968"/>
      <c r="L48" s="2968"/>
      <c r="M48" s="2968"/>
      <c r="N48" s="2968"/>
      <c r="O48" s="2968"/>
      <c r="P48" s="2968"/>
      <c r="Q48" s="2968"/>
      <c r="R48" s="2968"/>
      <c r="S48" s="862"/>
      <c r="T48" s="862"/>
      <c r="U48" s="862"/>
      <c r="V48" s="862"/>
    </row>
    <row r="49" spans="1:22" s="2868" customFormat="1">
      <c r="A49" s="2967"/>
      <c r="B49" s="2967"/>
      <c r="C49" s="2968"/>
      <c r="D49" s="2968"/>
      <c r="E49" s="2968"/>
      <c r="F49" s="2968"/>
      <c r="G49" s="2968"/>
      <c r="H49" s="2968"/>
      <c r="I49" s="2968"/>
      <c r="J49" s="2969"/>
      <c r="K49" s="2968"/>
      <c r="L49" s="2968"/>
      <c r="M49" s="2968"/>
      <c r="N49" s="2968"/>
      <c r="O49" s="2968"/>
      <c r="P49" s="2968"/>
      <c r="Q49" s="2968"/>
      <c r="R49" s="2968"/>
      <c r="S49" s="862"/>
      <c r="T49" s="862"/>
      <c r="U49" s="862"/>
      <c r="V49" s="862"/>
    </row>
    <row r="50" spans="1:22" s="2868" customFormat="1">
      <c r="A50" s="2967"/>
      <c r="B50" s="2967"/>
      <c r="C50" s="2968"/>
      <c r="D50" s="2968"/>
      <c r="E50" s="2968"/>
      <c r="F50" s="2968"/>
      <c r="G50" s="2968"/>
      <c r="H50" s="2968"/>
      <c r="I50" s="2968"/>
      <c r="J50" s="2969"/>
      <c r="K50" s="2968"/>
      <c r="L50" s="2968"/>
      <c r="M50" s="2968"/>
      <c r="N50" s="2968"/>
      <c r="O50" s="2968"/>
      <c r="P50" s="2968"/>
      <c r="Q50" s="2968"/>
      <c r="R50" s="2968"/>
      <c r="S50" s="862"/>
      <c r="T50" s="862"/>
      <c r="U50" s="862"/>
      <c r="V50" s="862"/>
    </row>
    <row r="51" spans="1:22" s="2868" customFormat="1">
      <c r="A51" s="2967"/>
      <c r="B51" s="2967"/>
      <c r="C51" s="2968"/>
      <c r="D51" s="2968"/>
      <c r="E51" s="2968"/>
      <c r="F51" s="2968"/>
      <c r="G51" s="2968"/>
      <c r="H51" s="2968"/>
      <c r="I51" s="2968"/>
      <c r="J51" s="2969"/>
      <c r="K51" s="2968"/>
      <c r="L51" s="2968"/>
      <c r="M51" s="2968"/>
      <c r="N51" s="2968"/>
      <c r="O51" s="2968"/>
      <c r="P51" s="2968"/>
      <c r="Q51" s="2968"/>
      <c r="R51" s="2968"/>
    </row>
    <row r="52" spans="1:22" s="2868" customFormat="1">
      <c r="A52" s="2967"/>
      <c r="B52" s="2967"/>
      <c r="C52" s="2967"/>
      <c r="D52" s="2967"/>
      <c r="E52" s="2967"/>
      <c r="F52" s="2968"/>
      <c r="G52" s="2967"/>
      <c r="H52" s="2967"/>
      <c r="I52" s="2967"/>
      <c r="J52" s="2970"/>
      <c r="K52" s="2968"/>
      <c r="L52" s="2968"/>
      <c r="M52" s="2968"/>
      <c r="N52" s="2967"/>
      <c r="O52" s="2967"/>
      <c r="P52" s="2967"/>
      <c r="Q52" s="2967"/>
      <c r="R52" s="2967"/>
    </row>
    <row r="53" spans="1:22" s="2868" customFormat="1">
      <c r="A53" s="2967"/>
      <c r="B53" s="2967"/>
      <c r="C53" s="2967"/>
      <c r="D53" s="2967"/>
      <c r="E53" s="2967"/>
      <c r="F53" s="2968"/>
      <c r="G53" s="2967"/>
      <c r="H53" s="2967"/>
      <c r="I53" s="2967"/>
      <c r="J53" s="2970"/>
      <c r="K53" s="2968"/>
      <c r="L53" s="2968"/>
      <c r="M53" s="2968"/>
      <c r="N53" s="2967"/>
      <c r="O53" s="2967"/>
      <c r="P53" s="2967"/>
      <c r="Q53" s="2967"/>
      <c r="R53" s="2967"/>
    </row>
    <row r="54" spans="1:22" s="2868" customFormat="1">
      <c r="A54" s="2967"/>
      <c r="B54" s="2967"/>
      <c r="C54" s="2967"/>
      <c r="D54" s="2967"/>
      <c r="E54" s="2967"/>
      <c r="F54" s="2968"/>
      <c r="G54" s="2967"/>
      <c r="H54" s="2967"/>
      <c r="I54" s="2967"/>
      <c r="J54" s="2970"/>
      <c r="K54" s="2968"/>
      <c r="L54" s="2968"/>
      <c r="M54" s="2968"/>
      <c r="N54" s="2967"/>
      <c r="O54" s="2967"/>
      <c r="P54" s="2967"/>
      <c r="Q54" s="2967"/>
      <c r="R54" s="2967"/>
    </row>
    <row r="55" spans="1:22" s="2868" customFormat="1">
      <c r="A55" s="2967"/>
      <c r="B55" s="2967"/>
      <c r="C55" s="2967"/>
      <c r="D55" s="2967"/>
      <c r="E55" s="2967"/>
      <c r="F55" s="2968"/>
      <c r="G55" s="2967"/>
      <c r="H55" s="2967"/>
      <c r="I55" s="2967"/>
      <c r="J55" s="2970"/>
      <c r="K55" s="2968"/>
      <c r="L55" s="2968"/>
      <c r="M55" s="2968"/>
      <c r="N55" s="2967"/>
      <c r="O55" s="2967"/>
      <c r="P55" s="2967"/>
      <c r="Q55" s="2967"/>
      <c r="R55" s="2967"/>
    </row>
    <row r="56" spans="1:22" s="2868" customFormat="1">
      <c r="A56" s="2967"/>
      <c r="B56" s="2967"/>
      <c r="C56" s="2967"/>
      <c r="D56" s="2967"/>
      <c r="E56" s="2967"/>
      <c r="F56" s="2968"/>
      <c r="G56" s="2967"/>
      <c r="H56" s="2967"/>
      <c r="I56" s="2967"/>
      <c r="J56" s="2970"/>
      <c r="K56" s="2968"/>
      <c r="L56" s="2968"/>
      <c r="M56" s="2968"/>
      <c r="N56" s="2967"/>
      <c r="O56" s="2967"/>
      <c r="P56" s="2967"/>
      <c r="Q56" s="2967"/>
      <c r="R56" s="29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3"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3" t="s">
        <v>1354</v>
      </c>
      <c r="B2" s="3063"/>
      <c r="C2" s="3063"/>
      <c r="D2" s="705" t="s">
        <v>1330</v>
      </c>
      <c r="E2" s="706" t="s">
        <v>1331</v>
      </c>
      <c r="F2" s="707"/>
      <c r="G2" s="708"/>
      <c r="H2" s="709"/>
      <c r="I2" s="710" t="s">
        <v>1355</v>
      </c>
      <c r="J2" s="707"/>
      <c r="K2" s="707"/>
      <c r="L2" s="707"/>
      <c r="M2" s="707"/>
      <c r="N2" s="472"/>
      <c r="O2" s="707"/>
      <c r="P2" s="707"/>
    </row>
    <row r="3" spans="1:16" ht="15.75" thickBot="1">
      <c r="A3" s="3064" t="s">
        <v>1328</v>
      </c>
      <c r="B3" s="3064"/>
      <c r="C3" s="3064"/>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65"/>
      <c r="B4" s="3066"/>
      <c r="C4" s="3067"/>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68" t="s">
        <v>1333</v>
      </c>
      <c r="C5" s="3068"/>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68" t="s">
        <v>1334</v>
      </c>
      <c r="C6" s="3068"/>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0"/>
      <c r="B7" s="3061"/>
      <c r="C7" s="3062"/>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57" t="s">
        <v>1358</v>
      </c>
      <c r="L16" s="3058"/>
      <c r="M16" s="3058"/>
      <c r="N16" s="3058"/>
      <c r="O16" s="3058"/>
      <c r="P16" s="3059"/>
    </row>
    <row r="17" spans="1:19" ht="15">
      <c r="A17" s="737" t="s">
        <v>1359</v>
      </c>
      <c r="B17" s="738" t="s">
        <v>1360</v>
      </c>
      <c r="C17" s="739" t="s">
        <v>1361</v>
      </c>
      <c r="D17" s="740" t="s">
        <v>1349</v>
      </c>
      <c r="E17" s="741" t="s">
        <v>1350</v>
      </c>
      <c r="F17" s="742"/>
      <c r="G17" s="743"/>
      <c r="H17" s="744" t="s">
        <v>1362</v>
      </c>
      <c r="I17" s="745" t="s">
        <v>1347</v>
      </c>
      <c r="J17" s="703"/>
      <c r="K17" s="3054" t="s">
        <v>1363</v>
      </c>
      <c r="L17" s="3055"/>
      <c r="M17" s="3056"/>
      <c r="N17" s="3054" t="s">
        <v>1364</v>
      </c>
      <c r="O17" s="3055"/>
      <c r="P17" s="3056"/>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0"/>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44796</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69" t="s">
        <v>2548</v>
      </c>
      <c r="B1" s="3070"/>
      <c r="C1" s="3070"/>
      <c r="D1" s="3070"/>
      <c r="E1" s="3070"/>
      <c r="F1" s="3070"/>
      <c r="G1" s="3070"/>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44796</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3" t="str">
        <f>项目基本情况!S2</f>
        <v>北京市房地产</v>
      </c>
      <c r="B2" s="3104"/>
      <c r="C2" s="3104"/>
      <c r="D2" s="3104"/>
      <c r="E2" s="3104"/>
      <c r="F2" s="3104"/>
      <c r="G2" s="3104"/>
      <c r="H2" s="3104"/>
      <c r="I2" s="3105"/>
    </row>
    <row r="3" spans="1:12" ht="12.75">
      <c r="A3" s="3107" t="s">
        <v>1488</v>
      </c>
      <c r="B3" s="3108"/>
      <c r="C3" s="3108"/>
      <c r="D3" s="3108"/>
      <c r="E3" s="3108"/>
      <c r="F3" s="3108"/>
      <c r="G3" s="3108"/>
      <c r="H3" s="3108"/>
      <c r="I3" s="3108"/>
    </row>
    <row r="4" spans="1:12" ht="14.25">
      <c r="A4" s="872" t="s">
        <v>1489</v>
      </c>
      <c r="B4" s="873" t="s">
        <v>1490</v>
      </c>
      <c r="C4" s="874"/>
      <c r="D4" s="874"/>
      <c r="E4" s="3109" t="s">
        <v>1491</v>
      </c>
      <c r="F4" s="3110"/>
      <c r="G4" s="3110"/>
      <c r="H4" s="3110"/>
      <c r="I4" s="311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4" t="s">
        <v>1492</v>
      </c>
      <c r="B5" s="3072">
        <v>25</v>
      </c>
      <c r="C5" s="3087"/>
      <c r="D5" s="3106"/>
      <c r="E5" s="875" t="s">
        <v>1493</v>
      </c>
      <c r="F5" s="876"/>
      <c r="G5" s="876"/>
      <c r="H5" s="876"/>
      <c r="I5" s="826"/>
    </row>
    <row r="6" spans="1:12" ht="12.75">
      <c r="A6" s="3084"/>
      <c r="B6" s="3072"/>
      <c r="C6" s="3088"/>
      <c r="D6" s="3106"/>
      <c r="E6" s="875" t="s">
        <v>1494</v>
      </c>
      <c r="F6" s="876"/>
      <c r="G6" s="876"/>
      <c r="H6" s="876"/>
      <c r="I6" s="826"/>
    </row>
    <row r="7" spans="1:12" ht="12.75">
      <c r="A7" s="3084"/>
      <c r="B7" s="3072"/>
      <c r="C7" s="3089"/>
      <c r="D7" s="3106"/>
      <c r="E7" s="875" t="s">
        <v>1495</v>
      </c>
      <c r="F7" s="876"/>
      <c r="G7" s="876"/>
      <c r="H7" s="876"/>
      <c r="I7" s="826"/>
    </row>
    <row r="8" spans="1:12" ht="12.75">
      <c r="A8" s="3084" t="s">
        <v>1496</v>
      </c>
      <c r="B8" s="3072">
        <v>15</v>
      </c>
      <c r="C8" s="3087"/>
      <c r="D8" s="3106"/>
      <c r="E8" s="875" t="s">
        <v>1497</v>
      </c>
      <c r="F8" s="876"/>
      <c r="G8" s="876"/>
      <c r="H8" s="876"/>
      <c r="I8" s="826"/>
    </row>
    <row r="9" spans="1:12" ht="12.75">
      <c r="A9" s="3084"/>
      <c r="B9" s="3072"/>
      <c r="C9" s="3089"/>
      <c r="D9" s="3106"/>
      <c r="E9" s="875" t="s">
        <v>1498</v>
      </c>
      <c r="F9" s="876"/>
      <c r="G9" s="876"/>
      <c r="H9" s="876"/>
      <c r="I9" s="826"/>
    </row>
    <row r="10" spans="1:12" ht="12.75">
      <c r="A10" s="3084" t="s">
        <v>1499</v>
      </c>
      <c r="B10" s="3072">
        <v>15</v>
      </c>
      <c r="C10" s="3087"/>
      <c r="D10" s="3106"/>
      <c r="E10" s="875" t="s">
        <v>1500</v>
      </c>
      <c r="F10" s="876"/>
      <c r="G10" s="876"/>
      <c r="H10" s="876"/>
      <c r="I10" s="826"/>
    </row>
    <row r="11" spans="1:12" ht="12.75">
      <c r="A11" s="3084"/>
      <c r="B11" s="3072"/>
      <c r="C11" s="3089"/>
      <c r="D11" s="3106"/>
      <c r="E11" s="875" t="s">
        <v>1501</v>
      </c>
      <c r="F11" s="876"/>
      <c r="G11" s="876"/>
      <c r="H11" s="876"/>
      <c r="I11" s="826"/>
    </row>
    <row r="12" spans="1:12" ht="12.75">
      <c r="A12" s="3084" t="s">
        <v>1502</v>
      </c>
      <c r="B12" s="3072">
        <v>15</v>
      </c>
      <c r="C12" s="3087"/>
      <c r="D12" s="3106"/>
      <c r="E12" s="875" t="s">
        <v>1503</v>
      </c>
      <c r="F12" s="876"/>
      <c r="G12" s="876"/>
      <c r="H12" s="876"/>
      <c r="I12" s="826"/>
    </row>
    <row r="13" spans="1:12" ht="12.75">
      <c r="A13" s="3084"/>
      <c r="B13" s="3072"/>
      <c r="C13" s="3089"/>
      <c r="D13" s="3106"/>
      <c r="E13" s="875" t="s">
        <v>1504</v>
      </c>
      <c r="F13" s="876"/>
      <c r="G13" s="876"/>
      <c r="H13" s="876"/>
      <c r="I13" s="826"/>
    </row>
    <row r="14" spans="1:12" ht="12.75">
      <c r="A14" s="3084" t="s">
        <v>1505</v>
      </c>
      <c r="B14" s="3072">
        <v>30</v>
      </c>
      <c r="C14" s="3087"/>
      <c r="D14" s="3106"/>
      <c r="E14" s="875" t="s">
        <v>1506</v>
      </c>
      <c r="F14" s="876"/>
      <c r="G14" s="876"/>
      <c r="H14" s="876"/>
      <c r="I14" s="826"/>
    </row>
    <row r="15" spans="1:12" ht="12.75">
      <c r="A15" s="3084"/>
      <c r="B15" s="3072"/>
      <c r="C15" s="3088"/>
      <c r="D15" s="3106"/>
      <c r="E15" s="875" t="s">
        <v>1507</v>
      </c>
      <c r="F15" s="876"/>
      <c r="G15" s="876"/>
      <c r="H15" s="876"/>
      <c r="I15" s="826"/>
    </row>
    <row r="16" spans="1:12" ht="12.75">
      <c r="A16" s="3084"/>
      <c r="B16" s="3072"/>
      <c r="C16" s="3089"/>
      <c r="D16" s="3106"/>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094" t="s">
        <v>2389</v>
      </c>
      <c r="F18" s="3095"/>
      <c r="G18" s="3095"/>
      <c r="H18" s="3095"/>
      <c r="I18" s="3095"/>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79" t="s">
        <v>1523</v>
      </c>
      <c r="B24" s="884" t="s">
        <v>1515</v>
      </c>
      <c r="C24" s="887">
        <f>IF(B30=0,0,D30)</f>
        <v>0</v>
      </c>
      <c r="D24" s="903"/>
      <c r="E24" s="677"/>
      <c r="F24" s="677"/>
      <c r="G24" s="677"/>
      <c r="H24" s="677"/>
      <c r="I24" s="677"/>
    </row>
    <row r="25" spans="1:36" ht="14.25">
      <c r="A25" s="3080"/>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097" t="s">
        <v>1536</v>
      </c>
      <c r="B36" s="938" t="s">
        <v>1537</v>
      </c>
      <c r="C36" s="939"/>
      <c r="D36" s="940"/>
      <c r="E36" s="941"/>
      <c r="F36" s="942"/>
      <c r="G36" s="677"/>
      <c r="H36" s="677"/>
      <c r="I36" s="677"/>
    </row>
    <row r="37" spans="1:15" ht="15.75" thickBot="1">
      <c r="A37" s="3098"/>
      <c r="B37" s="784" t="s">
        <v>1538</v>
      </c>
      <c r="C37" s="943"/>
      <c r="D37" s="703"/>
      <c r="E37" s="703"/>
      <c r="F37" s="942"/>
      <c r="G37" s="677"/>
      <c r="H37" s="677"/>
      <c r="I37" s="677"/>
    </row>
    <row r="38" spans="1:15" ht="15.75" thickBot="1">
      <c r="A38" s="3099"/>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76" t="s">
        <v>1550</v>
      </c>
      <c r="B45" s="3077"/>
      <c r="C45" s="3078"/>
      <c r="D45" s="965" t="e">
        <f ca="1">ROUND(H101*F45,0)</f>
        <v>#REF!</v>
      </c>
      <c r="E45" s="966" t="s">
        <v>1551</v>
      </c>
      <c r="F45" s="967">
        <v>1</v>
      </c>
      <c r="G45" s="968" t="s">
        <v>1552</v>
      </c>
      <c r="H45" s="677"/>
      <c r="I45" s="677"/>
      <c r="J45" s="3151" t="s">
        <v>1553</v>
      </c>
      <c r="K45" s="3151"/>
      <c r="L45" s="3151"/>
      <c r="M45" s="3151"/>
      <c r="N45" s="3151"/>
      <c r="O45" s="3151"/>
    </row>
    <row r="46" spans="1:15" ht="14.25" customHeight="1">
      <c r="A46" s="3073" t="s">
        <v>1554</v>
      </c>
      <c r="B46" s="3074"/>
      <c r="C46" s="3074"/>
      <c r="D46" s="3074"/>
      <c r="E46" s="3074"/>
      <c r="F46" s="3074"/>
      <c r="G46" s="3075"/>
      <c r="H46" s="678"/>
      <c r="I46" s="678"/>
      <c r="J46" s="499">
        <v>1</v>
      </c>
      <c r="K46" s="3132" t="s">
        <v>1555</v>
      </c>
      <c r="L46" s="3132"/>
      <c r="M46" s="3152"/>
      <c r="N46" s="3152"/>
      <c r="O46" s="3152"/>
    </row>
    <row r="47" spans="1:15" ht="12" customHeight="1">
      <c r="A47" s="969" t="s">
        <v>1556</v>
      </c>
      <c r="B47" s="970"/>
      <c r="C47" s="971"/>
      <c r="D47" s="972" t="s">
        <v>1557</v>
      </c>
      <c r="E47" s="879" t="s">
        <v>1558</v>
      </c>
      <c r="F47" s="973" t="s">
        <v>1559</v>
      </c>
      <c r="G47" s="974" t="s">
        <v>1560</v>
      </c>
      <c r="H47" s="975"/>
      <c r="I47" s="678"/>
      <c r="J47" s="499">
        <v>2</v>
      </c>
      <c r="K47" s="3132" t="s">
        <v>1561</v>
      </c>
      <c r="L47" s="3132"/>
      <c r="M47" s="3153">
        <f>'数据-取费表'!B2</f>
        <v>44796</v>
      </c>
      <c r="N47" s="3153"/>
      <c r="O47" s="3153"/>
    </row>
    <row r="48" spans="1:15" ht="25.5">
      <c r="A48" s="3102" t="s">
        <v>1562</v>
      </c>
      <c r="B48" s="3086"/>
      <c r="C48" s="3086"/>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2" t="s">
        <v>1564</v>
      </c>
      <c r="L48" s="3132"/>
      <c r="M48" s="3153" t="e">
        <f ca="1">H101</f>
        <v>#REF!</v>
      </c>
      <c r="N48" s="3153"/>
      <c r="O48" s="3153"/>
    </row>
    <row r="49" spans="1:35" ht="25.5" customHeight="1">
      <c r="A49" s="981" t="s">
        <v>1565</v>
      </c>
      <c r="B49" s="3071" t="s">
        <v>1566</v>
      </c>
      <c r="C49" s="3071"/>
      <c r="D49" s="982">
        <v>0</v>
      </c>
      <c r="E49" s="983" t="s">
        <v>1567</v>
      </c>
      <c r="F49" s="984" t="s">
        <v>31</v>
      </c>
      <c r="G49" s="3138"/>
      <c r="H49" s="985" t="s">
        <v>2392</v>
      </c>
      <c r="I49" s="986"/>
      <c r="J49" s="499">
        <v>4</v>
      </c>
      <c r="K49" s="3132" t="str">
        <f>IF(项目基本情况!E8="房地产抵押价值","房地产抵押价值","抵押担保权已注销时的房地产抵押价值")</f>
        <v>房地产抵押价值</v>
      </c>
      <c r="L49" s="3132"/>
      <c r="M49" s="3153" t="str">
        <f ca="1">IF(项目基本情况!E8="房地产抵押价值",H107,H109)</f>
        <v>——</v>
      </c>
      <c r="N49" s="3153"/>
      <c r="O49" s="3153"/>
    </row>
    <row r="50" spans="1:35" ht="25.5" customHeight="1">
      <c r="A50" s="987"/>
      <c r="B50" s="3071" t="s">
        <v>1568</v>
      </c>
      <c r="C50" s="3071"/>
      <c r="D50" s="988"/>
      <c r="E50" s="989"/>
      <c r="F50" s="984"/>
      <c r="G50" s="3139"/>
      <c r="H50" s="986" t="s">
        <v>2393</v>
      </c>
      <c r="I50" s="986"/>
      <c r="J50" s="3151" t="s">
        <v>1569</v>
      </c>
      <c r="K50" s="3151"/>
      <c r="L50" s="3151"/>
      <c r="M50" s="3151"/>
      <c r="N50" s="3151"/>
      <c r="O50" s="3151"/>
    </row>
    <row r="51" spans="1:35" ht="20.45" customHeight="1">
      <c r="A51" s="990"/>
      <c r="B51" s="3071" t="s">
        <v>1570</v>
      </c>
      <c r="C51" s="3071"/>
      <c r="D51" s="972"/>
      <c r="E51" s="991"/>
      <c r="F51" s="984"/>
      <c r="G51" s="3140"/>
      <c r="H51" s="986" t="s">
        <v>2394</v>
      </c>
      <c r="I51" s="986"/>
      <c r="J51" s="992" t="s">
        <v>1571</v>
      </c>
      <c r="K51" s="3132" t="s">
        <v>1572</v>
      </c>
      <c r="L51" s="3132"/>
      <c r="M51" s="992" t="s">
        <v>1573</v>
      </c>
      <c r="N51" s="992" t="s">
        <v>1574</v>
      </c>
      <c r="O51" s="992" t="s">
        <v>1575</v>
      </c>
    </row>
    <row r="52" spans="1:35" ht="24" customHeight="1">
      <c r="A52" s="993" t="s">
        <v>1576</v>
      </c>
      <c r="B52" s="3071" t="s">
        <v>1577</v>
      </c>
      <c r="C52" s="3071"/>
      <c r="D52" s="972" t="e">
        <f ca="1">ROUND(D45*'数据-取费表'!B41/(1+'数据-取费表'!C42),0)</f>
        <v>#REF!</v>
      </c>
      <c r="E52" s="977" t="s">
        <v>1578</v>
      </c>
      <c r="F52" s="879">
        <f>'数据-取费表'!B41</f>
        <v>0</v>
      </c>
      <c r="G52" s="974"/>
      <c r="H52" s="975"/>
      <c r="I52" s="678"/>
      <c r="J52" s="499">
        <v>1</v>
      </c>
      <c r="K52" s="3133" t="s">
        <v>1579</v>
      </c>
      <c r="L52" s="3133"/>
      <c r="M52" s="994" t="b">
        <f>D48</f>
        <v>0</v>
      </c>
      <c r="N52" s="499" t="str">
        <f>E48</f>
        <v>销售额×税（费）率</v>
      </c>
      <c r="O52" s="995">
        <f>F48</f>
        <v>0</v>
      </c>
    </row>
    <row r="53" spans="1:35" ht="12" customHeight="1">
      <c r="A53" s="993" t="s">
        <v>1580</v>
      </c>
      <c r="B53" s="3081" t="s">
        <v>2553</v>
      </c>
      <c r="C53" s="3096"/>
      <c r="D53" s="972" t="e">
        <f ca="1">ROUND(D45*'数据-取费表'!B41/(1+'数据-取费表'!C42),0)</f>
        <v>#REF!</v>
      </c>
      <c r="E53" s="977" t="s">
        <v>1578</v>
      </c>
      <c r="F53" s="879">
        <f>'数据-取费表'!B41</f>
        <v>0</v>
      </c>
      <c r="G53" s="974"/>
      <c r="H53" s="975"/>
      <c r="I53" s="678"/>
      <c r="J53" s="499">
        <v>2</v>
      </c>
      <c r="K53" s="3133" t="s">
        <v>1581</v>
      </c>
      <c r="L53" s="3133"/>
      <c r="M53" s="994" t="e">
        <f t="shared" ref="M53:O54" ca="1" si="0">D55</f>
        <v>#REF!</v>
      </c>
      <c r="N53" s="499" t="str">
        <f t="shared" si="0"/>
        <v>销售额×税（费）率</v>
      </c>
      <c r="O53" s="995" t="str">
        <f t="shared" si="0"/>
        <v>免征</v>
      </c>
    </row>
    <row r="54" spans="1:35" ht="12" customHeight="1">
      <c r="A54" s="993" t="s">
        <v>1582</v>
      </c>
      <c r="B54" s="3081" t="s">
        <v>2554</v>
      </c>
      <c r="C54" s="3096"/>
      <c r="D54" s="972" t="e">
        <f ca="1">C68</f>
        <v>#REF!</v>
      </c>
      <c r="E54" s="991" t="s">
        <v>1583</v>
      </c>
      <c r="F54" s="879">
        <f>'数据-取费表'!B41</f>
        <v>0</v>
      </c>
      <c r="G54" s="974"/>
      <c r="H54" s="996"/>
      <c r="I54" s="678"/>
      <c r="J54" s="499">
        <v>3</v>
      </c>
      <c r="K54" s="3133" t="s">
        <v>1584</v>
      </c>
      <c r="L54" s="3133"/>
      <c r="M54" s="994" t="e">
        <f t="shared" ca="1" si="0"/>
        <v>#REF!</v>
      </c>
      <c r="N54" s="499" t="str">
        <f t="shared" si="0"/>
        <v>增值额×税（费）率</v>
      </c>
      <c r="O54" s="995" t="str">
        <f t="shared" si="0"/>
        <v>免征</v>
      </c>
    </row>
    <row r="55" spans="1:35" ht="24" customHeight="1">
      <c r="A55" s="3085" t="s">
        <v>1585</v>
      </c>
      <c r="B55" s="3086"/>
      <c r="C55" s="3086"/>
      <c r="D55" s="976" t="e">
        <f ca="1">IF(H55="个人住宅",0,ROUND(D45*I55,0))</f>
        <v>#REF!</v>
      </c>
      <c r="E55" s="977" t="s">
        <v>1586</v>
      </c>
      <c r="F55" s="879" t="str">
        <f>IF(H55="正常",I55,"免征")</f>
        <v>免征</v>
      </c>
      <c r="G55" s="974"/>
      <c r="H55" s="980"/>
      <c r="I55" s="997">
        <f>'数据-取费表'!B49</f>
        <v>0</v>
      </c>
      <c r="J55" s="499">
        <f>IF(H59="非个人房产","",4)</f>
        <v>4</v>
      </c>
      <c r="K55" s="3133" t="str">
        <f>IF(H59="非个人房产","——","个人所得税")</f>
        <v>个人所得税</v>
      </c>
      <c r="L55" s="3133"/>
      <c r="M55" s="998" t="e">
        <f ca="1">D59</f>
        <v>#REF!</v>
      </c>
      <c r="N55" s="999" t="str">
        <f>E59</f>
        <v>差额计税</v>
      </c>
      <c r="O55" s="1000">
        <f>F59</f>
        <v>0.01</v>
      </c>
    </row>
    <row r="56" spans="1:35" ht="24.75">
      <c r="A56" s="3085" t="s">
        <v>1587</v>
      </c>
      <c r="B56" s="3086"/>
      <c r="C56" s="3086"/>
      <c r="D56" s="976" t="e">
        <f ca="1">IF(H56="个人住宅",D57,D58)</f>
        <v>#REF!</v>
      </c>
      <c r="E56" s="977" t="s">
        <v>1588</v>
      </c>
      <c r="F56" s="879" t="str">
        <f>IF(H56="正常",F58,"免征")</f>
        <v>免征</v>
      </c>
      <c r="G56" s="1001" t="s">
        <v>1589</v>
      </c>
      <c r="H56" s="1002"/>
      <c r="I56" s="1003"/>
      <c r="J56" s="499" t="str">
        <f>IF(项目基本情况!K6="上海银行",IF(J55="",4,J55+1),"")</f>
        <v/>
      </c>
      <c r="K56" s="3155" t="str">
        <f>IF(项目基本情况!K6="上海银行","其他处置费用","")</f>
        <v/>
      </c>
      <c r="L56" s="3156"/>
      <c r="M56" s="994" t="str">
        <f>IF(项目基本情况!K6="上海银行",M69,"")</f>
        <v/>
      </c>
      <c r="N56" s="3155" t="str">
        <f>IF(项目基本情况!K6="上海银行","包含处置中涉及的律师、诉讼、拍卖、评估等费用","")</f>
        <v/>
      </c>
      <c r="O56" s="3158"/>
    </row>
    <row r="57" spans="1:35" ht="12.75">
      <c r="A57" s="993" t="s">
        <v>1565</v>
      </c>
      <c r="B57" s="3081" t="s">
        <v>1590</v>
      </c>
      <c r="C57" s="3096"/>
      <c r="D57" s="982">
        <v>0</v>
      </c>
      <c r="E57" s="983" t="s">
        <v>1567</v>
      </c>
      <c r="F57" s="879"/>
      <c r="G57" s="974"/>
      <c r="H57" s="1004"/>
      <c r="I57" s="1003"/>
      <c r="J57" s="3133">
        <f>IF(AND(J55="",J56=""),4,IF(项目基本情况!K6="上海银行",结果表!J56+1,结果表!J55+1))</f>
        <v>5</v>
      </c>
      <c r="K57" s="3133" t="s">
        <v>1591</v>
      </c>
      <c r="L57" s="1005" t="s">
        <v>1592</v>
      </c>
      <c r="M57" s="1006"/>
      <c r="N57" s="1007">
        <f ca="1">SUMIF(M52:M56,"&lt;9e307")</f>
        <v>0</v>
      </c>
      <c r="O57" s="1008"/>
      <c r="P57" s="677" t="e">
        <f ca="1">N57/M49</f>
        <v>#VALUE!</v>
      </c>
    </row>
    <row r="58" spans="1:35" ht="24.75">
      <c r="A58" s="993" t="s">
        <v>1576</v>
      </c>
      <c r="B58" s="3081" t="s">
        <v>1593</v>
      </c>
      <c r="C58" s="3071"/>
      <c r="D58" s="976" t="e">
        <f ca="1">IF(H58="转让取得",C81,C97)</f>
        <v>#REF!</v>
      </c>
      <c r="E58" s="977" t="s">
        <v>1588</v>
      </c>
      <c r="F58" s="879" t="s">
        <v>31</v>
      </c>
      <c r="G58" s="974"/>
      <c r="H58" s="1002"/>
      <c r="I58" s="1003"/>
      <c r="J58" s="3133"/>
      <c r="K58" s="3133"/>
      <c r="L58" s="1005" t="s">
        <v>1594</v>
      </c>
      <c r="M58" s="1009"/>
      <c r="N58" s="1010" t="str">
        <f ca="1">NUMBERSTRING(INT(N57*10000),2)&amp;"元整"</f>
        <v>零元整</v>
      </c>
      <c r="O58" s="1011"/>
    </row>
    <row r="59" spans="1:35" ht="24.75" thickBot="1">
      <c r="A59" s="3136" t="s">
        <v>1595</v>
      </c>
      <c r="B59" s="3137"/>
      <c r="C59" s="3137"/>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34">
        <f>J57+1</f>
        <v>6</v>
      </c>
      <c r="K59" s="3133" t="s">
        <v>1596</v>
      </c>
      <c r="L59" s="499" t="s">
        <v>1592</v>
      </c>
      <c r="M59" s="1018"/>
      <c r="N59" s="1019" t="e">
        <f ca="1">M49-N57</f>
        <v>#VALUE!</v>
      </c>
      <c r="O59" s="1020"/>
    </row>
    <row r="60" spans="1:35" ht="12" customHeight="1">
      <c r="A60" s="1021"/>
      <c r="B60" s="865"/>
      <c r="C60" s="865"/>
      <c r="D60" s="865"/>
      <c r="E60" s="1022"/>
      <c r="F60" s="1003"/>
      <c r="G60" s="1003"/>
      <c r="H60" s="1023"/>
      <c r="I60" s="677"/>
      <c r="J60" s="3135"/>
      <c r="K60" s="3133"/>
      <c r="L60" s="1005" t="s">
        <v>1594</v>
      </c>
      <c r="M60" s="1009"/>
      <c r="N60" s="1010" t="e">
        <f ca="1">NUMBERSTRING(INT(N59*10000),2)&amp;"元整"</f>
        <v>#VALUE!</v>
      </c>
      <c r="O60" s="1011"/>
    </row>
    <row r="61" spans="1:35" ht="13.5" thickBot="1">
      <c r="A61" s="3083" t="s">
        <v>1597</v>
      </c>
      <c r="B61" s="3083"/>
      <c r="C61" s="3083"/>
      <c r="D61" s="3083"/>
      <c r="E61" s="3083"/>
      <c r="F61" s="1003"/>
      <c r="G61" s="1003"/>
      <c r="H61" s="1023"/>
      <c r="I61" s="677"/>
      <c r="J61" s="499">
        <f>J59+1</f>
        <v>7</v>
      </c>
      <c r="K61" s="3133" t="s">
        <v>1598</v>
      </c>
      <c r="L61" s="3133"/>
      <c r="M61" s="1024"/>
      <c r="N61" s="1025" t="e">
        <f ca="1">ROUND(N59*10000/'数据-汇总表'!E3,0)</f>
        <v>#VALUE!</v>
      </c>
      <c r="O61" s="1026"/>
    </row>
    <row r="62" spans="1:35" ht="12.75">
      <c r="A62" s="3100" t="s">
        <v>1599</v>
      </c>
      <c r="B62" s="3101"/>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57"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57"/>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57"/>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57"/>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57"/>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57"/>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57"/>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0" t="s">
        <v>1618</v>
      </c>
      <c r="B70" s="3121"/>
      <c r="C70" s="3121"/>
      <c r="D70" s="3121"/>
      <c r="E70" s="3121"/>
      <c r="F70" s="3121"/>
      <c r="G70" s="3121"/>
      <c r="H70" s="3121"/>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0" t="s">
        <v>1599</v>
      </c>
      <c r="B71" s="3101"/>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1" t="s">
        <v>1626</v>
      </c>
      <c r="F76" s="3071"/>
      <c r="G76" s="3071"/>
      <c r="H76" s="3090"/>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1" t="s">
        <v>1630</v>
      </c>
      <c r="F78" s="3071"/>
      <c r="G78" s="3071"/>
      <c r="H78" s="3090"/>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0" t="s">
        <v>1634</v>
      </c>
      <c r="B83" s="3121"/>
      <c r="C83" s="3121"/>
      <c r="D83" s="3121"/>
      <c r="E83" s="3121"/>
      <c r="F83" s="3121"/>
      <c r="G83" s="3121"/>
      <c r="H83" s="3121"/>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0" t="s">
        <v>1599</v>
      </c>
      <c r="B84" s="3101"/>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59" t="s">
        <v>2387</v>
      </c>
      <c r="H90" s="3086"/>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1" t="s">
        <v>1643</v>
      </c>
      <c r="F91" s="3071"/>
      <c r="G91" s="3071"/>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1" t="s">
        <v>1646</v>
      </c>
      <c r="F92" s="3071"/>
      <c r="G92" s="3071"/>
      <c r="H92" s="3090"/>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1" t="s">
        <v>1630</v>
      </c>
      <c r="F93" s="3071"/>
      <c r="G93" s="3071"/>
      <c r="H93" s="3090"/>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1" t="s">
        <v>1650</v>
      </c>
      <c r="F94" s="3092"/>
      <c r="G94" s="3092"/>
      <c r="H94" s="3093"/>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65" t="s">
        <v>1652</v>
      </c>
      <c r="B100" s="3066"/>
      <c r="C100" s="3066"/>
      <c r="D100" s="3082"/>
      <c r="E100" s="3066" t="s">
        <v>1653</v>
      </c>
      <c r="F100" s="3066"/>
      <c r="G100" s="3066"/>
      <c r="H100" s="3082"/>
      <c r="I100" s="677"/>
    </row>
    <row r="101" spans="1:35" ht="18.75" customHeight="1">
      <c r="A101" s="3141" t="s">
        <v>1654</v>
      </c>
      <c r="B101" s="3142"/>
      <c r="C101" s="1088">
        <f>C4</f>
        <v>0</v>
      </c>
      <c r="D101" s="1089">
        <f>D4</f>
        <v>0</v>
      </c>
      <c r="E101" s="3154" t="s">
        <v>1655</v>
      </c>
      <c r="F101" s="3113"/>
      <c r="G101" s="1090" t="s">
        <v>1656</v>
      </c>
      <c r="H101" s="1091" t="e">
        <f ca="1">H118</f>
        <v>#REF!</v>
      </c>
      <c r="I101" s="677"/>
    </row>
    <row r="102" spans="1:35" ht="18.75" customHeight="1">
      <c r="A102" s="3115" t="s">
        <v>1657</v>
      </c>
      <c r="B102" s="1092" t="s">
        <v>1656</v>
      </c>
      <c r="C102" s="1088" t="e">
        <f ca="1">C19</f>
        <v>#REF!</v>
      </c>
      <c r="D102" s="1089" t="e">
        <f ca="1">D19</f>
        <v>#REF!</v>
      </c>
      <c r="E102" s="3154"/>
      <c r="F102" s="3113"/>
      <c r="G102" s="1090" t="s">
        <v>1658</v>
      </c>
      <c r="H102" s="974" t="e">
        <f ca="1">I118</f>
        <v>#REF!</v>
      </c>
      <c r="I102" s="677"/>
    </row>
    <row r="103" spans="1:35" ht="42.75" customHeight="1">
      <c r="A103" s="3115"/>
      <c r="B103" s="1092" t="s">
        <v>1658</v>
      </c>
      <c r="C103" s="1093" t="e">
        <f ca="1">C20</f>
        <v>#REF!</v>
      </c>
      <c r="D103" s="1094" t="e">
        <f ca="1">D20</f>
        <v>#REF!</v>
      </c>
      <c r="E103" s="3149" t="s">
        <v>1659</v>
      </c>
      <c r="F103" s="3150"/>
      <c r="G103" s="1095" t="s">
        <v>1660</v>
      </c>
      <c r="H103" s="1091">
        <f>IF(D36="正常操作",H104+H105+H106,H105+H106)</f>
        <v>0</v>
      </c>
      <c r="I103" s="677"/>
    </row>
    <row r="104" spans="1:35" ht="18.75" customHeight="1">
      <c r="A104" s="3115"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1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2" t="str">
        <f>IF(项目基本情况!E8="已注销","——","3.房地产抵押价值")</f>
        <v>3.房地产抵押价值</v>
      </c>
      <c r="F107" s="3113"/>
      <c r="G107" s="1090" t="s">
        <v>1656</v>
      </c>
      <c r="H107" s="1091" t="e">
        <f ca="1">IF(E107="——","——",H101-H103)</f>
        <v>#REF!</v>
      </c>
      <c r="I107" s="677"/>
    </row>
    <row r="108" spans="1:35" ht="18.75" customHeight="1">
      <c r="A108" s="677"/>
      <c r="B108" s="677"/>
      <c r="C108" s="677"/>
      <c r="D108" s="677"/>
      <c r="E108" s="3112"/>
      <c r="F108" s="3113"/>
      <c r="G108" s="1090" t="s">
        <v>1658</v>
      </c>
      <c r="H108" s="974" t="e">
        <f ca="1">ROUND(H107*10000/'数据-汇总表'!E3,0)</f>
        <v>#REF!</v>
      </c>
      <c r="I108" s="677"/>
    </row>
    <row r="109" spans="1:35" ht="18.75" customHeight="1">
      <c r="A109" s="677"/>
      <c r="B109" s="677"/>
      <c r="C109" s="677"/>
      <c r="D109" s="677"/>
      <c r="E109" s="3112" t="str">
        <f>IF(项目基本情况!E8="已注销及未注销","4.抵押担保权已注销时的房地产抵押价值",IF(项目基本情况!E8="已注销","3.抵押担保权已注销时的房地产抵押价值","——"))</f>
        <v>——</v>
      </c>
      <c r="F109" s="3113"/>
      <c r="G109" s="1090" t="s">
        <v>1656</v>
      </c>
      <c r="H109" s="1105" t="str">
        <f>IF(E109="——","——",H101-H105-H106)</f>
        <v>——</v>
      </c>
      <c r="I109" s="677"/>
    </row>
    <row r="110" spans="1:35" ht="18.75" customHeight="1">
      <c r="A110" s="677"/>
      <c r="B110" s="677"/>
      <c r="C110" s="677"/>
      <c r="D110" s="677"/>
      <c r="E110" s="3112"/>
      <c r="F110" s="3113"/>
      <c r="G110" s="1090" t="s">
        <v>1658</v>
      </c>
      <c r="H110" s="974" t="str">
        <f>IF(H109="——","——",ROUND(H109*10000/'数据-汇总表'!E3,0))</f>
        <v>——</v>
      </c>
      <c r="I110" s="677"/>
    </row>
    <row r="111" spans="1:35" ht="18.75" customHeight="1">
      <c r="A111" s="677"/>
      <c r="B111" s="677"/>
      <c r="C111" s="677"/>
      <c r="D111" s="677"/>
      <c r="E111" s="3143" t="str">
        <f>IF(项目基本情况!E9="抵押净值",IF(OR(项目基本情况!E8="已注销",项目基本情况!E8="房地产抵押价值"),"4.抵押净值","5.抵押净值"),"——")</f>
        <v>——</v>
      </c>
      <c r="F111" s="3114"/>
      <c r="G111" s="1090" t="s">
        <v>1656</v>
      </c>
      <c r="H111" s="1091" t="str">
        <f>IF(E111="——","——",N59)</f>
        <v>——</v>
      </c>
      <c r="I111" s="677"/>
    </row>
    <row r="112" spans="1:35" ht="18.75" customHeight="1" thickBot="1">
      <c r="A112" s="677"/>
      <c r="B112" s="677"/>
      <c r="C112" s="677"/>
      <c r="D112" s="677"/>
      <c r="E112" s="3144"/>
      <c r="F112" s="3145"/>
      <c r="G112" s="1106" t="s">
        <v>1658</v>
      </c>
      <c r="H112" s="1107" t="str">
        <f>IF(E111="——","——",N61)</f>
        <v>——</v>
      </c>
      <c r="I112" s="677"/>
    </row>
    <row r="113" spans="1:27" ht="18.75" customHeight="1">
      <c r="A113" s="677"/>
      <c r="B113" s="677"/>
      <c r="C113" s="677"/>
      <c r="D113" s="677"/>
      <c r="E113" s="3117" t="s">
        <v>1664</v>
      </c>
      <c r="F113" s="3117"/>
      <c r="G113" s="3117"/>
      <c r="H113" s="3117"/>
      <c r="I113" s="677"/>
    </row>
    <row r="114" spans="1:27" ht="3.75" customHeight="1">
      <c r="A114" s="865"/>
      <c r="B114" s="865"/>
      <c r="C114" s="865"/>
      <c r="D114" s="865"/>
      <c r="E114" s="1021"/>
      <c r="F114" s="1021"/>
      <c r="G114" s="1021"/>
      <c r="H114" s="1021"/>
      <c r="I114" s="865"/>
    </row>
    <row r="115" spans="1:27" ht="18.75" customHeight="1">
      <c r="A115" s="3126" t="s">
        <v>1666</v>
      </c>
      <c r="B115" s="3127"/>
      <c r="C115" s="3127"/>
      <c r="D115" s="3127"/>
      <c r="E115" s="3127"/>
      <c r="F115" s="3127"/>
      <c r="G115" s="3127"/>
      <c r="H115" s="3127"/>
      <c r="I115" s="3128"/>
    </row>
    <row r="116" spans="1:27" ht="27" customHeight="1">
      <c r="A116" s="3084" t="s">
        <v>1667</v>
      </c>
      <c r="B116" s="3118" t="s">
        <v>1668</v>
      </c>
      <c r="C116" s="3118" t="s">
        <v>1669</v>
      </c>
      <c r="D116" s="3130" t="s">
        <v>1670</v>
      </c>
      <c r="E116" s="3131"/>
      <c r="F116" s="3125" t="s">
        <v>1671</v>
      </c>
      <c r="G116" s="3125"/>
      <c r="H116" s="3084" t="s">
        <v>1672</v>
      </c>
      <c r="I116" s="3084"/>
    </row>
    <row r="117" spans="1:27" ht="18.75" customHeight="1">
      <c r="A117" s="3084"/>
      <c r="B117" s="3119"/>
      <c r="C117" s="3119"/>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84" t="s">
        <v>1676</v>
      </c>
      <c r="B119" s="3084"/>
      <c r="C119" s="3084"/>
      <c r="D119" s="3122" t="e">
        <f ca="1">NUMBERSTRING(INT(D118*10000),2)&amp;"元整"</f>
        <v>#REF!</v>
      </c>
      <c r="E119" s="3124"/>
      <c r="F119" s="3122" t="e">
        <f ca="1">NUMBERSTRING(INT(F118*10000),2)&amp;"元整"</f>
        <v>#REF!</v>
      </c>
      <c r="G119" s="3124"/>
      <c r="H119" s="3122" t="e">
        <f ca="1">NUMBERSTRING(INT(H118*10000),2)&amp;"元整"</f>
        <v>#REF!</v>
      </c>
      <c r="I119" s="3124"/>
    </row>
    <row r="120" spans="1:27" ht="18.75" customHeight="1">
      <c r="A120" s="3146" t="str">
        <f>IF(项目基本情况!B9="房地产市场价值","",MID(E103,3,LEN(E103)-2))</f>
        <v>估价师知悉的法定优先受偿款</v>
      </c>
      <c r="B120" s="3147"/>
      <c r="C120" s="3148"/>
      <c r="D120" s="3146">
        <f>H103</f>
        <v>0</v>
      </c>
      <c r="E120" s="3147"/>
      <c r="F120" s="3147"/>
      <c r="G120" s="3147"/>
      <c r="H120" s="3147"/>
      <c r="I120" s="3148"/>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2" t="s">
        <v>1676</v>
      </c>
      <c r="B121" s="3123"/>
      <c r="C121" s="3124"/>
      <c r="D121" s="3122" t="str">
        <f>IF(D120=0,"零元整",NUMBERSTRING(INT(D120*10000),2)&amp;"元整")</f>
        <v>零元整</v>
      </c>
      <c r="E121" s="3123"/>
      <c r="F121" s="3123"/>
      <c r="G121" s="3123"/>
      <c r="H121" s="3123"/>
      <c r="I121" s="3124"/>
      <c r="AA121" s="590"/>
    </row>
    <row r="122" spans="1:27" ht="18.75" customHeight="1">
      <c r="A122" s="3114" t="str">
        <f>IF(项目基本情况!B9="房地产市场价值","",MID(E107,3,LEN(E107)-2))</f>
        <v>房地产抵押价值</v>
      </c>
      <c r="B122" s="3114"/>
      <c r="C122" s="3114"/>
      <c r="D122" s="3146" t="e">
        <f ca="1">H107</f>
        <v>#REF!</v>
      </c>
      <c r="E122" s="3147"/>
      <c r="F122" s="3147"/>
      <c r="G122" s="3147"/>
      <c r="H122" s="3147"/>
      <c r="I122" s="3148"/>
      <c r="AA122" s="590"/>
    </row>
    <row r="123" spans="1:27" ht="18.75" customHeight="1">
      <c r="A123" s="3084" t="s">
        <v>1676</v>
      </c>
      <c r="B123" s="3084"/>
      <c r="C123" s="3084"/>
      <c r="D123" s="3122" t="e">
        <f ca="1">NUMBERSTRING(INT(D122*10000),2)&amp;"元整"</f>
        <v>#REF!</v>
      </c>
      <c r="E123" s="3123"/>
      <c r="F123" s="3123"/>
      <c r="G123" s="3123"/>
      <c r="H123" s="3123"/>
      <c r="I123" s="3124"/>
      <c r="AA123" s="590"/>
    </row>
    <row r="124" spans="1:27" ht="18.75" customHeight="1">
      <c r="A124" s="3114" t="str">
        <f>IF(项目基本情况!B9="房地产市场价值","",MID(E109,3,LEN(E109)-2))</f>
        <v/>
      </c>
      <c r="B124" s="3114"/>
      <c r="C124" s="3114"/>
      <c r="D124" s="3146" t="str">
        <f>H109</f>
        <v>——</v>
      </c>
      <c r="E124" s="3147"/>
      <c r="F124" s="3147"/>
      <c r="G124" s="3147"/>
      <c r="H124" s="3147"/>
      <c r="I124" s="3148"/>
      <c r="AA124" s="590"/>
    </row>
    <row r="125" spans="1:27" ht="18.75" customHeight="1">
      <c r="A125" s="3084" t="s">
        <v>1676</v>
      </c>
      <c r="B125" s="3084"/>
      <c r="C125" s="3084"/>
      <c r="D125" s="3122" t="e">
        <f>NUMBERSTRING(INT(D124*10000),2)&amp;"元整"</f>
        <v>#VALUE!</v>
      </c>
      <c r="E125" s="3123"/>
      <c r="F125" s="3123"/>
      <c r="G125" s="3123"/>
      <c r="H125" s="3123"/>
      <c r="I125" s="3124"/>
      <c r="AA125" s="590"/>
    </row>
    <row r="126" spans="1:27" ht="18.75" customHeight="1">
      <c r="A126" s="3114" t="str">
        <f>IF(项目基本情况!B9="房地产市场价值","",MID(E111,3,LEN(E111)-2))</f>
        <v/>
      </c>
      <c r="B126" s="3114"/>
      <c r="C126" s="3114"/>
      <c r="D126" s="3146" t="str">
        <f>H111</f>
        <v>——</v>
      </c>
      <c r="E126" s="3147"/>
      <c r="F126" s="3147"/>
      <c r="G126" s="3147"/>
      <c r="H126" s="3147"/>
      <c r="I126" s="3148"/>
      <c r="AA126" s="590"/>
    </row>
    <row r="127" spans="1:27" ht="18.75" customHeight="1">
      <c r="A127" s="3084" t="s">
        <v>1676</v>
      </c>
      <c r="B127" s="3084"/>
      <c r="C127" s="3084"/>
      <c r="D127" s="3122" t="e">
        <f>NUMBERSTRING(INT(D126*10000),2)&amp;"元整"</f>
        <v>#VALUE!</v>
      </c>
      <c r="E127" s="3123"/>
      <c r="F127" s="3123"/>
      <c r="G127" s="3123"/>
      <c r="H127" s="3123"/>
      <c r="I127" s="3124"/>
      <c r="AA127" s="590"/>
    </row>
    <row r="128" spans="1:27" ht="21.75" customHeight="1">
      <c r="A128" s="3129" t="s">
        <v>1677</v>
      </c>
      <c r="B128" s="3129"/>
      <c r="C128" s="3129"/>
      <c r="D128" s="3129"/>
      <c r="E128" s="3129"/>
      <c r="F128" s="3129"/>
      <c r="G128" s="3129"/>
      <c r="H128" s="3129"/>
      <c r="I128" s="3129"/>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0" t="s">
        <v>1768</v>
      </c>
    </row>
    <row r="43" spans="1:7" ht="13.5" customHeight="1">
      <c r="A43" s="1179" t="s">
        <v>555</v>
      </c>
      <c r="B43" s="1155" t="s">
        <v>1769</v>
      </c>
      <c r="C43" s="1180" t="e">
        <f ca="1">ROUND(IF('数据-取费表'!B22&lt;=1,C39*F22*'数据-取费表'!B21/2,C39*(POWER((1+F22),'数据-取费表'!B21/2)-1)),0)</f>
        <v>#VALUE!</v>
      </c>
      <c r="D43" s="1180"/>
      <c r="E43" s="1180"/>
      <c r="F43" s="1181"/>
      <c r="G43" s="3161"/>
    </row>
    <row r="44" spans="1:7" ht="13.5" customHeight="1">
      <c r="A44" s="1179" t="s">
        <v>556</v>
      </c>
      <c r="B44" s="1155" t="s">
        <v>1770</v>
      </c>
      <c r="C44" s="1180" t="e">
        <f ca="1">ROUND(IF('数据-取费表'!B22&lt;=1,C40*F22*'数据-取费表'!B21/2,C40*(POWER((1+F22),'数据-取费表'!B21/2)-1)),4)</f>
        <v>#VALUE!</v>
      </c>
      <c r="D44" s="1180"/>
      <c r="E44" s="1180"/>
      <c r="F44" s="1181"/>
      <c r="G44" s="3162"/>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0" t="s">
        <v>1815</v>
      </c>
    </row>
    <row r="43" spans="1:7" ht="13.5" customHeight="1">
      <c r="A43" s="1179" t="s">
        <v>555</v>
      </c>
      <c r="B43" s="1155" t="s">
        <v>1769</v>
      </c>
      <c r="C43" s="1180" t="e">
        <f ca="1">ROUND(IF('数据-取费表'!B22&lt;=1,C39*F22*'数据-取费表'!B20/2,C39*(POWER((1+F22),'数据-取费表'!B20/2)-1)),0)</f>
        <v>#VALUE!</v>
      </c>
      <c r="D43" s="1180"/>
      <c r="E43" s="1180"/>
      <c r="F43" s="1181"/>
      <c r="G43" s="3161"/>
    </row>
    <row r="44" spans="1:7" ht="13.5" customHeight="1">
      <c r="A44" s="1179" t="s">
        <v>556</v>
      </c>
      <c r="B44" s="1155" t="s">
        <v>1770</v>
      </c>
      <c r="C44" s="1180" t="e">
        <f ca="1">ROUND(IF('数据-取费表'!B22&lt;=1,C40*F22*'数据-取费表'!B20/2,C40*(POWER((1+F22),'数据-取费表'!B20/2)-1)),4)</f>
        <v>#VALUE!</v>
      </c>
      <c r="D44" s="1180"/>
      <c r="E44" s="1180"/>
      <c r="F44" s="1181"/>
      <c r="G44" s="3162"/>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84" t="str">
        <f>项目基本情况!B1</f>
        <v>北京市房地产抵押价值预评估</v>
      </c>
      <c r="C37" s="2984"/>
      <c r="D37" s="2984"/>
      <c r="E37" s="2984"/>
      <c r="F37" s="2984"/>
      <c r="G37" s="2984"/>
      <c r="H37" s="2984"/>
      <c r="I37" s="2984"/>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65" t="s">
        <v>907</v>
      </c>
      <c r="C6" s="1329">
        <f ca="1">ROUND(F6*F8*F7*(1-F9)/10000,0)</f>
        <v>0</v>
      </c>
      <c r="D6" s="965" t="s">
        <v>2367</v>
      </c>
      <c r="E6" s="879" t="s">
        <v>909</v>
      </c>
      <c r="F6" s="1330">
        <f ca="1">INDIRECT("'数据-取费表'!u"&amp;$G$1)</f>
        <v>0</v>
      </c>
      <c r="G6" s="1312"/>
      <c r="H6" s="1328" t="s">
        <v>615</v>
      </c>
      <c r="I6" s="3165" t="s">
        <v>907</v>
      </c>
      <c r="J6" s="1331">
        <f ca="1">ROUND(M6*M8*M7*(1-M9)/10000,0)</f>
        <v>0</v>
      </c>
      <c r="K6" s="965" t="s">
        <v>2366</v>
      </c>
      <c r="L6" s="879" t="s">
        <v>909</v>
      </c>
      <c r="M6" s="1330">
        <f ca="1">INDIRECT("'数据-取费表'!z"&amp;$G$1)</f>
        <v>0</v>
      </c>
    </row>
    <row r="7" spans="1:37" ht="18" customHeight="1">
      <c r="A7" s="984"/>
      <c r="B7" s="3166"/>
      <c r="C7" s="1332"/>
      <c r="D7" s="1333"/>
      <c r="E7" s="1334" t="s">
        <v>910</v>
      </c>
      <c r="F7" s="1330">
        <f ca="1">IF(INDIRECT("'数据-取费表'!ah"&amp;$G$1)="",INDIRECT("'数据-取费表'!k"&amp;$G$1),INDIRECT("'数据-取费表'!ah"&amp;$G$1))</f>
        <v>0</v>
      </c>
      <c r="G7" s="1312"/>
      <c r="H7" s="1335"/>
      <c r="I7" s="3166"/>
      <c r="J7" s="1336"/>
      <c r="K7" s="1333"/>
      <c r="L7" s="879" t="s">
        <v>910</v>
      </c>
      <c r="M7" s="1330">
        <f ca="1">F7</f>
        <v>0</v>
      </c>
    </row>
    <row r="8" spans="1:37" ht="18" customHeight="1">
      <c r="A8" s="1335"/>
      <c r="B8" s="3166"/>
      <c r="C8" s="1336"/>
      <c r="D8" s="1333"/>
      <c r="E8" s="879" t="s">
        <v>911</v>
      </c>
      <c r="F8" s="1330">
        <f ca="1">INDIRECT("'数据-取费表'!ai"&amp;$G$1)</f>
        <v>0</v>
      </c>
      <c r="G8" s="1312"/>
      <c r="H8" s="1335"/>
      <c r="I8" s="3166"/>
      <c r="J8" s="1336"/>
      <c r="K8" s="1333"/>
      <c r="L8" s="879" t="s">
        <v>911</v>
      </c>
      <c r="M8" s="1330">
        <f ca="1">INDIRECT("'数据-取费表'!ai"&amp;$G$1)</f>
        <v>0</v>
      </c>
    </row>
    <row r="9" spans="1:37" ht="18" customHeight="1">
      <c r="A9" s="1335"/>
      <c r="B9" s="3167"/>
      <c r="C9" s="1336"/>
      <c r="D9" s="1333"/>
      <c r="E9" s="879" t="s">
        <v>912</v>
      </c>
      <c r="F9" s="1330">
        <f ca="1">INDIRECT("'数据-取费表'!w"&amp;$G$1)</f>
        <v>0</v>
      </c>
      <c r="G9" s="1312"/>
      <c r="H9" s="1335"/>
      <c r="I9" s="3167"/>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f ca="1">ROUND(IF(AND(项目基本情况!B11="自然人",项目基本情况!B10="北京市"),J6*M17/(1+'数据-取费表'!C42),J18+J19+J20),0)</f>
        <v>0</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f ca="1">ROUND(IF(AND(项目基本情况!B11="自然人",项目基本情况!B10="北京市"),C6*F31/(1+'数据-取费表'!C42),C32+C33+C34),0)</f>
        <v>0</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t="str">
        <f>IF(项目基本情况!B11="自然人","——",ROUND(C6*F32/(1+'数据-取费表'!C42),2))</f>
        <v>——</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str">
        <f ca="1">IF(项目基本情况!B11="自然人","——",IF(D33="按租金收入计税",ROUND(C6*F33/(1+'数据-取费表'!C42),2),IF(D33="按房产原值计税",ROUND(C29*F33*0.7,2),INDIRECT("'数据-取费表'!Aj"&amp;$G$1))))</f>
        <v>——</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t="str">
        <f>IF(项目基本情况!B11="自然人","——",ROUND(F34*F35/10000,2))</f>
        <v>——</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3" t="s">
        <v>1052</v>
      </c>
      <c r="L53" s="3164"/>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f ca="1">ROUND(IF(AND(项目基本情况!B11="自然人",项目基本情况!B10="北京市"),C49*F59/(1+'数据-取费表'!C42),C60+C61+C62),0)</f>
        <v>0</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t="str">
        <f>IF(项目基本情况!B11="自然人","——",ROUND(C48*F60/(1+'数据-取费表'!C42),2))</f>
        <v>——</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str">
        <f ca="1">IF(项目基本情况!B11="自然人","——",IF(D61="按租金收入计税",ROUND(C49*F61/(1+'数据-取费表'!C42),2),IF(D61="按房产原值计税",ROUND(C57*F61*0.7,2),INDIRECT("'数据-取费表'!Aj"&amp;$G$1))))</f>
        <v>——</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t="str">
        <f>IF(项目基本情况!B11="自然人","——",ROUND(F62*F63/10000,2))</f>
        <v>——</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65" t="s">
        <v>907</v>
      </c>
      <c r="C6" s="1329">
        <f ca="1">ROUND(F6*F8*F7*(1-F9),0)</f>
        <v>0</v>
      </c>
      <c r="D6" s="965" t="s">
        <v>2364</v>
      </c>
      <c r="E6" s="879" t="s">
        <v>909</v>
      </c>
      <c r="F6" s="1330">
        <f ca="1">INDIRECT("'数据-取费表'!u"&amp;$G$1)</f>
        <v>0</v>
      </c>
      <c r="G6" s="1312"/>
      <c r="H6" s="1328" t="s">
        <v>615</v>
      </c>
      <c r="I6" s="3165" t="s">
        <v>907</v>
      </c>
      <c r="J6" s="1331">
        <f ca="1">ROUND(M6*M8*M7*(1-M9),0)</f>
        <v>0</v>
      </c>
      <c r="K6" s="1538" t="s">
        <v>2365</v>
      </c>
      <c r="L6" s="879" t="s">
        <v>909</v>
      </c>
      <c r="M6" s="1330">
        <f ca="1">INDIRECT("'数据-取费表'!z"&amp;$G$1)</f>
        <v>0</v>
      </c>
    </row>
    <row r="7" spans="1:37" ht="18" customHeight="1">
      <c r="A7" s="984"/>
      <c r="B7" s="3166"/>
      <c r="C7" s="1332"/>
      <c r="D7" s="1333"/>
      <c r="E7" s="1334" t="s">
        <v>910</v>
      </c>
      <c r="F7" s="1330">
        <f ca="1">IF(INDIRECT("'数据-取费表'!ah"&amp;$G$1)="",INDIRECT("'数据-取费表'!k"&amp;$G$1),INDIRECT("'数据-取费表'!ah"&amp;$G$1))</f>
        <v>0</v>
      </c>
      <c r="G7" s="1312"/>
      <c r="H7" s="1335"/>
      <c r="I7" s="3166"/>
      <c r="J7" s="1336"/>
      <c r="K7" s="1333"/>
      <c r="L7" s="879" t="s">
        <v>910</v>
      </c>
      <c r="M7" s="1330">
        <f ca="1">F7</f>
        <v>0</v>
      </c>
    </row>
    <row r="8" spans="1:37" ht="18" customHeight="1">
      <c r="A8" s="1335"/>
      <c r="B8" s="3166"/>
      <c r="C8" s="1336"/>
      <c r="D8" s="1333"/>
      <c r="E8" s="879" t="s">
        <v>911</v>
      </c>
      <c r="F8" s="1330">
        <f ca="1">INDIRECT("'数据-取费表'!ai"&amp;$G$1)</f>
        <v>0</v>
      </c>
      <c r="G8" s="1312"/>
      <c r="H8" s="1335"/>
      <c r="I8" s="3166"/>
      <c r="J8" s="1336"/>
      <c r="K8" s="1333"/>
      <c r="L8" s="879" t="s">
        <v>911</v>
      </c>
      <c r="M8" s="1330">
        <f ca="1">INDIRECT("'数据-取费表'!ai"&amp;$G$1)</f>
        <v>0</v>
      </c>
    </row>
    <row r="9" spans="1:37" ht="18" customHeight="1">
      <c r="A9" s="1335"/>
      <c r="B9" s="3167"/>
      <c r="C9" s="1336"/>
      <c r="D9" s="1333"/>
      <c r="E9" s="879" t="s">
        <v>912</v>
      </c>
      <c r="F9" s="1330">
        <f ca="1">INDIRECT("'数据-取费表'!w"&amp;$G$1)</f>
        <v>0</v>
      </c>
      <c r="G9" s="1312"/>
      <c r="H9" s="1335"/>
      <c r="I9" s="3167"/>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f ca="1">ROUND(IF(AND(项目基本情况!B11="自然人",项目基本情况!B10="北京市"),J6*M17/(1+'数据-取费表'!C42),J18+J19+J20),0)</f>
        <v>0</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f ca="1">ROUND(IF(AND(项目基本情况!B11="自然人",项目基本情况!B10="北京市"),C6*F31/(1+'数据-取费表'!C42),C32+C33+C34),0)</f>
        <v>0</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t="str">
        <f>IF(项目基本情况!B11="自然人","——",ROUND(C6*F32/(1+'数据-取费表'!C42),0))</f>
        <v>——</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str">
        <f ca="1">IF(项目基本情况!B11="自然人","——",IF(D33="按租金收入计税",ROUND(C6*F33/(1+'数据-取费表'!C42),0),IF(D33="按房产原值计税",ROUND(C29*F33*0.7,0),INDIRECT("'数据-取费表'!Aj"&amp;$G$1))))</f>
        <v>——</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t="str">
        <f>IF(项目基本情况!B11="自然人","——",ROUND(F34*F35,))</f>
        <v>——</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3" t="s">
        <v>1052</v>
      </c>
      <c r="L53" s="3164"/>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f ca="1">ROUND(IF(AND(项目基本情况!B11="自然人",项目基本情况!B10="北京市"),C49*F59/(1+'数据-取费表'!C42),C60+C61+C62),0)</f>
        <v>0</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t="str">
        <f>IF(项目基本情况!B11="自然人","——",ROUND(C48*F60/(1+'数据-取费表'!C42),0))</f>
        <v>——</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str">
        <f ca="1">IF(项目基本情况!B11="自然人","——",IF(D61="按租金收入计税",ROUND(C49*F61/(1+'数据-取费表'!C42),0),IF(D61="按房产原值计税",ROUND(C57*F61*0.7,0),INDIRECT("'数据-取费表'!Aj"&amp;$G$1))))</f>
        <v>——</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t="str">
        <f>IF(项目基本情况!B11="自然人","——",ROUND(F62*F63,0))</f>
        <v>——</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4" t="s">
        <v>2583</v>
      </c>
      <c r="K2" s="3175"/>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6" t="s">
        <v>2593</v>
      </c>
      <c r="K3" s="3177"/>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6" t="s">
        <v>2595</v>
      </c>
      <c r="K4" s="3177"/>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2" t="s">
        <v>2599</v>
      </c>
      <c r="B6" s="3183"/>
      <c r="C6" s="3184"/>
      <c r="D6" s="1582"/>
      <c r="E6" s="1583"/>
      <c r="F6" s="1584"/>
      <c r="G6" s="1585"/>
      <c r="H6" s="1560"/>
      <c r="I6" s="1561"/>
      <c r="J6" s="3168">
        <v>1</v>
      </c>
      <c r="K6" s="3169"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68"/>
      <c r="K7" s="3170"/>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5" t="s">
        <v>2613</v>
      </c>
      <c r="C8" s="3186"/>
      <c r="D8" s="1598" t="s">
        <v>2614</v>
      </c>
      <c r="E8" s="1598" t="s">
        <v>2615</v>
      </c>
      <c r="F8" s="1599" t="s">
        <v>2616</v>
      </c>
      <c r="G8" s="1593"/>
      <c r="H8" s="1560"/>
      <c r="I8" s="1561"/>
      <c r="J8" s="3168"/>
      <c r="K8" s="3170"/>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5" t="s">
        <v>2619</v>
      </c>
      <c r="C9" s="3186"/>
      <c r="D9" s="1598">
        <f>ROUND(D6*E9,0)</f>
        <v>0</v>
      </c>
      <c r="E9" s="1562"/>
      <c r="F9" s="1600" t="s">
        <v>2620</v>
      </c>
      <c r="G9" s="1585"/>
      <c r="H9" s="1560"/>
      <c r="I9" s="1561"/>
      <c r="J9" s="3168"/>
      <c r="K9" s="3170"/>
      <c r="L9" s="1594" t="s">
        <v>2621</v>
      </c>
      <c r="M9" s="1595"/>
      <c r="N9" s="1572"/>
      <c r="O9" s="1572"/>
      <c r="P9" s="1572"/>
      <c r="Q9" s="1572">
        <v>365</v>
      </c>
      <c r="R9" s="1596">
        <f t="shared" si="0"/>
        <v>0</v>
      </c>
      <c r="S9" s="1554"/>
      <c r="T9" s="1554"/>
      <c r="U9" s="1554"/>
      <c r="V9" s="1561"/>
    </row>
    <row r="10" spans="1:22" s="1565" customFormat="1" ht="13.15" customHeight="1">
      <c r="A10" s="1597">
        <v>2</v>
      </c>
      <c r="B10" s="3185" t="s">
        <v>2622</v>
      </c>
      <c r="C10" s="3186"/>
      <c r="D10" s="1598">
        <f>ROUND(D6*E10,0)</f>
        <v>0</v>
      </c>
      <c r="E10" s="1562"/>
      <c r="F10" s="1600" t="s">
        <v>2623</v>
      </c>
      <c r="G10" s="1585"/>
      <c r="H10" s="1560"/>
      <c r="I10" s="1561"/>
      <c r="J10" s="3168"/>
      <c r="K10" s="3170"/>
      <c r="L10" s="1594" t="s">
        <v>2624</v>
      </c>
      <c r="M10" s="1595"/>
      <c r="N10" s="1572"/>
      <c r="O10" s="1572"/>
      <c r="P10" s="1572"/>
      <c r="Q10" s="1572">
        <v>365</v>
      </c>
      <c r="R10" s="1596">
        <f t="shared" si="0"/>
        <v>0</v>
      </c>
      <c r="S10" s="1554"/>
      <c r="T10" s="1554"/>
      <c r="U10" s="1554"/>
      <c r="V10" s="1561"/>
    </row>
    <row r="11" spans="1:22" s="1565" customFormat="1" ht="13.15" customHeight="1">
      <c r="A11" s="1597">
        <v>3</v>
      </c>
      <c r="B11" s="3185" t="s">
        <v>2625</v>
      </c>
      <c r="C11" s="3186"/>
      <c r="D11" s="1598">
        <f>D12+D14+D15+D16</f>
        <v>0</v>
      </c>
      <c r="E11" s="1598" t="e">
        <f>D11/D6</f>
        <v>#DIV/0!</v>
      </c>
      <c r="F11" s="1599"/>
      <c r="G11" s="1593"/>
      <c r="H11" s="1560"/>
      <c r="I11" s="1561"/>
      <c r="J11" s="3168"/>
      <c r="K11" s="3170"/>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78" t="s">
        <v>2628</v>
      </c>
      <c r="C12" s="3179"/>
      <c r="D12" s="1602">
        <f>ROUND(D13*1.2%*(1-30%),0)</f>
        <v>0</v>
      </c>
      <c r="E12" s="1602">
        <v>1.2E-2</v>
      </c>
      <c r="F12" s="1599" t="s">
        <v>2629</v>
      </c>
      <c r="G12" s="1593"/>
      <c r="H12" s="1560"/>
      <c r="I12" s="1561"/>
      <c r="J12" s="3168"/>
      <c r="K12" s="3170"/>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68"/>
      <c r="K13" s="3170"/>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78" t="s">
        <v>2634</v>
      </c>
      <c r="C14" s="3179"/>
      <c r="D14" s="1602">
        <f>ROUND(E14*B5/10000,0)</f>
        <v>0</v>
      </c>
      <c r="E14" s="1572"/>
      <c r="F14" s="1599" t="s">
        <v>2635</v>
      </c>
      <c r="G14" s="1593"/>
      <c r="H14" s="1560"/>
      <c r="I14" s="1561"/>
      <c r="J14" s="3168"/>
      <c r="K14" s="3171"/>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78" t="s">
        <v>2638</v>
      </c>
      <c r="C15" s="3179"/>
      <c r="D15" s="1602">
        <f>ROUND(D6*E15,0)</f>
        <v>0</v>
      </c>
      <c r="E15" s="1602">
        <v>5.5E-2</v>
      </c>
      <c r="F15" s="1599" t="s">
        <v>2639</v>
      </c>
      <c r="G15" s="1585"/>
      <c r="H15" s="1560"/>
      <c r="I15" s="1561"/>
      <c r="J15" s="3168">
        <v>2</v>
      </c>
      <c r="K15" s="3169"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78" t="s">
        <v>2647</v>
      </c>
      <c r="C16" s="3179"/>
      <c r="D16" s="1572">
        <f>D6*E16</f>
        <v>0</v>
      </c>
      <c r="E16" s="1572"/>
      <c r="F16" s="1600" t="s">
        <v>2648</v>
      </c>
      <c r="G16" s="1585"/>
      <c r="H16" s="1560"/>
      <c r="I16" s="1561"/>
      <c r="J16" s="3168"/>
      <c r="K16" s="3170"/>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0" t="s">
        <v>2650</v>
      </c>
      <c r="C17" s="3181"/>
      <c r="D17" s="1610">
        <f>ROUND(D6*E17,0)</f>
        <v>0</v>
      </c>
      <c r="E17" s="1611"/>
      <c r="F17" s="1612" t="s">
        <v>2651</v>
      </c>
      <c r="G17" s="1585"/>
      <c r="H17" s="1560"/>
      <c r="I17" s="1561"/>
      <c r="J17" s="3168"/>
      <c r="K17" s="3170"/>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68"/>
      <c r="K18" s="3170"/>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68"/>
      <c r="K19" s="3171"/>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68">
        <v>3</v>
      </c>
      <c r="K20" s="3169"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68"/>
      <c r="K21" s="3170"/>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68"/>
      <c r="K22" s="3170"/>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68"/>
      <c r="K23" s="3170"/>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68"/>
      <c r="K24" s="3171"/>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4" t="s">
        <v>2583</v>
      </c>
      <c r="K32" s="3175"/>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6" t="s">
        <v>2593</v>
      </c>
      <c r="K33" s="3177"/>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6" t="s">
        <v>2595</v>
      </c>
      <c r="K34" s="3177"/>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68">
        <v>1</v>
      </c>
      <c r="K36" s="3169"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68"/>
      <c r="K37" s="3170"/>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68"/>
      <c r="K38" s="3170"/>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68"/>
      <c r="K39" s="3170"/>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68"/>
      <c r="K40" s="3171"/>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87" t="s">
        <v>1881</v>
      </c>
      <c r="C5" s="3188"/>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07" t="s">
        <v>1895</v>
      </c>
      <c r="D4" s="3208"/>
      <c r="E4" s="3209" t="s">
        <v>1896</v>
      </c>
      <c r="F4" s="3210"/>
      <c r="G4" s="3207" t="s">
        <v>1897</v>
      </c>
      <c r="H4" s="3208"/>
      <c r="I4" s="3207" t="s">
        <v>1898</v>
      </c>
      <c r="J4" s="3208"/>
      <c r="K4" s="1740" t="s">
        <v>1899</v>
      </c>
      <c r="L4" s="1741"/>
      <c r="M4" s="1742"/>
      <c r="N4" s="1742"/>
      <c r="O4" s="1742"/>
      <c r="P4" s="3211" t="s">
        <v>1900</v>
      </c>
      <c r="Q4" s="3212"/>
      <c r="R4" s="3217" t="s">
        <v>1896</v>
      </c>
      <c r="S4" s="3218"/>
      <c r="T4" s="3217" t="s">
        <v>1897</v>
      </c>
      <c r="U4" s="3218"/>
      <c r="V4" s="3193" t="s">
        <v>1898</v>
      </c>
      <c r="W4" s="3193"/>
      <c r="X4" s="1743"/>
      <c r="Y4" s="3217" t="s">
        <v>1900</v>
      </c>
      <c r="Z4" s="3218"/>
      <c r="AA4" s="3204" t="s">
        <v>1896</v>
      </c>
      <c r="AB4" s="3204" t="s">
        <v>1897</v>
      </c>
      <c r="AC4" s="3204" t="s">
        <v>1898</v>
      </c>
    </row>
    <row r="5" spans="1:29" ht="15">
      <c r="A5" s="1745"/>
      <c r="B5" s="1746"/>
      <c r="C5" s="3225" t="s">
        <v>1901</v>
      </c>
      <c r="D5" s="3226"/>
      <c r="E5" s="3232" t="s">
        <v>1902</v>
      </c>
      <c r="F5" s="3233"/>
      <c r="G5" s="3225" t="s">
        <v>1903</v>
      </c>
      <c r="H5" s="3226"/>
      <c r="I5" s="3225" t="s">
        <v>1904</v>
      </c>
      <c r="J5" s="3226"/>
      <c r="K5" s="1747"/>
      <c r="L5" s="1741"/>
      <c r="M5" s="1742"/>
      <c r="N5" s="1742"/>
      <c r="O5" s="1742"/>
      <c r="P5" s="3213"/>
      <c r="Q5" s="3214"/>
      <c r="R5" s="3219"/>
      <c r="S5" s="3220"/>
      <c r="T5" s="3219"/>
      <c r="U5" s="3220"/>
      <c r="V5" s="3193"/>
      <c r="W5" s="3193"/>
      <c r="X5" s="1743"/>
      <c r="Y5" s="3219"/>
      <c r="Z5" s="3220"/>
      <c r="AA5" s="3205"/>
      <c r="AB5" s="3205"/>
      <c r="AC5" s="3205"/>
    </row>
    <row r="6" spans="1:29" ht="15.75" thickBot="1">
      <c r="A6" s="1748"/>
      <c r="B6" s="1749"/>
      <c r="C6" s="3223" t="s">
        <v>1905</v>
      </c>
      <c r="D6" s="3224"/>
      <c r="E6" s="3230" t="s">
        <v>1905</v>
      </c>
      <c r="F6" s="3231"/>
      <c r="G6" s="3223" t="s">
        <v>1905</v>
      </c>
      <c r="H6" s="3224"/>
      <c r="I6" s="3223" t="s">
        <v>1905</v>
      </c>
      <c r="J6" s="3224"/>
      <c r="K6" s="1747" t="s">
        <v>1906</v>
      </c>
      <c r="L6" s="1741"/>
      <c r="M6" s="1742"/>
      <c r="N6" s="1742"/>
      <c r="O6" s="1742"/>
      <c r="P6" s="3215"/>
      <c r="Q6" s="3216"/>
      <c r="R6" s="3219"/>
      <c r="S6" s="3220"/>
      <c r="T6" s="3221"/>
      <c r="U6" s="3222"/>
      <c r="V6" s="3193"/>
      <c r="W6" s="3193"/>
      <c r="X6" s="1743"/>
      <c r="Y6" s="3221"/>
      <c r="Z6" s="3222"/>
      <c r="AA6" s="3206"/>
      <c r="AB6" s="3206"/>
      <c r="AC6" s="3206"/>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27" t="s">
        <v>1908</v>
      </c>
      <c r="Q7" s="3229"/>
      <c r="R7" s="463" t="s">
        <v>20</v>
      </c>
      <c r="S7" s="1758">
        <f t="shared" ref="S7:S15" si="0">F7</f>
        <v>0</v>
      </c>
      <c r="T7" s="463" t="s">
        <v>20</v>
      </c>
      <c r="U7" s="1758">
        <f t="shared" ref="U7:U15" si="1">H7</f>
        <v>0</v>
      </c>
      <c r="V7" s="463" t="s">
        <v>20</v>
      </c>
      <c r="W7" s="1758">
        <f t="shared" ref="W7:W15" si="2">J7</f>
        <v>0</v>
      </c>
      <c r="X7" s="1759"/>
      <c r="Y7" s="3227" t="s">
        <v>1908</v>
      </c>
      <c r="Z7" s="3228"/>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27" t="s">
        <v>1911</v>
      </c>
      <c r="Q8" s="3228"/>
      <c r="R8" s="463" t="s">
        <v>20</v>
      </c>
      <c r="S8" s="1758">
        <f t="shared" si="0"/>
        <v>0</v>
      </c>
      <c r="T8" s="463" t="s">
        <v>20</v>
      </c>
      <c r="U8" s="1758">
        <f t="shared" si="1"/>
        <v>0</v>
      </c>
      <c r="V8" s="463" t="s">
        <v>20</v>
      </c>
      <c r="W8" s="1758">
        <f t="shared" si="2"/>
        <v>0</v>
      </c>
      <c r="X8" s="1759"/>
      <c r="Y8" s="3227" t="s">
        <v>1911</v>
      </c>
      <c r="Z8" s="3228"/>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3" t="s">
        <v>1914</v>
      </c>
      <c r="Q9" s="1769" t="str">
        <f t="shared" ref="Q9:Q15" si="6">B9</f>
        <v>用途</v>
      </c>
      <c r="R9" s="463" t="s">
        <v>14</v>
      </c>
      <c r="S9" s="1758">
        <f t="shared" si="0"/>
        <v>100</v>
      </c>
      <c r="T9" s="463" t="s">
        <v>14</v>
      </c>
      <c r="U9" s="1758">
        <f t="shared" si="1"/>
        <v>100</v>
      </c>
      <c r="V9" s="463" t="s">
        <v>14</v>
      </c>
      <c r="W9" s="1758">
        <f t="shared" si="2"/>
        <v>100</v>
      </c>
      <c r="X9" s="1759"/>
      <c r="Y9" s="307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3"/>
      <c r="Q10" s="1769" t="str">
        <f t="shared" si="6"/>
        <v>土地使用年限（年）</v>
      </c>
      <c r="R10" s="463" t="s">
        <v>14</v>
      </c>
      <c r="S10" s="1758">
        <f t="shared" si="0"/>
        <v>100</v>
      </c>
      <c r="T10" s="463" t="s">
        <v>14</v>
      </c>
      <c r="U10" s="1758">
        <f t="shared" si="1"/>
        <v>100</v>
      </c>
      <c r="V10" s="463" t="s">
        <v>14</v>
      </c>
      <c r="W10" s="1758">
        <f t="shared" si="2"/>
        <v>100</v>
      </c>
      <c r="X10" s="1759"/>
      <c r="Y10" s="307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3"/>
      <c r="Q11" s="1769" t="str">
        <f t="shared" si="6"/>
        <v>容积率</v>
      </c>
      <c r="R11" s="463" t="s">
        <v>18</v>
      </c>
      <c r="S11" s="1758" t="e">
        <f t="shared" si="0"/>
        <v>#N/A</v>
      </c>
      <c r="T11" s="463" t="s">
        <v>18</v>
      </c>
      <c r="U11" s="1758" t="e">
        <f t="shared" si="1"/>
        <v>#N/A</v>
      </c>
      <c r="V11" s="463" t="s">
        <v>18</v>
      </c>
      <c r="W11" s="1758" t="e">
        <f t="shared" si="2"/>
        <v>#N/A</v>
      </c>
      <c r="X11" s="1759"/>
      <c r="Y11" s="307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3"/>
      <c r="Q12" s="1769">
        <f t="shared" si="6"/>
        <v>111</v>
      </c>
      <c r="R12" s="463" t="s">
        <v>18</v>
      </c>
      <c r="S12" s="1758">
        <f t="shared" si="0"/>
        <v>100</v>
      </c>
      <c r="T12" s="463" t="s">
        <v>18</v>
      </c>
      <c r="U12" s="1758">
        <f t="shared" si="1"/>
        <v>100</v>
      </c>
      <c r="V12" s="463" t="s">
        <v>18</v>
      </c>
      <c r="W12" s="1758">
        <f t="shared" si="2"/>
        <v>100</v>
      </c>
      <c r="X12" s="1759"/>
      <c r="Y12" s="307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3"/>
      <c r="Q13" s="1769">
        <f t="shared" si="6"/>
        <v>111</v>
      </c>
      <c r="R13" s="463" t="s">
        <v>18</v>
      </c>
      <c r="S13" s="1758">
        <f t="shared" si="0"/>
        <v>100</v>
      </c>
      <c r="T13" s="463" t="s">
        <v>18</v>
      </c>
      <c r="U13" s="1758">
        <f t="shared" si="1"/>
        <v>100</v>
      </c>
      <c r="V13" s="463" t="s">
        <v>18</v>
      </c>
      <c r="W13" s="1758">
        <f t="shared" si="2"/>
        <v>100</v>
      </c>
      <c r="X13" s="1759"/>
      <c r="Y13" s="3072"/>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3"/>
      <c r="Q14" s="1769">
        <f t="shared" si="6"/>
        <v>111</v>
      </c>
      <c r="R14" s="463" t="s">
        <v>18</v>
      </c>
      <c r="S14" s="1758">
        <f t="shared" si="0"/>
        <v>100</v>
      </c>
      <c r="T14" s="463" t="s">
        <v>18</v>
      </c>
      <c r="U14" s="1758">
        <f t="shared" si="1"/>
        <v>100</v>
      </c>
      <c r="V14" s="463" t="s">
        <v>18</v>
      </c>
      <c r="W14" s="1758">
        <f t="shared" si="2"/>
        <v>100</v>
      </c>
      <c r="X14" s="1759"/>
      <c r="Y14" s="3072"/>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1" t="s">
        <v>1919</v>
      </c>
      <c r="Q15" s="1803" t="str">
        <f t="shared" si="6"/>
        <v>居住社区成熟度</v>
      </c>
      <c r="R15" s="1804" t="s">
        <v>18</v>
      </c>
      <c r="S15" s="1805">
        <f t="shared" si="0"/>
        <v>100</v>
      </c>
      <c r="T15" s="1804" t="s">
        <v>18</v>
      </c>
      <c r="U15" s="1805">
        <f t="shared" si="1"/>
        <v>100</v>
      </c>
      <c r="V15" s="1804" t="s">
        <v>18</v>
      </c>
      <c r="W15" s="1805">
        <f t="shared" si="2"/>
        <v>100</v>
      </c>
      <c r="X15" s="1743"/>
      <c r="Y15" s="3194"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2"/>
      <c r="Q16" s="1803"/>
      <c r="R16" s="1804"/>
      <c r="S16" s="1805"/>
      <c r="T16" s="1804"/>
      <c r="U16" s="1805"/>
      <c r="V16" s="1804"/>
      <c r="W16" s="1805"/>
      <c r="X16" s="1743"/>
      <c r="Y16" s="3195"/>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2"/>
      <c r="Q17" s="1803" t="str">
        <f>B17</f>
        <v>交通便捷度</v>
      </c>
      <c r="R17" s="1804" t="s">
        <v>18</v>
      </c>
      <c r="S17" s="1805">
        <f>F17</f>
        <v>100</v>
      </c>
      <c r="T17" s="1804" t="s">
        <v>18</v>
      </c>
      <c r="U17" s="1805">
        <f>H17</f>
        <v>100</v>
      </c>
      <c r="V17" s="1804" t="s">
        <v>18</v>
      </c>
      <c r="W17" s="1805">
        <f>J17</f>
        <v>100</v>
      </c>
      <c r="X17" s="1743"/>
      <c r="Y17" s="3195"/>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2"/>
      <c r="Q18" s="1803"/>
      <c r="R18" s="1804"/>
      <c r="S18" s="1805"/>
      <c r="T18" s="1804"/>
      <c r="U18" s="1805"/>
      <c r="V18" s="1804"/>
      <c r="W18" s="1805"/>
      <c r="X18" s="1743"/>
      <c r="Y18" s="3195"/>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2"/>
      <c r="Q19" s="1803" t="str">
        <f>B19</f>
        <v>公共配套设施</v>
      </c>
      <c r="R19" s="1804" t="s">
        <v>18</v>
      </c>
      <c r="S19" s="1805">
        <f>F19</f>
        <v>100</v>
      </c>
      <c r="T19" s="1804" t="s">
        <v>18</v>
      </c>
      <c r="U19" s="1805">
        <f>H19</f>
        <v>100</v>
      </c>
      <c r="V19" s="1804" t="s">
        <v>18</v>
      </c>
      <c r="W19" s="1805">
        <f>J19</f>
        <v>100</v>
      </c>
      <c r="X19" s="1743"/>
      <c r="Y19" s="3195"/>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2"/>
      <c r="Q20" s="1803"/>
      <c r="R20" s="1804"/>
      <c r="S20" s="1805"/>
      <c r="T20" s="1804"/>
      <c r="U20" s="1805"/>
      <c r="V20" s="1804"/>
      <c r="W20" s="1805"/>
      <c r="X20" s="1743"/>
      <c r="Y20" s="3195"/>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2"/>
      <c r="Q21" s="1803" t="str">
        <f>B21</f>
        <v>基础设施水平</v>
      </c>
      <c r="R21" s="1804" t="s">
        <v>14</v>
      </c>
      <c r="S21" s="1805">
        <f>F21</f>
        <v>100</v>
      </c>
      <c r="T21" s="1804" t="s">
        <v>14</v>
      </c>
      <c r="U21" s="1805">
        <f>H21</f>
        <v>100</v>
      </c>
      <c r="V21" s="1804" t="s">
        <v>14</v>
      </c>
      <c r="W21" s="1805">
        <f>J21</f>
        <v>100</v>
      </c>
      <c r="X21" s="1743"/>
      <c r="Y21" s="3195"/>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2"/>
      <c r="Q22" s="1803"/>
      <c r="R22" s="1804"/>
      <c r="S22" s="1805"/>
      <c r="T22" s="1804"/>
      <c r="U22" s="1805"/>
      <c r="V22" s="1804"/>
      <c r="W22" s="1805"/>
      <c r="X22" s="1743"/>
      <c r="Y22" s="3195"/>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2"/>
      <c r="Q23" s="1803" t="str">
        <f>B23</f>
        <v>自然及人文环境</v>
      </c>
      <c r="R23" s="1804" t="s">
        <v>18</v>
      </c>
      <c r="S23" s="1805">
        <f>F23</f>
        <v>100</v>
      </c>
      <c r="T23" s="1804" t="s">
        <v>18</v>
      </c>
      <c r="U23" s="1805">
        <f>H23</f>
        <v>100</v>
      </c>
      <c r="V23" s="1804" t="s">
        <v>18</v>
      </c>
      <c r="W23" s="1805">
        <f>J23</f>
        <v>100</v>
      </c>
      <c r="X23" s="1743"/>
      <c r="Y23" s="3195"/>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2"/>
      <c r="Q24" s="1803"/>
      <c r="R24" s="1804"/>
      <c r="S24" s="1805"/>
      <c r="T24" s="1804"/>
      <c r="U24" s="1805"/>
      <c r="V24" s="1804"/>
      <c r="W24" s="1805"/>
      <c r="X24" s="1743"/>
      <c r="Y24" s="3195"/>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2"/>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195"/>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2"/>
      <c r="Q26" s="1803" t="str">
        <f t="shared" si="11"/>
        <v>朝向</v>
      </c>
      <c r="R26" s="1804" t="s">
        <v>18</v>
      </c>
      <c r="S26" s="1805">
        <f t="shared" si="12"/>
        <v>100</v>
      </c>
      <c r="T26" s="1804" t="s">
        <v>18</v>
      </c>
      <c r="U26" s="1805">
        <f t="shared" si="13"/>
        <v>100</v>
      </c>
      <c r="V26" s="1804" t="s">
        <v>18</v>
      </c>
      <c r="W26" s="1805">
        <f t="shared" si="14"/>
        <v>100</v>
      </c>
      <c r="X26" s="1743"/>
      <c r="Y26" s="3195"/>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2"/>
      <c r="Q27" s="1769">
        <f t="shared" si="11"/>
        <v>111</v>
      </c>
      <c r="R27" s="463" t="s">
        <v>18</v>
      </c>
      <c r="S27" s="1758">
        <f t="shared" si="12"/>
        <v>100</v>
      </c>
      <c r="T27" s="463" t="s">
        <v>18</v>
      </c>
      <c r="U27" s="1758">
        <f t="shared" si="13"/>
        <v>100</v>
      </c>
      <c r="V27" s="463" t="s">
        <v>18</v>
      </c>
      <c r="W27" s="1758">
        <f t="shared" si="14"/>
        <v>100</v>
      </c>
      <c r="X27" s="1759"/>
      <c r="Y27" s="3195"/>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2"/>
      <c r="Q28" s="1803">
        <f t="shared" si="11"/>
        <v>111</v>
      </c>
      <c r="R28" s="1804" t="s">
        <v>18</v>
      </c>
      <c r="S28" s="1805">
        <f t="shared" si="12"/>
        <v>100</v>
      </c>
      <c r="T28" s="1804" t="s">
        <v>18</v>
      </c>
      <c r="U28" s="1805">
        <f t="shared" si="13"/>
        <v>100</v>
      </c>
      <c r="V28" s="1804" t="s">
        <v>18</v>
      </c>
      <c r="W28" s="1805">
        <f t="shared" si="14"/>
        <v>100</v>
      </c>
      <c r="X28" s="1743"/>
      <c r="Y28" s="3195"/>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2"/>
      <c r="Q29" s="1803">
        <f t="shared" si="11"/>
        <v>111</v>
      </c>
      <c r="R29" s="1804" t="s">
        <v>18</v>
      </c>
      <c r="S29" s="1805">
        <f t="shared" si="12"/>
        <v>100</v>
      </c>
      <c r="T29" s="1804" t="s">
        <v>18</v>
      </c>
      <c r="U29" s="1805">
        <f t="shared" si="13"/>
        <v>100</v>
      </c>
      <c r="V29" s="1804" t="s">
        <v>18</v>
      </c>
      <c r="W29" s="1805">
        <f t="shared" si="14"/>
        <v>100</v>
      </c>
      <c r="X29" s="1743"/>
      <c r="Y29" s="3195"/>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2"/>
      <c r="Q30" s="1803">
        <f t="shared" si="11"/>
        <v>111</v>
      </c>
      <c r="R30" s="1804" t="s">
        <v>18</v>
      </c>
      <c r="S30" s="1805">
        <f t="shared" si="12"/>
        <v>100</v>
      </c>
      <c r="T30" s="1804" t="s">
        <v>18</v>
      </c>
      <c r="U30" s="1805">
        <f t="shared" si="13"/>
        <v>100</v>
      </c>
      <c r="V30" s="1804" t="s">
        <v>18</v>
      </c>
      <c r="W30" s="1805">
        <f t="shared" si="14"/>
        <v>100</v>
      </c>
      <c r="X30" s="1743"/>
      <c r="Y30" s="3195"/>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2"/>
      <c r="Q31" s="1803">
        <f t="shared" si="11"/>
        <v>111</v>
      </c>
      <c r="R31" s="1804" t="s">
        <v>18</v>
      </c>
      <c r="S31" s="1805">
        <f t="shared" si="12"/>
        <v>100</v>
      </c>
      <c r="T31" s="1804" t="s">
        <v>18</v>
      </c>
      <c r="U31" s="1805">
        <f t="shared" si="13"/>
        <v>100</v>
      </c>
      <c r="V31" s="1804" t="s">
        <v>18</v>
      </c>
      <c r="W31" s="1805">
        <f t="shared" si="14"/>
        <v>100</v>
      </c>
      <c r="X31" s="1743"/>
      <c r="Y31" s="3195"/>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196" t="s">
        <v>1924</v>
      </c>
      <c r="Q32" s="1803" t="str">
        <f t="shared" si="11"/>
        <v>建筑类型</v>
      </c>
      <c r="R32" s="1804" t="s">
        <v>18</v>
      </c>
      <c r="S32" s="1805">
        <f t="shared" si="12"/>
        <v>100</v>
      </c>
      <c r="T32" s="1804" t="s">
        <v>18</v>
      </c>
      <c r="U32" s="1805">
        <f t="shared" si="13"/>
        <v>100</v>
      </c>
      <c r="V32" s="1804" t="s">
        <v>18</v>
      </c>
      <c r="W32" s="1805">
        <f t="shared" si="14"/>
        <v>100</v>
      </c>
      <c r="X32" s="1743"/>
      <c r="Y32" s="3199"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197"/>
      <c r="Q33" s="1839" t="str">
        <f t="shared" si="11"/>
        <v>项目建筑规模</v>
      </c>
      <c r="R33" s="1840" t="s">
        <v>18</v>
      </c>
      <c r="S33" s="1841" t="e">
        <f t="shared" si="12"/>
        <v>#N/A</v>
      </c>
      <c r="T33" s="1840" t="s">
        <v>18</v>
      </c>
      <c r="U33" s="1841" t="e">
        <f t="shared" si="13"/>
        <v>#N/A</v>
      </c>
      <c r="V33" s="1840" t="s">
        <v>18</v>
      </c>
      <c r="W33" s="1841" t="e">
        <f t="shared" si="14"/>
        <v>#N/A</v>
      </c>
      <c r="X33" s="1842"/>
      <c r="Y33" s="3199"/>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197"/>
      <c r="Q34" s="1803" t="str">
        <f t="shared" si="11"/>
        <v>建筑结构</v>
      </c>
      <c r="R34" s="1804" t="s">
        <v>18</v>
      </c>
      <c r="S34" s="1805">
        <f t="shared" si="12"/>
        <v>100</v>
      </c>
      <c r="T34" s="1804" t="s">
        <v>18</v>
      </c>
      <c r="U34" s="1805">
        <f t="shared" si="13"/>
        <v>100</v>
      </c>
      <c r="V34" s="1804" t="s">
        <v>18</v>
      </c>
      <c r="W34" s="1805">
        <f t="shared" si="14"/>
        <v>100</v>
      </c>
      <c r="X34" s="1743"/>
      <c r="Y34" s="3199"/>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197"/>
      <c r="Q35" s="1803" t="str">
        <f t="shared" si="11"/>
        <v>建筑品质</v>
      </c>
      <c r="R35" s="1804" t="s">
        <v>18</v>
      </c>
      <c r="S35" s="1805">
        <f t="shared" si="12"/>
        <v>100</v>
      </c>
      <c r="T35" s="1804" t="s">
        <v>18</v>
      </c>
      <c r="U35" s="1805">
        <f t="shared" si="13"/>
        <v>100</v>
      </c>
      <c r="V35" s="1804" t="s">
        <v>18</v>
      </c>
      <c r="W35" s="1805">
        <f t="shared" si="14"/>
        <v>100</v>
      </c>
      <c r="X35" s="1743"/>
      <c r="Y35" s="3199"/>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197"/>
      <c r="Q36" s="1803" t="str">
        <f t="shared" si="11"/>
        <v>公共部分装修</v>
      </c>
      <c r="R36" s="1804" t="s">
        <v>18</v>
      </c>
      <c r="S36" s="1805">
        <f t="shared" si="12"/>
        <v>100</v>
      </c>
      <c r="T36" s="1804" t="s">
        <v>18</v>
      </c>
      <c r="U36" s="1805">
        <f t="shared" si="13"/>
        <v>100</v>
      </c>
      <c r="V36" s="1804" t="s">
        <v>18</v>
      </c>
      <c r="W36" s="1805">
        <f t="shared" si="14"/>
        <v>100</v>
      </c>
      <c r="X36" s="1743"/>
      <c r="Y36" s="3199"/>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197"/>
      <c r="Q37" s="1769" t="str">
        <f t="shared" si="11"/>
        <v>成新度</v>
      </c>
      <c r="R37" s="463" t="s">
        <v>18</v>
      </c>
      <c r="S37" s="1758" t="e">
        <f t="shared" si="12"/>
        <v>#N/A</v>
      </c>
      <c r="T37" s="463" t="s">
        <v>18</v>
      </c>
      <c r="U37" s="1758" t="e">
        <f t="shared" si="13"/>
        <v>#N/A</v>
      </c>
      <c r="V37" s="463" t="s">
        <v>18</v>
      </c>
      <c r="W37" s="1758" t="e">
        <f t="shared" si="14"/>
        <v>#N/A</v>
      </c>
      <c r="X37" s="1759"/>
      <c r="Y37" s="3199"/>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197" t="s">
        <v>1924</v>
      </c>
      <c r="Q38" s="1803" t="str">
        <f t="shared" si="11"/>
        <v>物业管理</v>
      </c>
      <c r="R38" s="1804" t="s">
        <v>18</v>
      </c>
      <c r="S38" s="1805">
        <f t="shared" si="12"/>
        <v>100</v>
      </c>
      <c r="T38" s="1804" t="s">
        <v>18</v>
      </c>
      <c r="U38" s="1805">
        <f t="shared" si="13"/>
        <v>100</v>
      </c>
      <c r="V38" s="1804" t="s">
        <v>18</v>
      </c>
      <c r="W38" s="1805">
        <f t="shared" si="14"/>
        <v>100</v>
      </c>
      <c r="X38" s="1743"/>
      <c r="Y38" s="3199"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197"/>
      <c r="Q39" s="1803" t="str">
        <f t="shared" si="11"/>
        <v>市政基础设施</v>
      </c>
      <c r="R39" s="1804" t="s">
        <v>18</v>
      </c>
      <c r="S39" s="1805">
        <f t="shared" si="12"/>
        <v>100</v>
      </c>
      <c r="T39" s="1804" t="s">
        <v>18</v>
      </c>
      <c r="U39" s="1805">
        <f t="shared" si="13"/>
        <v>100</v>
      </c>
      <c r="V39" s="1804" t="s">
        <v>18</v>
      </c>
      <c r="W39" s="1805">
        <f t="shared" si="14"/>
        <v>100</v>
      </c>
      <c r="X39" s="1743"/>
      <c r="Y39" s="3199"/>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197"/>
      <c r="Q40" s="1803" t="str">
        <f t="shared" si="11"/>
        <v>房型</v>
      </c>
      <c r="R40" s="1804" t="s">
        <v>18</v>
      </c>
      <c r="S40" s="1805">
        <f t="shared" si="12"/>
        <v>100</v>
      </c>
      <c r="T40" s="1804" t="s">
        <v>18</v>
      </c>
      <c r="U40" s="1805">
        <f t="shared" si="13"/>
        <v>100</v>
      </c>
      <c r="V40" s="1804" t="s">
        <v>18</v>
      </c>
      <c r="W40" s="1805">
        <f t="shared" si="14"/>
        <v>100</v>
      </c>
      <c r="X40" s="1743"/>
      <c r="Y40" s="3199"/>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197"/>
      <c r="Q41" s="1839" t="str">
        <f t="shared" si="11"/>
        <v>单套/主力户型建筑面积</v>
      </c>
      <c r="R41" s="1840" t="s">
        <v>18</v>
      </c>
      <c r="S41" s="1841">
        <f t="shared" si="12"/>
        <v>100</v>
      </c>
      <c r="T41" s="1840" t="s">
        <v>18</v>
      </c>
      <c r="U41" s="1841">
        <f t="shared" si="13"/>
        <v>100</v>
      </c>
      <c r="V41" s="1840" t="s">
        <v>18</v>
      </c>
      <c r="W41" s="1841">
        <f t="shared" si="14"/>
        <v>100</v>
      </c>
      <c r="X41" s="1842"/>
      <c r="Y41" s="3199"/>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197"/>
      <c r="Q42" s="1803" t="str">
        <f t="shared" si="11"/>
        <v>内部装修</v>
      </c>
      <c r="R42" s="1804" t="s">
        <v>18</v>
      </c>
      <c r="S42" s="1805">
        <f t="shared" si="12"/>
        <v>100</v>
      </c>
      <c r="T42" s="1804" t="s">
        <v>18</v>
      </c>
      <c r="U42" s="1805">
        <f t="shared" si="13"/>
        <v>100</v>
      </c>
      <c r="V42" s="1804" t="s">
        <v>18</v>
      </c>
      <c r="W42" s="1805">
        <f t="shared" si="14"/>
        <v>100</v>
      </c>
      <c r="X42" s="1743"/>
      <c r="Y42" s="3199"/>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197"/>
      <c r="Q43" s="1803" t="str">
        <f t="shared" si="11"/>
        <v>内部装修维护情况</v>
      </c>
      <c r="R43" s="1804" t="s">
        <v>18</v>
      </c>
      <c r="S43" s="1805">
        <f t="shared" si="12"/>
        <v>100</v>
      </c>
      <c r="T43" s="1804" t="s">
        <v>18</v>
      </c>
      <c r="U43" s="1805">
        <f t="shared" si="13"/>
        <v>100</v>
      </c>
      <c r="V43" s="1804" t="s">
        <v>18</v>
      </c>
      <c r="W43" s="1805">
        <f t="shared" si="14"/>
        <v>100</v>
      </c>
      <c r="X43" s="1743"/>
      <c r="Y43" s="3199"/>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197"/>
      <c r="Q44" s="1769">
        <f t="shared" si="11"/>
        <v>111</v>
      </c>
      <c r="R44" s="463" t="s">
        <v>18</v>
      </c>
      <c r="S44" s="1758">
        <f t="shared" si="12"/>
        <v>100</v>
      </c>
      <c r="T44" s="463" t="s">
        <v>18</v>
      </c>
      <c r="U44" s="1758">
        <f t="shared" si="13"/>
        <v>100</v>
      </c>
      <c r="V44" s="463" t="s">
        <v>18</v>
      </c>
      <c r="W44" s="1758">
        <f t="shared" si="14"/>
        <v>100</v>
      </c>
      <c r="X44" s="1759"/>
      <c r="Y44" s="3199"/>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197"/>
      <c r="Q45" s="1803">
        <f t="shared" si="11"/>
        <v>111</v>
      </c>
      <c r="R45" s="1804" t="s">
        <v>18</v>
      </c>
      <c r="S45" s="1805">
        <f t="shared" si="12"/>
        <v>100</v>
      </c>
      <c r="T45" s="1804" t="s">
        <v>18</v>
      </c>
      <c r="U45" s="1805">
        <f t="shared" si="13"/>
        <v>100</v>
      </c>
      <c r="V45" s="1804" t="s">
        <v>18</v>
      </c>
      <c r="W45" s="1805">
        <f t="shared" si="14"/>
        <v>100</v>
      </c>
      <c r="X45" s="1743"/>
      <c r="Y45" s="3199"/>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198"/>
      <c r="Q46" s="1803">
        <f t="shared" si="11"/>
        <v>111</v>
      </c>
      <c r="R46" s="1804" t="s">
        <v>17</v>
      </c>
      <c r="S46" s="1805">
        <f t="shared" si="12"/>
        <v>100</v>
      </c>
      <c r="T46" s="1804" t="s">
        <v>17</v>
      </c>
      <c r="U46" s="1805">
        <f t="shared" si="13"/>
        <v>100</v>
      </c>
      <c r="V46" s="1804" t="s">
        <v>17</v>
      </c>
      <c r="W46" s="1805">
        <f t="shared" si="14"/>
        <v>100</v>
      </c>
      <c r="X46" s="1743"/>
      <c r="Y46" s="3200"/>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2" t="str">
        <f>A47</f>
        <v>成交单价（元/平方米）</v>
      </c>
      <c r="Q47" s="3192"/>
      <c r="R47" s="3193">
        <f>E47</f>
        <v>0</v>
      </c>
      <c r="S47" s="3193"/>
      <c r="T47" s="3193">
        <f>G47</f>
        <v>0</v>
      </c>
      <c r="U47" s="3193"/>
      <c r="V47" s="3193">
        <f>I47</f>
        <v>0</v>
      </c>
      <c r="W47" s="3193"/>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89" t="str">
        <f>A49</f>
        <v>估价对象XX用房的比较价值（楼面单价，元/平方米）</v>
      </c>
      <c r="Q49" s="3190"/>
      <c r="R49" s="3191" t="e">
        <f>IF(F1="售价",ROUND(IF(D48="简单平均",AVERAGE(R48:V48),R48*F48+T48*H48+V48*J48),0),ROUND(IF(D48="简单平均",AVERAGE(R48:V48),R48*F48+T48*H48+V48*J48),1))</f>
        <v>#DIV/0!</v>
      </c>
      <c r="S49" s="3191"/>
      <c r="T49" s="3191"/>
      <c r="U49" s="3191"/>
      <c r="V49" s="3191"/>
      <c r="W49" s="3191"/>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07" t="s">
        <v>2005</v>
      </c>
      <c r="D4" s="3208"/>
      <c r="E4" s="3209" t="s">
        <v>2006</v>
      </c>
      <c r="F4" s="3210"/>
      <c r="G4" s="3207" t="s">
        <v>2007</v>
      </c>
      <c r="H4" s="3208"/>
      <c r="I4" s="3207" t="s">
        <v>2008</v>
      </c>
      <c r="J4" s="3208"/>
      <c r="K4" s="2042" t="s">
        <v>2009</v>
      </c>
      <c r="L4" s="1741"/>
      <c r="M4" s="1742"/>
      <c r="N4" s="1742"/>
      <c r="O4" s="1742"/>
      <c r="P4" s="3211" t="s">
        <v>2010</v>
      </c>
      <c r="Q4" s="3212"/>
      <c r="R4" s="3217" t="s">
        <v>2006</v>
      </c>
      <c r="S4" s="3218"/>
      <c r="T4" s="3217" t="s">
        <v>2007</v>
      </c>
      <c r="U4" s="3218"/>
      <c r="V4" s="3193" t="s">
        <v>2008</v>
      </c>
      <c r="W4" s="3193"/>
      <c r="X4" s="1743"/>
      <c r="Y4" s="3217" t="s">
        <v>2010</v>
      </c>
      <c r="Z4" s="3218"/>
      <c r="AA4" s="3204" t="s">
        <v>2006</v>
      </c>
      <c r="AB4" s="3193" t="s">
        <v>2007</v>
      </c>
      <c r="AC4" s="3204" t="s">
        <v>2008</v>
      </c>
    </row>
    <row r="5" spans="1:29" ht="15">
      <c r="A5" s="1745"/>
      <c r="B5" s="1746"/>
      <c r="C5" s="3225" t="s">
        <v>1901</v>
      </c>
      <c r="D5" s="3226"/>
      <c r="E5" s="3232" t="s">
        <v>1902</v>
      </c>
      <c r="F5" s="3233"/>
      <c r="G5" s="3225" t="s">
        <v>1903</v>
      </c>
      <c r="H5" s="3226"/>
      <c r="I5" s="3225" t="s">
        <v>1904</v>
      </c>
      <c r="J5" s="3226"/>
      <c r="K5" s="2042"/>
      <c r="L5" s="1741"/>
      <c r="M5" s="1742"/>
      <c r="N5" s="1742"/>
      <c r="O5" s="1742"/>
      <c r="P5" s="3213"/>
      <c r="Q5" s="3214"/>
      <c r="R5" s="3219"/>
      <c r="S5" s="3220"/>
      <c r="T5" s="3219"/>
      <c r="U5" s="3220"/>
      <c r="V5" s="3193"/>
      <c r="W5" s="3193"/>
      <c r="X5" s="1743"/>
      <c r="Y5" s="3219"/>
      <c r="Z5" s="3220"/>
      <c r="AA5" s="3205"/>
      <c r="AB5" s="3193"/>
      <c r="AC5" s="3205"/>
    </row>
    <row r="6" spans="1:29" ht="15.75" thickBot="1">
      <c r="A6" s="1748"/>
      <c r="B6" s="1749"/>
      <c r="C6" s="3223" t="s">
        <v>1905</v>
      </c>
      <c r="D6" s="3224"/>
      <c r="E6" s="3230" t="s">
        <v>1905</v>
      </c>
      <c r="F6" s="3231"/>
      <c r="G6" s="3223" t="s">
        <v>1905</v>
      </c>
      <c r="H6" s="3224"/>
      <c r="I6" s="3223" t="s">
        <v>1905</v>
      </c>
      <c r="J6" s="3224"/>
      <c r="K6" s="2042" t="s">
        <v>1906</v>
      </c>
      <c r="L6" s="1741"/>
      <c r="M6" s="1742"/>
      <c r="N6" s="1742"/>
      <c r="O6" s="1742"/>
      <c r="P6" s="3215"/>
      <c r="Q6" s="3216"/>
      <c r="R6" s="3219"/>
      <c r="S6" s="3220"/>
      <c r="T6" s="3221"/>
      <c r="U6" s="3222"/>
      <c r="V6" s="3193"/>
      <c r="W6" s="3193"/>
      <c r="X6" s="1743"/>
      <c r="Y6" s="3221"/>
      <c r="Z6" s="3222"/>
      <c r="AA6" s="3206"/>
      <c r="AB6" s="3193"/>
      <c r="AC6" s="3206"/>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27" t="s">
        <v>1908</v>
      </c>
      <c r="Q7" s="3229"/>
      <c r="R7" s="463" t="s">
        <v>14</v>
      </c>
      <c r="S7" s="1758">
        <f t="shared" ref="S7:S15" si="0">F7</f>
        <v>0</v>
      </c>
      <c r="T7" s="463" t="s">
        <v>14</v>
      </c>
      <c r="U7" s="1758">
        <f t="shared" ref="U7:U15" si="1">H7</f>
        <v>0</v>
      </c>
      <c r="V7" s="463" t="s">
        <v>14</v>
      </c>
      <c r="W7" s="1758">
        <f t="shared" ref="W7:W15" si="2">J7</f>
        <v>0</v>
      </c>
      <c r="X7" s="1759"/>
      <c r="Y7" s="3227" t="s">
        <v>1908</v>
      </c>
      <c r="Z7" s="3228"/>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27" t="s">
        <v>1911</v>
      </c>
      <c r="Q8" s="3228"/>
      <c r="R8" s="463" t="s">
        <v>14</v>
      </c>
      <c r="S8" s="1758">
        <f t="shared" si="0"/>
        <v>0</v>
      </c>
      <c r="T8" s="463" t="s">
        <v>14</v>
      </c>
      <c r="U8" s="1758">
        <f t="shared" si="1"/>
        <v>0</v>
      </c>
      <c r="V8" s="463" t="s">
        <v>14</v>
      </c>
      <c r="W8" s="1758">
        <f t="shared" si="2"/>
        <v>0</v>
      </c>
      <c r="X8" s="1759"/>
      <c r="Y8" s="3227" t="s">
        <v>1911</v>
      </c>
      <c r="Z8" s="3228"/>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3" t="s">
        <v>1914</v>
      </c>
      <c r="Q9" s="1769" t="str">
        <f t="shared" ref="Q9:Q15" si="6">B9</f>
        <v>用途</v>
      </c>
      <c r="R9" s="463" t="s">
        <v>14</v>
      </c>
      <c r="S9" s="1758">
        <f t="shared" si="0"/>
        <v>100</v>
      </c>
      <c r="T9" s="463" t="s">
        <v>14</v>
      </c>
      <c r="U9" s="1758">
        <f t="shared" si="1"/>
        <v>100</v>
      </c>
      <c r="V9" s="463" t="s">
        <v>14</v>
      </c>
      <c r="W9" s="1758">
        <f t="shared" si="2"/>
        <v>100</v>
      </c>
      <c r="X9" s="1759"/>
      <c r="Y9" s="307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3"/>
      <c r="Q10" s="1769" t="str">
        <f t="shared" si="6"/>
        <v>土地使用年限（年）</v>
      </c>
      <c r="R10" s="463" t="s">
        <v>14</v>
      </c>
      <c r="S10" s="1758">
        <f t="shared" si="0"/>
        <v>100</v>
      </c>
      <c r="T10" s="463" t="s">
        <v>14</v>
      </c>
      <c r="U10" s="1758">
        <f t="shared" si="1"/>
        <v>100</v>
      </c>
      <c r="V10" s="463" t="s">
        <v>14</v>
      </c>
      <c r="W10" s="1758">
        <f t="shared" si="2"/>
        <v>100</v>
      </c>
      <c r="X10" s="1759"/>
      <c r="Y10" s="307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3"/>
      <c r="Q11" s="1769" t="str">
        <f t="shared" si="6"/>
        <v>容积率</v>
      </c>
      <c r="R11" s="463" t="s">
        <v>14</v>
      </c>
      <c r="S11" s="1758" t="e">
        <f t="shared" si="0"/>
        <v>#N/A</v>
      </c>
      <c r="T11" s="463" t="s">
        <v>14</v>
      </c>
      <c r="U11" s="1758" t="e">
        <f t="shared" si="1"/>
        <v>#N/A</v>
      </c>
      <c r="V11" s="463" t="s">
        <v>14</v>
      </c>
      <c r="W11" s="1758" t="e">
        <f t="shared" si="2"/>
        <v>#N/A</v>
      </c>
      <c r="X11" s="1759"/>
      <c r="Y11" s="307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3"/>
      <c r="Q12" s="1769">
        <f t="shared" si="6"/>
        <v>111</v>
      </c>
      <c r="R12" s="463" t="s">
        <v>14</v>
      </c>
      <c r="S12" s="1758">
        <f t="shared" si="0"/>
        <v>100</v>
      </c>
      <c r="T12" s="463" t="s">
        <v>14</v>
      </c>
      <c r="U12" s="1758">
        <f t="shared" si="1"/>
        <v>100</v>
      </c>
      <c r="V12" s="463" t="s">
        <v>14</v>
      </c>
      <c r="W12" s="1758">
        <f t="shared" si="2"/>
        <v>100</v>
      </c>
      <c r="X12" s="1759"/>
      <c r="Y12" s="307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3"/>
      <c r="Q13" s="1769">
        <f t="shared" si="6"/>
        <v>111</v>
      </c>
      <c r="R13" s="463" t="s">
        <v>14</v>
      </c>
      <c r="S13" s="1758">
        <f t="shared" si="0"/>
        <v>100</v>
      </c>
      <c r="T13" s="463" t="s">
        <v>14</v>
      </c>
      <c r="U13" s="1758">
        <f t="shared" si="1"/>
        <v>100</v>
      </c>
      <c r="V13" s="463" t="s">
        <v>14</v>
      </c>
      <c r="W13" s="1758">
        <f t="shared" si="2"/>
        <v>100</v>
      </c>
      <c r="X13" s="1759"/>
      <c r="Y13" s="3072"/>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3"/>
      <c r="Q14" s="1769">
        <f t="shared" si="6"/>
        <v>111</v>
      </c>
      <c r="R14" s="463" t="s">
        <v>14</v>
      </c>
      <c r="S14" s="1758">
        <f t="shared" si="0"/>
        <v>100</v>
      </c>
      <c r="T14" s="463" t="s">
        <v>14</v>
      </c>
      <c r="U14" s="1758">
        <f t="shared" si="1"/>
        <v>100</v>
      </c>
      <c r="V14" s="463" t="s">
        <v>14</v>
      </c>
      <c r="W14" s="1758">
        <f t="shared" si="2"/>
        <v>100</v>
      </c>
      <c r="X14" s="1759"/>
      <c r="Y14" s="3072"/>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1" t="s">
        <v>1919</v>
      </c>
      <c r="Q15" s="1803" t="str">
        <f t="shared" si="6"/>
        <v>商业繁华度</v>
      </c>
      <c r="R15" s="1804" t="s">
        <v>14</v>
      </c>
      <c r="S15" s="1805">
        <f t="shared" si="0"/>
        <v>100</v>
      </c>
      <c r="T15" s="1804" t="s">
        <v>14</v>
      </c>
      <c r="U15" s="1805">
        <f t="shared" si="1"/>
        <v>100</v>
      </c>
      <c r="V15" s="1804" t="s">
        <v>14</v>
      </c>
      <c r="W15" s="1805">
        <f t="shared" si="2"/>
        <v>100</v>
      </c>
      <c r="X15" s="1743"/>
      <c r="Y15" s="3194"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2"/>
      <c r="Q16" s="1803"/>
      <c r="R16" s="1804"/>
      <c r="S16" s="1805"/>
      <c r="T16" s="1804"/>
      <c r="U16" s="1805"/>
      <c r="V16" s="1804"/>
      <c r="W16" s="1805"/>
      <c r="X16" s="1743"/>
      <c r="Y16" s="3195"/>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2"/>
      <c r="Q17" s="1803" t="str">
        <f>B17</f>
        <v>交通便捷度</v>
      </c>
      <c r="R17" s="1804" t="s">
        <v>14</v>
      </c>
      <c r="S17" s="1805">
        <f>F17</f>
        <v>100</v>
      </c>
      <c r="T17" s="1804" t="s">
        <v>14</v>
      </c>
      <c r="U17" s="1805">
        <f>H17</f>
        <v>100</v>
      </c>
      <c r="V17" s="1804" t="s">
        <v>14</v>
      </c>
      <c r="W17" s="1805">
        <f>J17</f>
        <v>100</v>
      </c>
      <c r="X17" s="1743"/>
      <c r="Y17" s="3195"/>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2"/>
      <c r="Q18" s="1803"/>
      <c r="R18" s="1804"/>
      <c r="S18" s="1805"/>
      <c r="T18" s="1804"/>
      <c r="U18" s="1805"/>
      <c r="V18" s="1804"/>
      <c r="W18" s="1805"/>
      <c r="X18" s="1743"/>
      <c r="Y18" s="3195"/>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2"/>
      <c r="Q19" s="1803" t="str">
        <f>B19</f>
        <v>公共配套设施</v>
      </c>
      <c r="R19" s="1804" t="s">
        <v>14</v>
      </c>
      <c r="S19" s="1805">
        <f>F19</f>
        <v>100</v>
      </c>
      <c r="T19" s="1804" t="s">
        <v>14</v>
      </c>
      <c r="U19" s="1805">
        <f>H19</f>
        <v>100</v>
      </c>
      <c r="V19" s="1804" t="s">
        <v>14</v>
      </c>
      <c r="W19" s="1805">
        <f>J19</f>
        <v>100</v>
      </c>
      <c r="X19" s="1743"/>
      <c r="Y19" s="3195"/>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2"/>
      <c r="Q20" s="1803"/>
      <c r="R20" s="1804"/>
      <c r="S20" s="1805"/>
      <c r="T20" s="1804"/>
      <c r="U20" s="1805"/>
      <c r="V20" s="1804"/>
      <c r="W20" s="1805"/>
      <c r="X20" s="1743"/>
      <c r="Y20" s="3195"/>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2"/>
      <c r="Q21" s="1803" t="str">
        <f>B21</f>
        <v>基础设施水平</v>
      </c>
      <c r="R21" s="1804" t="s">
        <v>14</v>
      </c>
      <c r="S21" s="1805">
        <f>F21</f>
        <v>100</v>
      </c>
      <c r="T21" s="1804" t="s">
        <v>14</v>
      </c>
      <c r="U21" s="1805">
        <f>H21</f>
        <v>100</v>
      </c>
      <c r="V21" s="1804" t="s">
        <v>14</v>
      </c>
      <c r="W21" s="1805">
        <f>J21</f>
        <v>100</v>
      </c>
      <c r="X21" s="1743"/>
      <c r="Y21" s="3195"/>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2"/>
      <c r="Q22" s="1803"/>
      <c r="R22" s="1804"/>
      <c r="S22" s="1805"/>
      <c r="T22" s="1804"/>
      <c r="U22" s="1805"/>
      <c r="V22" s="1804"/>
      <c r="W22" s="1805"/>
      <c r="X22" s="1743"/>
      <c r="Y22" s="3195"/>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2"/>
      <c r="Q23" s="1803" t="str">
        <f>B23</f>
        <v>自然及人文环境</v>
      </c>
      <c r="R23" s="1804" t="s">
        <v>14</v>
      </c>
      <c r="S23" s="1805">
        <f>F23</f>
        <v>100</v>
      </c>
      <c r="T23" s="1804" t="s">
        <v>14</v>
      </c>
      <c r="U23" s="1805">
        <f>H23</f>
        <v>100</v>
      </c>
      <c r="V23" s="1804" t="s">
        <v>14</v>
      </c>
      <c r="W23" s="1805">
        <f>J23</f>
        <v>100</v>
      </c>
      <c r="X23" s="1743"/>
      <c r="Y23" s="3195"/>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2"/>
      <c r="Q24" s="1803"/>
      <c r="R24" s="1804"/>
      <c r="S24" s="1805"/>
      <c r="T24" s="1804"/>
      <c r="U24" s="1805"/>
      <c r="V24" s="1804"/>
      <c r="W24" s="1805"/>
      <c r="X24" s="1743"/>
      <c r="Y24" s="3195"/>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2"/>
      <c r="Q25" s="1803" t="str">
        <f t="shared" ref="Q25:Q46" si="11">B25</f>
        <v>临街状况</v>
      </c>
      <c r="R25" s="1804" t="s">
        <v>14</v>
      </c>
      <c r="S25" s="1805">
        <f>F25</f>
        <v>100</v>
      </c>
      <c r="T25" s="1804" t="s">
        <v>14</v>
      </c>
      <c r="U25" s="1805">
        <f>H25</f>
        <v>100</v>
      </c>
      <c r="V25" s="1804" t="s">
        <v>14</v>
      </c>
      <c r="W25" s="1805">
        <f>J25</f>
        <v>100</v>
      </c>
      <c r="X25" s="1743"/>
      <c r="Y25" s="3195"/>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2"/>
      <c r="Q26" s="1803" t="str">
        <f t="shared" si="11"/>
        <v>平面位置/可视性</v>
      </c>
      <c r="R26" s="1804" t="s">
        <v>14</v>
      </c>
      <c r="S26" s="1805">
        <f>F26</f>
        <v>100</v>
      </c>
      <c r="T26" s="1804" t="s">
        <v>14</v>
      </c>
      <c r="U26" s="1805">
        <f>H26</f>
        <v>100</v>
      </c>
      <c r="V26" s="1804" t="s">
        <v>14</v>
      </c>
      <c r="W26" s="1805">
        <f>J26</f>
        <v>100</v>
      </c>
      <c r="X26" s="1743"/>
      <c r="Y26" s="3195"/>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2"/>
      <c r="Q27" s="1769" t="str">
        <f t="shared" si="11"/>
        <v>人流量</v>
      </c>
      <c r="R27" s="463" t="s">
        <v>14</v>
      </c>
      <c r="S27" s="1758">
        <f>F27</f>
        <v>100</v>
      </c>
      <c r="T27" s="463" t="s">
        <v>14</v>
      </c>
      <c r="U27" s="1758">
        <f>H27</f>
        <v>100</v>
      </c>
      <c r="V27" s="463" t="s">
        <v>14</v>
      </c>
      <c r="W27" s="1758">
        <f>J27</f>
        <v>100</v>
      </c>
      <c r="X27" s="1759"/>
      <c r="Y27" s="3195"/>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2"/>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195"/>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2"/>
      <c r="Q29" s="1803">
        <f t="shared" si="11"/>
        <v>111</v>
      </c>
      <c r="R29" s="1804" t="s">
        <v>14</v>
      </c>
      <c r="S29" s="1805">
        <f t="shared" si="12"/>
        <v>100</v>
      </c>
      <c r="T29" s="1804" t="s">
        <v>14</v>
      </c>
      <c r="U29" s="1805">
        <f t="shared" si="13"/>
        <v>100</v>
      </c>
      <c r="V29" s="1804" t="s">
        <v>14</v>
      </c>
      <c r="W29" s="1805">
        <f t="shared" si="14"/>
        <v>100</v>
      </c>
      <c r="X29" s="1743"/>
      <c r="Y29" s="3195"/>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2"/>
      <c r="Q30" s="1803">
        <f t="shared" si="11"/>
        <v>111</v>
      </c>
      <c r="R30" s="1804" t="s">
        <v>14</v>
      </c>
      <c r="S30" s="1805">
        <f t="shared" si="12"/>
        <v>100</v>
      </c>
      <c r="T30" s="1804" t="s">
        <v>14</v>
      </c>
      <c r="U30" s="1805">
        <f t="shared" si="13"/>
        <v>100</v>
      </c>
      <c r="V30" s="1804" t="s">
        <v>14</v>
      </c>
      <c r="W30" s="1805">
        <f t="shared" si="14"/>
        <v>100</v>
      </c>
      <c r="X30" s="1743"/>
      <c r="Y30" s="3195"/>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2"/>
      <c r="Q31" s="1803">
        <f t="shared" si="11"/>
        <v>111</v>
      </c>
      <c r="R31" s="1804" t="s">
        <v>14</v>
      </c>
      <c r="S31" s="1805">
        <f t="shared" si="12"/>
        <v>100</v>
      </c>
      <c r="T31" s="1804" t="s">
        <v>14</v>
      </c>
      <c r="U31" s="1805">
        <f t="shared" si="13"/>
        <v>100</v>
      </c>
      <c r="V31" s="1804" t="s">
        <v>14</v>
      </c>
      <c r="W31" s="1805">
        <f t="shared" si="14"/>
        <v>100</v>
      </c>
      <c r="X31" s="1743"/>
      <c r="Y31" s="3195"/>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196" t="s">
        <v>1924</v>
      </c>
      <c r="Q32" s="1803" t="str">
        <f t="shared" si="11"/>
        <v>商业类型</v>
      </c>
      <c r="R32" s="1804" t="s">
        <v>14</v>
      </c>
      <c r="S32" s="1805">
        <f t="shared" si="12"/>
        <v>100</v>
      </c>
      <c r="T32" s="1804" t="s">
        <v>14</v>
      </c>
      <c r="U32" s="1805">
        <f t="shared" si="13"/>
        <v>100</v>
      </c>
      <c r="V32" s="1804" t="s">
        <v>14</v>
      </c>
      <c r="W32" s="1805">
        <f t="shared" si="14"/>
        <v>100</v>
      </c>
      <c r="X32" s="1743"/>
      <c r="Y32" s="3199"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197"/>
      <c r="Q33" s="1839" t="str">
        <f t="shared" si="11"/>
        <v>项目建筑规模</v>
      </c>
      <c r="R33" s="1840" t="s">
        <v>14</v>
      </c>
      <c r="S33" s="1841" t="e">
        <f t="shared" si="12"/>
        <v>#N/A</v>
      </c>
      <c r="T33" s="1840" t="s">
        <v>14</v>
      </c>
      <c r="U33" s="1841" t="e">
        <f t="shared" si="13"/>
        <v>#N/A</v>
      </c>
      <c r="V33" s="1840" t="s">
        <v>14</v>
      </c>
      <c r="W33" s="1841" t="e">
        <f t="shared" si="14"/>
        <v>#N/A</v>
      </c>
      <c r="X33" s="1842"/>
      <c r="Y33" s="3199"/>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197"/>
      <c r="Q34" s="1803" t="str">
        <f t="shared" si="11"/>
        <v>建筑结构</v>
      </c>
      <c r="R34" s="1804" t="s">
        <v>14</v>
      </c>
      <c r="S34" s="1805">
        <f t="shared" si="12"/>
        <v>100</v>
      </c>
      <c r="T34" s="1804" t="s">
        <v>14</v>
      </c>
      <c r="U34" s="1805">
        <f t="shared" si="13"/>
        <v>100</v>
      </c>
      <c r="V34" s="1804" t="s">
        <v>14</v>
      </c>
      <c r="W34" s="1805">
        <f t="shared" si="14"/>
        <v>100</v>
      </c>
      <c r="X34" s="1743"/>
      <c r="Y34" s="3199"/>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197"/>
      <c r="Q35" s="1803" t="str">
        <f t="shared" si="11"/>
        <v>公共部分装修</v>
      </c>
      <c r="R35" s="1804" t="s">
        <v>14</v>
      </c>
      <c r="S35" s="1805">
        <f t="shared" si="12"/>
        <v>100</v>
      </c>
      <c r="T35" s="1804" t="s">
        <v>14</v>
      </c>
      <c r="U35" s="1805">
        <f t="shared" si="13"/>
        <v>100</v>
      </c>
      <c r="V35" s="1804" t="s">
        <v>14</v>
      </c>
      <c r="W35" s="1805">
        <f t="shared" si="14"/>
        <v>100</v>
      </c>
      <c r="X35" s="1743"/>
      <c r="Y35" s="3199"/>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197"/>
      <c r="Q36" s="1803" t="str">
        <f t="shared" si="11"/>
        <v>成新度</v>
      </c>
      <c r="R36" s="1804" t="s">
        <v>14</v>
      </c>
      <c r="S36" s="1805" t="e">
        <f t="shared" si="12"/>
        <v>#N/A</v>
      </c>
      <c r="T36" s="1804" t="s">
        <v>14</v>
      </c>
      <c r="U36" s="1805" t="e">
        <f t="shared" si="13"/>
        <v>#N/A</v>
      </c>
      <c r="V36" s="1804" t="s">
        <v>14</v>
      </c>
      <c r="W36" s="1805" t="e">
        <f t="shared" si="14"/>
        <v>#N/A</v>
      </c>
      <c r="X36" s="1743"/>
      <c r="Y36" s="3199"/>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197"/>
      <c r="Q37" s="1769" t="str">
        <f t="shared" si="11"/>
        <v>市政基础设施</v>
      </c>
      <c r="R37" s="463" t="s">
        <v>14</v>
      </c>
      <c r="S37" s="1758">
        <f t="shared" si="12"/>
        <v>100</v>
      </c>
      <c r="T37" s="463" t="s">
        <v>14</v>
      </c>
      <c r="U37" s="1758">
        <f t="shared" si="13"/>
        <v>100</v>
      </c>
      <c r="V37" s="463" t="s">
        <v>14</v>
      </c>
      <c r="W37" s="1758">
        <f t="shared" si="14"/>
        <v>100</v>
      </c>
      <c r="X37" s="1759"/>
      <c r="Y37" s="3199"/>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197" t="s">
        <v>1924</v>
      </c>
      <c r="Q38" s="1803" t="str">
        <f t="shared" si="11"/>
        <v>业态</v>
      </c>
      <c r="R38" s="1804" t="s">
        <v>14</v>
      </c>
      <c r="S38" s="1805">
        <f t="shared" si="12"/>
        <v>100</v>
      </c>
      <c r="T38" s="1804" t="s">
        <v>14</v>
      </c>
      <c r="U38" s="1805">
        <f t="shared" si="13"/>
        <v>100</v>
      </c>
      <c r="V38" s="1804" t="s">
        <v>14</v>
      </c>
      <c r="W38" s="1805">
        <f t="shared" si="14"/>
        <v>100</v>
      </c>
      <c r="X38" s="1743"/>
      <c r="Y38" s="3199"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197"/>
      <c r="Q39" s="1803" t="str">
        <f t="shared" si="11"/>
        <v>层高</v>
      </c>
      <c r="R39" s="1804" t="s">
        <v>14</v>
      </c>
      <c r="S39" s="1805">
        <f t="shared" si="12"/>
        <v>100</v>
      </c>
      <c r="T39" s="1804" t="s">
        <v>14</v>
      </c>
      <c r="U39" s="1805">
        <f t="shared" si="13"/>
        <v>100</v>
      </c>
      <c r="V39" s="1804" t="s">
        <v>14</v>
      </c>
      <c r="W39" s="1805">
        <f t="shared" si="14"/>
        <v>100</v>
      </c>
      <c r="X39" s="1743"/>
      <c r="Y39" s="3199"/>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197"/>
      <c r="Q40" s="1803" t="str">
        <f t="shared" si="11"/>
        <v>单套建筑面积</v>
      </c>
      <c r="R40" s="1804" t="s">
        <v>14</v>
      </c>
      <c r="S40" s="1805">
        <f t="shared" si="12"/>
        <v>100</v>
      </c>
      <c r="T40" s="1804" t="s">
        <v>14</v>
      </c>
      <c r="U40" s="1805">
        <f t="shared" si="13"/>
        <v>100</v>
      </c>
      <c r="V40" s="1804" t="s">
        <v>14</v>
      </c>
      <c r="W40" s="1805">
        <f t="shared" si="14"/>
        <v>100</v>
      </c>
      <c r="X40" s="1743"/>
      <c r="Y40" s="3199"/>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197"/>
      <c r="Q41" s="1839" t="str">
        <f t="shared" si="11"/>
        <v>进深比</v>
      </c>
      <c r="R41" s="1840" t="s">
        <v>14</v>
      </c>
      <c r="S41" s="1841">
        <f t="shared" si="12"/>
        <v>100</v>
      </c>
      <c r="T41" s="1840" t="s">
        <v>14</v>
      </c>
      <c r="U41" s="1841">
        <f t="shared" si="13"/>
        <v>100</v>
      </c>
      <c r="V41" s="1840" t="s">
        <v>14</v>
      </c>
      <c r="W41" s="1841">
        <f t="shared" si="14"/>
        <v>100</v>
      </c>
      <c r="X41" s="1842"/>
      <c r="Y41" s="3199"/>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197"/>
      <c r="Q42" s="1803" t="str">
        <f t="shared" si="11"/>
        <v>内部装修</v>
      </c>
      <c r="R42" s="1804" t="s">
        <v>14</v>
      </c>
      <c r="S42" s="1805">
        <f t="shared" si="12"/>
        <v>100</v>
      </c>
      <c r="T42" s="1804" t="s">
        <v>14</v>
      </c>
      <c r="U42" s="1805">
        <f t="shared" si="13"/>
        <v>100</v>
      </c>
      <c r="V42" s="1804" t="s">
        <v>14</v>
      </c>
      <c r="W42" s="1805">
        <f t="shared" si="14"/>
        <v>100</v>
      </c>
      <c r="X42" s="1743"/>
      <c r="Y42" s="3199"/>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197"/>
      <c r="Q43" s="1803" t="str">
        <f t="shared" si="11"/>
        <v>内部装修维护情况</v>
      </c>
      <c r="R43" s="1804" t="s">
        <v>14</v>
      </c>
      <c r="S43" s="1805">
        <f t="shared" si="12"/>
        <v>100</v>
      </c>
      <c r="T43" s="1804" t="s">
        <v>14</v>
      </c>
      <c r="U43" s="1805">
        <f t="shared" si="13"/>
        <v>100</v>
      </c>
      <c r="V43" s="1804" t="s">
        <v>14</v>
      </c>
      <c r="W43" s="1805">
        <f t="shared" si="14"/>
        <v>100</v>
      </c>
      <c r="X43" s="1743"/>
      <c r="Y43" s="3199"/>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197"/>
      <c r="Q44" s="1769">
        <f t="shared" si="11"/>
        <v>111</v>
      </c>
      <c r="R44" s="463" t="s">
        <v>14</v>
      </c>
      <c r="S44" s="1758">
        <f t="shared" si="12"/>
        <v>100</v>
      </c>
      <c r="T44" s="463" t="s">
        <v>14</v>
      </c>
      <c r="U44" s="1758">
        <f t="shared" si="13"/>
        <v>100</v>
      </c>
      <c r="V44" s="463" t="s">
        <v>14</v>
      </c>
      <c r="W44" s="1758">
        <f t="shared" si="14"/>
        <v>100</v>
      </c>
      <c r="X44" s="1759"/>
      <c r="Y44" s="3199"/>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197"/>
      <c r="Q45" s="1803">
        <f t="shared" si="11"/>
        <v>111</v>
      </c>
      <c r="R45" s="1804" t="s">
        <v>14</v>
      </c>
      <c r="S45" s="1805">
        <f t="shared" si="12"/>
        <v>100</v>
      </c>
      <c r="T45" s="1804" t="s">
        <v>14</v>
      </c>
      <c r="U45" s="1805">
        <f t="shared" si="13"/>
        <v>100</v>
      </c>
      <c r="V45" s="1804" t="s">
        <v>14</v>
      </c>
      <c r="W45" s="1805">
        <f t="shared" si="14"/>
        <v>100</v>
      </c>
      <c r="X45" s="1743"/>
      <c r="Y45" s="3199"/>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198"/>
      <c r="Q46" s="1803">
        <f t="shared" si="11"/>
        <v>111</v>
      </c>
      <c r="R46" s="1804" t="s">
        <v>14</v>
      </c>
      <c r="S46" s="1805">
        <f t="shared" si="12"/>
        <v>100</v>
      </c>
      <c r="T46" s="1804" t="s">
        <v>14</v>
      </c>
      <c r="U46" s="1805">
        <f t="shared" si="13"/>
        <v>100</v>
      </c>
      <c r="V46" s="1804" t="s">
        <v>14</v>
      </c>
      <c r="W46" s="1805">
        <f t="shared" si="14"/>
        <v>100</v>
      </c>
      <c r="X46" s="1743"/>
      <c r="Y46" s="3200"/>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2" t="str">
        <f>A47</f>
        <v>成交单价（元/平方米）</v>
      </c>
      <c r="Q47" s="3192"/>
      <c r="R47" s="3193">
        <f>E47</f>
        <v>0</v>
      </c>
      <c r="S47" s="3193"/>
      <c r="T47" s="3193">
        <f>G47</f>
        <v>0</v>
      </c>
      <c r="U47" s="3193"/>
      <c r="V47" s="3193">
        <f>I47</f>
        <v>0</v>
      </c>
      <c r="W47" s="3193"/>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89" t="str">
        <f>A49</f>
        <v>估价对象XX用房的比较价值（楼面单价，元/平方米）</v>
      </c>
      <c r="Q49" s="3190"/>
      <c r="R49" s="3191" t="e">
        <f>IF(F1="售价",ROUND(IF(D48="简单平均",AVERAGE(R48:V48),R48*F48+T48*H48+V48*J48),0),ROUND(IF(D48="简单平均",AVERAGE(R48:V48),R48*F48+T48*H48+V48*J48),1))</f>
        <v>#DIV/0!</v>
      </c>
      <c r="S49" s="3191"/>
      <c r="T49" s="3191"/>
      <c r="U49" s="3191"/>
      <c r="V49" s="3191"/>
      <c r="W49" s="3191"/>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07" t="s">
        <v>2005</v>
      </c>
      <c r="D4" s="3208"/>
      <c r="E4" s="3209" t="s">
        <v>2006</v>
      </c>
      <c r="F4" s="3210"/>
      <c r="G4" s="3207" t="s">
        <v>2007</v>
      </c>
      <c r="H4" s="3208"/>
      <c r="I4" s="3207" t="s">
        <v>2008</v>
      </c>
      <c r="J4" s="3208"/>
      <c r="K4" s="2042" t="s">
        <v>2009</v>
      </c>
      <c r="L4" s="1741"/>
      <c r="M4" s="1742"/>
      <c r="N4" s="1742"/>
      <c r="O4" s="1742"/>
      <c r="P4" s="3240" t="s">
        <v>2010</v>
      </c>
      <c r="Q4" s="3241"/>
      <c r="R4" s="3244" t="s">
        <v>2006</v>
      </c>
      <c r="S4" s="3245"/>
      <c r="T4" s="3244" t="s">
        <v>2007</v>
      </c>
      <c r="U4" s="3245"/>
      <c r="V4" s="3246" t="s">
        <v>2008</v>
      </c>
      <c r="W4" s="3246"/>
      <c r="X4" s="2078"/>
      <c r="Y4" s="3244" t="s">
        <v>2010</v>
      </c>
      <c r="Z4" s="3245"/>
      <c r="AA4" s="3248" t="s">
        <v>2006</v>
      </c>
      <c r="AB4" s="3248" t="s">
        <v>2007</v>
      </c>
      <c r="AC4" s="3237" t="s">
        <v>2008</v>
      </c>
    </row>
    <row r="5" spans="1:29" ht="15">
      <c r="A5" s="1745"/>
      <c r="B5" s="1746"/>
      <c r="C5" s="3225" t="s">
        <v>1901</v>
      </c>
      <c r="D5" s="3226"/>
      <c r="E5" s="3232" t="s">
        <v>1902</v>
      </c>
      <c r="F5" s="3233"/>
      <c r="G5" s="3225" t="s">
        <v>1903</v>
      </c>
      <c r="H5" s="3226"/>
      <c r="I5" s="3225" t="s">
        <v>1904</v>
      </c>
      <c r="J5" s="3226"/>
      <c r="K5" s="2042"/>
      <c r="L5" s="1741"/>
      <c r="M5" s="1742"/>
      <c r="N5" s="1742"/>
      <c r="O5" s="1742"/>
      <c r="P5" s="3242"/>
      <c r="Q5" s="3214"/>
      <c r="R5" s="3219"/>
      <c r="S5" s="3220"/>
      <c r="T5" s="3219"/>
      <c r="U5" s="3220"/>
      <c r="V5" s="3193"/>
      <c r="W5" s="3193"/>
      <c r="X5" s="1743"/>
      <c r="Y5" s="3219"/>
      <c r="Z5" s="3220"/>
      <c r="AA5" s="3205"/>
      <c r="AB5" s="3205"/>
      <c r="AC5" s="3238"/>
    </row>
    <row r="6" spans="1:29" ht="15.75" thickBot="1">
      <c r="A6" s="1748"/>
      <c r="B6" s="1749"/>
      <c r="C6" s="3223" t="s">
        <v>1905</v>
      </c>
      <c r="D6" s="3224"/>
      <c r="E6" s="3230" t="s">
        <v>1905</v>
      </c>
      <c r="F6" s="3231"/>
      <c r="G6" s="3223" t="s">
        <v>1905</v>
      </c>
      <c r="H6" s="3224"/>
      <c r="I6" s="3223" t="s">
        <v>1905</v>
      </c>
      <c r="J6" s="3224"/>
      <c r="K6" s="2042" t="s">
        <v>1906</v>
      </c>
      <c r="L6" s="1741"/>
      <c r="M6" s="1742"/>
      <c r="N6" s="1742"/>
      <c r="O6" s="1742"/>
      <c r="P6" s="3243"/>
      <c r="Q6" s="3216"/>
      <c r="R6" s="3219"/>
      <c r="S6" s="3220"/>
      <c r="T6" s="3221"/>
      <c r="U6" s="3222"/>
      <c r="V6" s="3193"/>
      <c r="W6" s="3193"/>
      <c r="X6" s="1743"/>
      <c r="Y6" s="3221"/>
      <c r="Z6" s="3222"/>
      <c r="AA6" s="3206"/>
      <c r="AB6" s="3206"/>
      <c r="AC6" s="3239"/>
    </row>
    <row r="7" spans="1:29" s="1760" customFormat="1" ht="15.75" thickBot="1">
      <c r="A7" s="1750" t="s">
        <v>1907</v>
      </c>
      <c r="B7" s="1751"/>
      <c r="C7" s="1752">
        <f>'数据-取费表'!B2</f>
        <v>44796</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47" t="s">
        <v>1908</v>
      </c>
      <c r="Q7" s="3229"/>
      <c r="R7" s="463" t="s">
        <v>14</v>
      </c>
      <c r="S7" s="1758">
        <f t="shared" ref="S7:S15" si="0">F7</f>
        <v>0</v>
      </c>
      <c r="T7" s="463" t="s">
        <v>14</v>
      </c>
      <c r="U7" s="1758">
        <f t="shared" ref="U7:U15" si="1">H7</f>
        <v>0</v>
      </c>
      <c r="V7" s="463" t="s">
        <v>14</v>
      </c>
      <c r="W7" s="1758">
        <f t="shared" ref="W7:W15" si="2">J7</f>
        <v>0</v>
      </c>
      <c r="X7" s="1759"/>
      <c r="Y7" s="3227" t="s">
        <v>1908</v>
      </c>
      <c r="Z7" s="3228"/>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47" t="s">
        <v>1911</v>
      </c>
      <c r="Q8" s="3228"/>
      <c r="R8" s="463" t="s">
        <v>14</v>
      </c>
      <c r="S8" s="1758">
        <f t="shared" si="0"/>
        <v>0</v>
      </c>
      <c r="T8" s="463" t="s">
        <v>14</v>
      </c>
      <c r="U8" s="1758">
        <f t="shared" si="1"/>
        <v>0</v>
      </c>
      <c r="V8" s="463" t="s">
        <v>14</v>
      </c>
      <c r="W8" s="1758">
        <f t="shared" si="2"/>
        <v>0</v>
      </c>
      <c r="X8" s="1759"/>
      <c r="Y8" s="3227" t="s">
        <v>1911</v>
      </c>
      <c r="Z8" s="3228"/>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3" t="s">
        <v>1914</v>
      </c>
      <c r="Q9" s="1769" t="str">
        <f t="shared" ref="Q9:Q15" si="6">B9</f>
        <v>用途</v>
      </c>
      <c r="R9" s="463" t="s">
        <v>14</v>
      </c>
      <c r="S9" s="1758">
        <f t="shared" si="0"/>
        <v>100</v>
      </c>
      <c r="T9" s="463" t="s">
        <v>14</v>
      </c>
      <c r="U9" s="1758">
        <f t="shared" si="1"/>
        <v>100</v>
      </c>
      <c r="V9" s="463" t="s">
        <v>14</v>
      </c>
      <c r="W9" s="1758">
        <f t="shared" si="2"/>
        <v>100</v>
      </c>
      <c r="X9" s="1759"/>
      <c r="Y9" s="3072"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3"/>
      <c r="Q10" s="1769" t="str">
        <f t="shared" si="6"/>
        <v>土地使用年限（年）</v>
      </c>
      <c r="R10" s="463" t="s">
        <v>14</v>
      </c>
      <c r="S10" s="1758">
        <f t="shared" si="0"/>
        <v>100</v>
      </c>
      <c r="T10" s="463" t="s">
        <v>14</v>
      </c>
      <c r="U10" s="1758">
        <f t="shared" si="1"/>
        <v>100</v>
      </c>
      <c r="V10" s="463" t="s">
        <v>14</v>
      </c>
      <c r="W10" s="1758">
        <f t="shared" si="2"/>
        <v>100</v>
      </c>
      <c r="X10" s="1759"/>
      <c r="Y10" s="3072"/>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3"/>
      <c r="Q11" s="1769" t="str">
        <f t="shared" si="6"/>
        <v>容积率</v>
      </c>
      <c r="R11" s="463" t="s">
        <v>14</v>
      </c>
      <c r="S11" s="1758" t="e">
        <f t="shared" si="0"/>
        <v>#N/A</v>
      </c>
      <c r="T11" s="463" t="s">
        <v>14</v>
      </c>
      <c r="U11" s="1758" t="e">
        <f t="shared" si="1"/>
        <v>#N/A</v>
      </c>
      <c r="V11" s="463" t="s">
        <v>14</v>
      </c>
      <c r="W11" s="1758" t="e">
        <f t="shared" si="2"/>
        <v>#N/A</v>
      </c>
      <c r="X11" s="1759"/>
      <c r="Y11" s="3072"/>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3"/>
      <c r="Q12" s="1769">
        <f t="shared" si="6"/>
        <v>111</v>
      </c>
      <c r="R12" s="463" t="s">
        <v>14</v>
      </c>
      <c r="S12" s="1758">
        <f t="shared" si="0"/>
        <v>100</v>
      </c>
      <c r="T12" s="463" t="s">
        <v>14</v>
      </c>
      <c r="U12" s="1758">
        <f t="shared" si="1"/>
        <v>100</v>
      </c>
      <c r="V12" s="463" t="s">
        <v>14</v>
      </c>
      <c r="W12" s="1758">
        <f t="shared" si="2"/>
        <v>100</v>
      </c>
      <c r="X12" s="1759"/>
      <c r="Y12" s="3072"/>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3"/>
      <c r="Q13" s="1769">
        <f t="shared" si="6"/>
        <v>111</v>
      </c>
      <c r="R13" s="463" t="s">
        <v>14</v>
      </c>
      <c r="S13" s="1758">
        <f t="shared" si="0"/>
        <v>100</v>
      </c>
      <c r="T13" s="463" t="s">
        <v>14</v>
      </c>
      <c r="U13" s="1758">
        <f t="shared" si="1"/>
        <v>100</v>
      </c>
      <c r="V13" s="463" t="s">
        <v>14</v>
      </c>
      <c r="W13" s="1758">
        <f t="shared" si="2"/>
        <v>100</v>
      </c>
      <c r="X13" s="1759"/>
      <c r="Y13" s="3072"/>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3"/>
      <c r="Q14" s="1769">
        <f t="shared" si="6"/>
        <v>111</v>
      </c>
      <c r="R14" s="463" t="s">
        <v>14</v>
      </c>
      <c r="S14" s="1758">
        <f t="shared" si="0"/>
        <v>100</v>
      </c>
      <c r="T14" s="463" t="s">
        <v>14</v>
      </c>
      <c r="U14" s="1758">
        <f t="shared" si="1"/>
        <v>100</v>
      </c>
      <c r="V14" s="463" t="s">
        <v>14</v>
      </c>
      <c r="W14" s="1758">
        <f t="shared" si="2"/>
        <v>100</v>
      </c>
      <c r="X14" s="1759"/>
      <c r="Y14" s="3072"/>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1" t="s">
        <v>1919</v>
      </c>
      <c r="Q15" s="1803" t="str">
        <f t="shared" si="6"/>
        <v>办公集聚程度</v>
      </c>
      <c r="R15" s="1804" t="s">
        <v>14</v>
      </c>
      <c r="S15" s="1805">
        <f t="shared" si="0"/>
        <v>100</v>
      </c>
      <c r="T15" s="1804" t="s">
        <v>14</v>
      </c>
      <c r="U15" s="1805">
        <f t="shared" si="1"/>
        <v>100</v>
      </c>
      <c r="V15" s="1804" t="s">
        <v>14</v>
      </c>
      <c r="W15" s="1805">
        <f t="shared" si="2"/>
        <v>100</v>
      </c>
      <c r="X15" s="1743"/>
      <c r="Y15" s="3194"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2"/>
      <c r="Q16" s="1803"/>
      <c r="R16" s="1804"/>
      <c r="S16" s="1805"/>
      <c r="T16" s="1804"/>
      <c r="U16" s="1805"/>
      <c r="V16" s="1804"/>
      <c r="W16" s="1805"/>
      <c r="X16" s="1743"/>
      <c r="Y16" s="3195"/>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2"/>
      <c r="Q17" s="1803" t="str">
        <f>B17</f>
        <v>交通便捷度</v>
      </c>
      <c r="R17" s="1804" t="s">
        <v>14</v>
      </c>
      <c r="S17" s="1805">
        <f>F17</f>
        <v>100</v>
      </c>
      <c r="T17" s="1804" t="s">
        <v>14</v>
      </c>
      <c r="U17" s="1805">
        <f>H17</f>
        <v>100</v>
      </c>
      <c r="V17" s="1804" t="s">
        <v>14</v>
      </c>
      <c r="W17" s="1805">
        <f>J17</f>
        <v>100</v>
      </c>
      <c r="X17" s="1743"/>
      <c r="Y17" s="3195"/>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2"/>
      <c r="Q18" s="1803"/>
      <c r="R18" s="1804"/>
      <c r="S18" s="1805"/>
      <c r="T18" s="1804"/>
      <c r="U18" s="1805"/>
      <c r="V18" s="1804"/>
      <c r="W18" s="1805"/>
      <c r="X18" s="1743"/>
      <c r="Y18" s="3195"/>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2"/>
      <c r="Q19" s="1803" t="str">
        <f>B19</f>
        <v>公共配套设施</v>
      </c>
      <c r="R19" s="1804" t="s">
        <v>14</v>
      </c>
      <c r="S19" s="1805">
        <f>F19</f>
        <v>100</v>
      </c>
      <c r="T19" s="1804" t="s">
        <v>14</v>
      </c>
      <c r="U19" s="1805">
        <f>H19</f>
        <v>100</v>
      </c>
      <c r="V19" s="1804" t="s">
        <v>14</v>
      </c>
      <c r="W19" s="1805">
        <f>J19</f>
        <v>100</v>
      </c>
      <c r="X19" s="1743"/>
      <c r="Y19" s="3195"/>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2"/>
      <c r="Q20" s="1803"/>
      <c r="R20" s="1804"/>
      <c r="S20" s="1805"/>
      <c r="T20" s="1804"/>
      <c r="U20" s="1805"/>
      <c r="V20" s="1804"/>
      <c r="W20" s="1805"/>
      <c r="X20" s="1743"/>
      <c r="Y20" s="3195"/>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2"/>
      <c r="Q21" s="1803" t="str">
        <f>B21</f>
        <v>基础设施水平</v>
      </c>
      <c r="R21" s="1804" t="s">
        <v>14</v>
      </c>
      <c r="S21" s="1805">
        <f>F21</f>
        <v>100</v>
      </c>
      <c r="T21" s="1804" t="s">
        <v>14</v>
      </c>
      <c r="U21" s="1805">
        <f>H21</f>
        <v>100</v>
      </c>
      <c r="V21" s="1804" t="s">
        <v>14</v>
      </c>
      <c r="W21" s="1805">
        <f>J21</f>
        <v>100</v>
      </c>
      <c r="X21" s="1743"/>
      <c r="Y21" s="3195"/>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2"/>
      <c r="Q22" s="1803"/>
      <c r="R22" s="1804"/>
      <c r="S22" s="1805"/>
      <c r="T22" s="1804"/>
      <c r="U22" s="1805"/>
      <c r="V22" s="1804"/>
      <c r="W22" s="1805"/>
      <c r="X22" s="1743"/>
      <c r="Y22" s="3195"/>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2"/>
      <c r="Q23" s="1803" t="str">
        <f>B23</f>
        <v>环境质量</v>
      </c>
      <c r="R23" s="1804" t="s">
        <v>14</v>
      </c>
      <c r="S23" s="1805">
        <f>F23</f>
        <v>100</v>
      </c>
      <c r="T23" s="1804" t="s">
        <v>14</v>
      </c>
      <c r="U23" s="1805">
        <f>H23</f>
        <v>100</v>
      </c>
      <c r="V23" s="1804" t="s">
        <v>14</v>
      </c>
      <c r="W23" s="1805">
        <f>J23</f>
        <v>100</v>
      </c>
      <c r="X23" s="1743"/>
      <c r="Y23" s="3195"/>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2"/>
      <c r="Q24" s="1803"/>
      <c r="R24" s="1804"/>
      <c r="S24" s="1805"/>
      <c r="T24" s="1804"/>
      <c r="U24" s="1805"/>
      <c r="V24" s="1804"/>
      <c r="W24" s="1805"/>
      <c r="X24" s="1743"/>
      <c r="Y24" s="3195"/>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2"/>
      <c r="Q25" s="1803" t="str">
        <f>B25</f>
        <v>毗邻道路的类型与等级</v>
      </c>
      <c r="R25" s="1804" t="s">
        <v>14</v>
      </c>
      <c r="S25" s="1805">
        <f>F25</f>
        <v>100</v>
      </c>
      <c r="T25" s="1804" t="s">
        <v>14</v>
      </c>
      <c r="U25" s="1805">
        <f>H25</f>
        <v>100</v>
      </c>
      <c r="V25" s="1804" t="s">
        <v>14</v>
      </c>
      <c r="W25" s="1805">
        <f>J25</f>
        <v>100</v>
      </c>
      <c r="X25" s="1743"/>
      <c r="Y25" s="3195"/>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2"/>
      <c r="Q26" s="1803"/>
      <c r="R26" s="1804"/>
      <c r="S26" s="1805"/>
      <c r="T26" s="1804"/>
      <c r="U26" s="1805"/>
      <c r="V26" s="1804"/>
      <c r="W26" s="1805"/>
      <c r="X26" s="1743"/>
      <c r="Y26" s="3195"/>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2"/>
      <c r="Q27" s="1803" t="str">
        <f t="shared" ref="Q27:Q47" si="11">B27</f>
        <v>楼层</v>
      </c>
      <c r="R27" s="1804" t="s">
        <v>14</v>
      </c>
      <c r="S27" s="1805">
        <f>F27</f>
        <v>100</v>
      </c>
      <c r="T27" s="1804" t="s">
        <v>14</v>
      </c>
      <c r="U27" s="1805">
        <f>H27</f>
        <v>100</v>
      </c>
      <c r="V27" s="1804" t="s">
        <v>14</v>
      </c>
      <c r="W27" s="1805">
        <f>J27</f>
        <v>100</v>
      </c>
      <c r="X27" s="1743"/>
      <c r="Y27" s="3195"/>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2"/>
      <c r="Q28" s="1769" t="str">
        <f t="shared" si="11"/>
        <v>朝向</v>
      </c>
      <c r="R28" s="463" t="s">
        <v>14</v>
      </c>
      <c r="S28" s="1758">
        <f>F28</f>
        <v>100</v>
      </c>
      <c r="T28" s="463" t="s">
        <v>14</v>
      </c>
      <c r="U28" s="1758">
        <f>H28</f>
        <v>100</v>
      </c>
      <c r="V28" s="463" t="s">
        <v>14</v>
      </c>
      <c r="W28" s="1758">
        <f>J28</f>
        <v>100</v>
      </c>
      <c r="X28" s="1759"/>
      <c r="Y28" s="3195"/>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2"/>
      <c r="Q29" s="1803">
        <f t="shared" si="11"/>
        <v>111</v>
      </c>
      <c r="R29" s="1804" t="s">
        <v>14</v>
      </c>
      <c r="S29" s="1805">
        <f t="shared" ref="S29:S47" si="12">F29</f>
        <v>100</v>
      </c>
      <c r="T29" s="1804" t="s">
        <v>14</v>
      </c>
      <c r="U29" s="1805">
        <f t="shared" ref="U29:U47" si="13">H29</f>
        <v>100</v>
      </c>
      <c r="V29" s="1804" t="s">
        <v>14</v>
      </c>
      <c r="W29" s="1805">
        <f t="shared" ref="W29:W47" si="14">J29</f>
        <v>100</v>
      </c>
      <c r="X29" s="1743"/>
      <c r="Y29" s="3195"/>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2"/>
      <c r="Q30" s="1803">
        <f t="shared" si="11"/>
        <v>111</v>
      </c>
      <c r="R30" s="1804" t="s">
        <v>14</v>
      </c>
      <c r="S30" s="1805">
        <f t="shared" si="12"/>
        <v>100</v>
      </c>
      <c r="T30" s="1804" t="s">
        <v>14</v>
      </c>
      <c r="U30" s="1805">
        <f t="shared" si="13"/>
        <v>100</v>
      </c>
      <c r="V30" s="1804" t="s">
        <v>14</v>
      </c>
      <c r="W30" s="1805">
        <f t="shared" si="14"/>
        <v>100</v>
      </c>
      <c r="X30" s="1743"/>
      <c r="Y30" s="3195"/>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2"/>
      <c r="Q31" s="1803">
        <f t="shared" si="11"/>
        <v>111</v>
      </c>
      <c r="R31" s="1804" t="s">
        <v>14</v>
      </c>
      <c r="S31" s="1805">
        <f t="shared" si="12"/>
        <v>100</v>
      </c>
      <c r="T31" s="1804" t="s">
        <v>14</v>
      </c>
      <c r="U31" s="1805">
        <f t="shared" si="13"/>
        <v>100</v>
      </c>
      <c r="V31" s="1804" t="s">
        <v>14</v>
      </c>
      <c r="W31" s="1805">
        <f t="shared" si="14"/>
        <v>100</v>
      </c>
      <c r="X31" s="1743"/>
      <c r="Y31" s="3195"/>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2"/>
      <c r="Q32" s="1803">
        <f t="shared" si="11"/>
        <v>111</v>
      </c>
      <c r="R32" s="1804" t="s">
        <v>14</v>
      </c>
      <c r="S32" s="1805">
        <f t="shared" si="12"/>
        <v>100</v>
      </c>
      <c r="T32" s="1804" t="s">
        <v>14</v>
      </c>
      <c r="U32" s="1805">
        <f t="shared" si="13"/>
        <v>100</v>
      </c>
      <c r="V32" s="1804" t="s">
        <v>14</v>
      </c>
      <c r="W32" s="1805">
        <f t="shared" si="14"/>
        <v>100</v>
      </c>
      <c r="X32" s="1743"/>
      <c r="Y32" s="3195"/>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196" t="s">
        <v>1924</v>
      </c>
      <c r="Q33" s="1803" t="str">
        <f t="shared" si="11"/>
        <v>建筑类型</v>
      </c>
      <c r="R33" s="1804" t="s">
        <v>14</v>
      </c>
      <c r="S33" s="1805">
        <f t="shared" si="12"/>
        <v>100</v>
      </c>
      <c r="T33" s="1804" t="s">
        <v>14</v>
      </c>
      <c r="U33" s="1805">
        <f t="shared" si="13"/>
        <v>100</v>
      </c>
      <c r="V33" s="1804" t="s">
        <v>14</v>
      </c>
      <c r="W33" s="1805">
        <f t="shared" si="14"/>
        <v>100</v>
      </c>
      <c r="X33" s="1743"/>
      <c r="Y33" s="3199"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197"/>
      <c r="Q34" s="1839" t="str">
        <f t="shared" si="11"/>
        <v>项目建筑规模</v>
      </c>
      <c r="R34" s="1840" t="s">
        <v>14</v>
      </c>
      <c r="S34" s="1841" t="e">
        <f t="shared" si="12"/>
        <v>#N/A</v>
      </c>
      <c r="T34" s="1840" t="s">
        <v>14</v>
      </c>
      <c r="U34" s="1841" t="e">
        <f t="shared" si="13"/>
        <v>#N/A</v>
      </c>
      <c r="V34" s="1840" t="s">
        <v>14</v>
      </c>
      <c r="W34" s="1841" t="e">
        <f t="shared" si="14"/>
        <v>#N/A</v>
      </c>
      <c r="X34" s="1842"/>
      <c r="Y34" s="3199"/>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197"/>
      <c r="Q35" s="1803" t="str">
        <f t="shared" si="11"/>
        <v>建筑结构</v>
      </c>
      <c r="R35" s="1804" t="s">
        <v>14</v>
      </c>
      <c r="S35" s="1805">
        <f t="shared" si="12"/>
        <v>100</v>
      </c>
      <c r="T35" s="1804" t="s">
        <v>14</v>
      </c>
      <c r="U35" s="1805">
        <f t="shared" si="13"/>
        <v>100</v>
      </c>
      <c r="V35" s="1804" t="s">
        <v>14</v>
      </c>
      <c r="W35" s="1805">
        <f t="shared" si="14"/>
        <v>100</v>
      </c>
      <c r="X35" s="1743"/>
      <c r="Y35" s="3199"/>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197"/>
      <c r="Q36" s="1803" t="str">
        <f t="shared" si="11"/>
        <v>公共部分装修</v>
      </c>
      <c r="R36" s="1804" t="s">
        <v>14</v>
      </c>
      <c r="S36" s="1805">
        <f t="shared" si="12"/>
        <v>100</v>
      </c>
      <c r="T36" s="1804" t="s">
        <v>14</v>
      </c>
      <c r="U36" s="1805">
        <f t="shared" si="13"/>
        <v>100</v>
      </c>
      <c r="V36" s="1804" t="s">
        <v>14</v>
      </c>
      <c r="W36" s="1805">
        <f t="shared" si="14"/>
        <v>100</v>
      </c>
      <c r="X36" s="1743"/>
      <c r="Y36" s="3199"/>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197"/>
      <c r="Q37" s="1803" t="str">
        <f t="shared" si="11"/>
        <v>成新度</v>
      </c>
      <c r="R37" s="1804" t="s">
        <v>14</v>
      </c>
      <c r="S37" s="1805" t="e">
        <f t="shared" si="12"/>
        <v>#N/A</v>
      </c>
      <c r="T37" s="1804" t="s">
        <v>14</v>
      </c>
      <c r="U37" s="1805" t="e">
        <f t="shared" si="13"/>
        <v>#N/A</v>
      </c>
      <c r="V37" s="1804" t="s">
        <v>14</v>
      </c>
      <c r="W37" s="1805" t="e">
        <f t="shared" si="14"/>
        <v>#N/A</v>
      </c>
      <c r="X37" s="1743"/>
      <c r="Y37" s="3199"/>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197"/>
      <c r="Q38" s="1769" t="str">
        <f t="shared" si="11"/>
        <v>写字楼等级</v>
      </c>
      <c r="R38" s="463" t="s">
        <v>14</v>
      </c>
      <c r="S38" s="1758">
        <f t="shared" si="12"/>
        <v>100</v>
      </c>
      <c r="T38" s="463" t="s">
        <v>14</v>
      </c>
      <c r="U38" s="1758">
        <f t="shared" si="13"/>
        <v>100</v>
      </c>
      <c r="V38" s="463" t="s">
        <v>14</v>
      </c>
      <c r="W38" s="1758">
        <f t="shared" si="14"/>
        <v>100</v>
      </c>
      <c r="X38" s="1759"/>
      <c r="Y38" s="3199"/>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197" t="s">
        <v>1924</v>
      </c>
      <c r="Q39" s="1803" t="str">
        <f t="shared" si="11"/>
        <v>物业管理</v>
      </c>
      <c r="R39" s="1804" t="s">
        <v>14</v>
      </c>
      <c r="S39" s="1805">
        <f t="shared" si="12"/>
        <v>100</v>
      </c>
      <c r="T39" s="1804" t="s">
        <v>14</v>
      </c>
      <c r="U39" s="1805">
        <f t="shared" si="13"/>
        <v>100</v>
      </c>
      <c r="V39" s="1804" t="s">
        <v>14</v>
      </c>
      <c r="W39" s="1805">
        <f t="shared" si="14"/>
        <v>100</v>
      </c>
      <c r="X39" s="1743"/>
      <c r="Y39" s="3199"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197"/>
      <c r="Q40" s="1803" t="str">
        <f t="shared" si="11"/>
        <v>市政基础设施</v>
      </c>
      <c r="R40" s="1804" t="s">
        <v>14</v>
      </c>
      <c r="S40" s="1805">
        <f t="shared" si="12"/>
        <v>100</v>
      </c>
      <c r="T40" s="1804" t="s">
        <v>14</v>
      </c>
      <c r="U40" s="1805">
        <f t="shared" si="13"/>
        <v>100</v>
      </c>
      <c r="V40" s="1804" t="s">
        <v>14</v>
      </c>
      <c r="W40" s="1805">
        <f t="shared" si="14"/>
        <v>100</v>
      </c>
      <c r="X40" s="1743"/>
      <c r="Y40" s="3199"/>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197"/>
      <c r="Q41" s="1803" t="str">
        <f t="shared" si="11"/>
        <v>层高</v>
      </c>
      <c r="R41" s="1804" t="s">
        <v>14</v>
      </c>
      <c r="S41" s="1805">
        <f t="shared" si="12"/>
        <v>100</v>
      </c>
      <c r="T41" s="1804" t="s">
        <v>14</v>
      </c>
      <c r="U41" s="1805">
        <f t="shared" si="13"/>
        <v>100</v>
      </c>
      <c r="V41" s="1804" t="s">
        <v>14</v>
      </c>
      <c r="W41" s="1805">
        <f t="shared" si="14"/>
        <v>100</v>
      </c>
      <c r="X41" s="1743"/>
      <c r="Y41" s="3199"/>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197"/>
      <c r="Q42" s="1839" t="str">
        <f t="shared" si="11"/>
        <v>单套建筑面积</v>
      </c>
      <c r="R42" s="1840" t="s">
        <v>14</v>
      </c>
      <c r="S42" s="1841">
        <f t="shared" si="12"/>
        <v>100</v>
      </c>
      <c r="T42" s="1840" t="s">
        <v>14</v>
      </c>
      <c r="U42" s="1841">
        <f t="shared" si="13"/>
        <v>100</v>
      </c>
      <c r="V42" s="1840" t="s">
        <v>14</v>
      </c>
      <c r="W42" s="1841">
        <f t="shared" si="14"/>
        <v>100</v>
      </c>
      <c r="X42" s="1842"/>
      <c r="Y42" s="3199"/>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197"/>
      <c r="Q43" s="1803" t="str">
        <f t="shared" si="11"/>
        <v>内部装修</v>
      </c>
      <c r="R43" s="1804" t="s">
        <v>14</v>
      </c>
      <c r="S43" s="1805">
        <f t="shared" si="12"/>
        <v>100</v>
      </c>
      <c r="T43" s="1804" t="s">
        <v>14</v>
      </c>
      <c r="U43" s="1805">
        <f t="shared" si="13"/>
        <v>100</v>
      </c>
      <c r="V43" s="1804" t="s">
        <v>14</v>
      </c>
      <c r="W43" s="1805">
        <f t="shared" si="14"/>
        <v>100</v>
      </c>
      <c r="X43" s="1743"/>
      <c r="Y43" s="3199"/>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197"/>
      <c r="Q44" s="1803" t="str">
        <f t="shared" si="11"/>
        <v>内部装修维护情况</v>
      </c>
      <c r="R44" s="1804" t="s">
        <v>14</v>
      </c>
      <c r="S44" s="1805">
        <f t="shared" si="12"/>
        <v>100</v>
      </c>
      <c r="T44" s="1804" t="s">
        <v>14</v>
      </c>
      <c r="U44" s="1805">
        <f t="shared" si="13"/>
        <v>100</v>
      </c>
      <c r="V44" s="1804" t="s">
        <v>14</v>
      </c>
      <c r="W44" s="1805">
        <f t="shared" si="14"/>
        <v>100</v>
      </c>
      <c r="X44" s="1743"/>
      <c r="Y44" s="3199"/>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197"/>
      <c r="Q45" s="1769">
        <f t="shared" si="11"/>
        <v>111</v>
      </c>
      <c r="R45" s="463" t="s">
        <v>14</v>
      </c>
      <c r="S45" s="1758">
        <f t="shared" si="12"/>
        <v>100</v>
      </c>
      <c r="T45" s="463" t="s">
        <v>14</v>
      </c>
      <c r="U45" s="1758">
        <f t="shared" si="13"/>
        <v>100</v>
      </c>
      <c r="V45" s="463" t="s">
        <v>14</v>
      </c>
      <c r="W45" s="1758">
        <f t="shared" si="14"/>
        <v>100</v>
      </c>
      <c r="X45" s="1759"/>
      <c r="Y45" s="3199"/>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197"/>
      <c r="Q46" s="1803">
        <f t="shared" si="11"/>
        <v>111</v>
      </c>
      <c r="R46" s="1804" t="s">
        <v>14</v>
      </c>
      <c r="S46" s="1805">
        <f t="shared" si="12"/>
        <v>100</v>
      </c>
      <c r="T46" s="1804" t="s">
        <v>14</v>
      </c>
      <c r="U46" s="1805">
        <f t="shared" si="13"/>
        <v>100</v>
      </c>
      <c r="V46" s="1804" t="s">
        <v>14</v>
      </c>
      <c r="W46" s="1805">
        <f t="shared" si="14"/>
        <v>100</v>
      </c>
      <c r="X46" s="1743"/>
      <c r="Y46" s="3199"/>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198"/>
      <c r="Q47" s="1803">
        <f t="shared" si="11"/>
        <v>111</v>
      </c>
      <c r="R47" s="1804" t="s">
        <v>14</v>
      </c>
      <c r="S47" s="1805">
        <f t="shared" si="12"/>
        <v>100</v>
      </c>
      <c r="T47" s="1804" t="s">
        <v>14</v>
      </c>
      <c r="U47" s="1805">
        <f t="shared" si="13"/>
        <v>100</v>
      </c>
      <c r="V47" s="1804" t="s">
        <v>14</v>
      </c>
      <c r="W47" s="1805">
        <f t="shared" si="14"/>
        <v>100</v>
      </c>
      <c r="X47" s="1743"/>
      <c r="Y47" s="3200"/>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3" t="str">
        <f>A48</f>
        <v>成交单价（元/平方米）</v>
      </c>
      <c r="Q48" s="3192"/>
      <c r="R48" s="3193">
        <f>E48</f>
        <v>0</v>
      </c>
      <c r="S48" s="3193"/>
      <c r="T48" s="3193">
        <f>G48</f>
        <v>0</v>
      </c>
      <c r="U48" s="3193"/>
      <c r="V48" s="3193">
        <f>I48</f>
        <v>0</v>
      </c>
      <c r="W48" s="3193"/>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3" t="str">
        <f>A49</f>
        <v>比较价值（元/平方米）</v>
      </c>
      <c r="Q49" s="3192"/>
      <c r="R49" s="3193" t="e">
        <f>IF(F1="售价",ROUND(PRODUCT(R48,AA7:AA47),0),ROUND(PRODUCT(R48,AA7:AA47),1))</f>
        <v>#DIV/0!</v>
      </c>
      <c r="S49" s="3193"/>
      <c r="T49" s="3193" t="e">
        <f>IF(F1="售价",ROUND(PRODUCT(T48,AB7:AB47),0),ROUND(PRODUCT(T48,AB7:AB47),1))</f>
        <v>#DIV/0!</v>
      </c>
      <c r="U49" s="3193"/>
      <c r="V49" s="3193" t="e">
        <f>IF(F1="售价",ROUND(PRODUCT(V48,AC7:AC47),0),ROUND(PRODUCT(V48,AC7:AC47),1))</f>
        <v>#DIV/0!</v>
      </c>
      <c r="W49" s="3193"/>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34" t="str">
        <f>A50</f>
        <v>估价对象XX用房的比较价值（楼面单价，元/平方米）</v>
      </c>
      <c r="Q50" s="3235"/>
      <c r="R50" s="3236" t="e">
        <f>IF(F1="售价",ROUND(IF(D49="简单平均",AVERAGE(R49:V49),R49*F49+T49*H49+V49*J49),0),ROUND(IF(D49="简单平均",AVERAGE(R49:V49),R49*F49+T49*H49+V49*J49),1))</f>
        <v>#DIV/0!</v>
      </c>
      <c r="S50" s="3236"/>
      <c r="T50" s="3236"/>
      <c r="U50" s="3236"/>
      <c r="V50" s="3236"/>
      <c r="W50" s="3236"/>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07" t="s">
        <v>2005</v>
      </c>
      <c r="D4" s="3208"/>
      <c r="E4" s="3209" t="s">
        <v>2006</v>
      </c>
      <c r="F4" s="3210"/>
      <c r="G4" s="3207" t="s">
        <v>2007</v>
      </c>
      <c r="H4" s="3208"/>
      <c r="I4" s="3207" t="s">
        <v>2008</v>
      </c>
      <c r="J4" s="3208"/>
      <c r="K4" s="2042" t="s">
        <v>2009</v>
      </c>
      <c r="L4" s="2108"/>
      <c r="M4" s="2109"/>
      <c r="N4" s="2109"/>
      <c r="O4" s="2109"/>
      <c r="P4" s="3211" t="s">
        <v>2010</v>
      </c>
      <c r="Q4" s="3212"/>
      <c r="R4" s="3217" t="s">
        <v>2006</v>
      </c>
      <c r="S4" s="3218"/>
      <c r="T4" s="3217" t="s">
        <v>2007</v>
      </c>
      <c r="U4" s="3218"/>
      <c r="V4" s="3193" t="s">
        <v>2008</v>
      </c>
      <c r="W4" s="3193"/>
      <c r="X4" s="1743"/>
      <c r="Y4" s="3217" t="s">
        <v>2010</v>
      </c>
      <c r="Z4" s="3218"/>
      <c r="AA4" s="3204" t="s">
        <v>2006</v>
      </c>
      <c r="AB4" s="3205" t="s">
        <v>2007</v>
      </c>
      <c r="AC4" s="3204" t="s">
        <v>2008</v>
      </c>
    </row>
    <row r="5" spans="1:29" ht="15">
      <c r="A5" s="1745"/>
      <c r="B5" s="1746"/>
      <c r="C5" s="3225" t="s">
        <v>1901</v>
      </c>
      <c r="D5" s="3226"/>
      <c r="E5" s="3232" t="s">
        <v>1902</v>
      </c>
      <c r="F5" s="3233"/>
      <c r="G5" s="3225" t="s">
        <v>1903</v>
      </c>
      <c r="H5" s="3226"/>
      <c r="I5" s="3225" t="s">
        <v>1904</v>
      </c>
      <c r="J5" s="3226"/>
      <c r="K5" s="2042"/>
      <c r="L5" s="2108"/>
      <c r="M5" s="2109"/>
      <c r="N5" s="2109"/>
      <c r="O5" s="2109"/>
      <c r="P5" s="3213"/>
      <c r="Q5" s="3214"/>
      <c r="R5" s="3219"/>
      <c r="S5" s="3220"/>
      <c r="T5" s="3219"/>
      <c r="U5" s="3220"/>
      <c r="V5" s="3193"/>
      <c r="W5" s="3193"/>
      <c r="X5" s="1743"/>
      <c r="Y5" s="3219"/>
      <c r="Z5" s="3220"/>
      <c r="AA5" s="3205"/>
      <c r="AB5" s="3205"/>
      <c r="AC5" s="3205"/>
    </row>
    <row r="6" spans="1:29" ht="15.75" thickBot="1">
      <c r="A6" s="1748"/>
      <c r="B6" s="1749"/>
      <c r="C6" s="3223" t="s">
        <v>1905</v>
      </c>
      <c r="D6" s="3224"/>
      <c r="E6" s="3230" t="s">
        <v>1905</v>
      </c>
      <c r="F6" s="3231"/>
      <c r="G6" s="3223" t="s">
        <v>1905</v>
      </c>
      <c r="H6" s="3224"/>
      <c r="I6" s="3223" t="s">
        <v>1905</v>
      </c>
      <c r="J6" s="3224"/>
      <c r="K6" s="2042" t="s">
        <v>1906</v>
      </c>
      <c r="L6" s="2108"/>
      <c r="M6" s="2109"/>
      <c r="N6" s="2109"/>
      <c r="O6" s="2109"/>
      <c r="P6" s="3215"/>
      <c r="Q6" s="3216"/>
      <c r="R6" s="3219"/>
      <c r="S6" s="3220"/>
      <c r="T6" s="3221"/>
      <c r="U6" s="3222"/>
      <c r="V6" s="3193"/>
      <c r="W6" s="3193"/>
      <c r="X6" s="1743"/>
      <c r="Y6" s="3221"/>
      <c r="Z6" s="3222"/>
      <c r="AA6" s="3206"/>
      <c r="AB6" s="3206"/>
      <c r="AC6" s="3206"/>
    </row>
    <row r="7" spans="1:29" s="1760" customFormat="1" ht="15.75" thickBot="1">
      <c r="A7" s="1750" t="s">
        <v>1907</v>
      </c>
      <c r="B7" s="1751"/>
      <c r="C7" s="1752">
        <f>'数据-取费表'!B2</f>
        <v>44796</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27" t="s">
        <v>1908</v>
      </c>
      <c r="Q7" s="3229"/>
      <c r="R7" s="463" t="s">
        <v>14</v>
      </c>
      <c r="S7" s="1758">
        <f t="shared" ref="S7:S15" si="0">F7</f>
        <v>0</v>
      </c>
      <c r="T7" s="463" t="s">
        <v>14</v>
      </c>
      <c r="U7" s="1758">
        <f t="shared" ref="U7:U15" si="1">H7</f>
        <v>0</v>
      </c>
      <c r="V7" s="463" t="s">
        <v>14</v>
      </c>
      <c r="W7" s="1758">
        <f t="shared" ref="W7:W15" si="2">J7</f>
        <v>0</v>
      </c>
      <c r="X7" s="1759"/>
      <c r="Y7" s="3227" t="s">
        <v>1908</v>
      </c>
      <c r="Z7" s="3228"/>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27" t="s">
        <v>1911</v>
      </c>
      <c r="Q8" s="3228"/>
      <c r="R8" s="463" t="s">
        <v>14</v>
      </c>
      <c r="S8" s="1758">
        <f t="shared" si="0"/>
        <v>0</v>
      </c>
      <c r="T8" s="463" t="s">
        <v>14</v>
      </c>
      <c r="U8" s="1758">
        <f t="shared" si="1"/>
        <v>0</v>
      </c>
      <c r="V8" s="463" t="s">
        <v>14</v>
      </c>
      <c r="W8" s="1758">
        <f t="shared" si="2"/>
        <v>0</v>
      </c>
      <c r="X8" s="1759"/>
      <c r="Y8" s="3227" t="s">
        <v>1911</v>
      </c>
      <c r="Z8" s="3228"/>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2" t="s">
        <v>1914</v>
      </c>
      <c r="Q9" s="1769" t="str">
        <f t="shared" ref="Q9:Q15" si="6">B9</f>
        <v>用途</v>
      </c>
      <c r="R9" s="463" t="s">
        <v>14</v>
      </c>
      <c r="S9" s="1758">
        <f t="shared" si="0"/>
        <v>100</v>
      </c>
      <c r="T9" s="463" t="s">
        <v>14</v>
      </c>
      <c r="U9" s="1758">
        <f t="shared" si="1"/>
        <v>100</v>
      </c>
      <c r="V9" s="463" t="s">
        <v>14</v>
      </c>
      <c r="W9" s="1758">
        <f t="shared" si="2"/>
        <v>100</v>
      </c>
      <c r="X9" s="1759"/>
      <c r="Y9" s="307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2"/>
      <c r="Q10" s="1769" t="str">
        <f t="shared" si="6"/>
        <v>土地使用年限（年）</v>
      </c>
      <c r="R10" s="463" t="s">
        <v>14</v>
      </c>
      <c r="S10" s="1758">
        <f t="shared" si="0"/>
        <v>100</v>
      </c>
      <c r="T10" s="463" t="s">
        <v>14</v>
      </c>
      <c r="U10" s="1758">
        <f t="shared" si="1"/>
        <v>100</v>
      </c>
      <c r="V10" s="463" t="s">
        <v>14</v>
      </c>
      <c r="W10" s="1758">
        <f t="shared" si="2"/>
        <v>100</v>
      </c>
      <c r="X10" s="1759"/>
      <c r="Y10" s="3072"/>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2"/>
      <c r="Q11" s="1769" t="str">
        <f t="shared" si="6"/>
        <v>容积率</v>
      </c>
      <c r="R11" s="463" t="s">
        <v>14</v>
      </c>
      <c r="S11" s="1758" t="e">
        <f t="shared" si="0"/>
        <v>#N/A</v>
      </c>
      <c r="T11" s="463" t="s">
        <v>14</v>
      </c>
      <c r="U11" s="1758" t="e">
        <f t="shared" si="1"/>
        <v>#N/A</v>
      </c>
      <c r="V11" s="463" t="s">
        <v>14</v>
      </c>
      <c r="W11" s="1758" t="e">
        <f t="shared" si="2"/>
        <v>#N/A</v>
      </c>
      <c r="X11" s="1759"/>
      <c r="Y11" s="307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2"/>
      <c r="Q12" s="1769">
        <f t="shared" si="6"/>
        <v>111</v>
      </c>
      <c r="R12" s="463" t="s">
        <v>14</v>
      </c>
      <c r="S12" s="1758">
        <f t="shared" si="0"/>
        <v>100</v>
      </c>
      <c r="T12" s="463" t="s">
        <v>14</v>
      </c>
      <c r="U12" s="1758">
        <f t="shared" si="1"/>
        <v>100</v>
      </c>
      <c r="V12" s="463" t="s">
        <v>14</v>
      </c>
      <c r="W12" s="1758">
        <f t="shared" si="2"/>
        <v>100</v>
      </c>
      <c r="X12" s="1759"/>
      <c r="Y12" s="3072"/>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2"/>
      <c r="Q13" s="1769">
        <f t="shared" si="6"/>
        <v>111</v>
      </c>
      <c r="R13" s="463" t="s">
        <v>14</v>
      </c>
      <c r="S13" s="1758">
        <f t="shared" si="0"/>
        <v>100</v>
      </c>
      <c r="T13" s="463" t="s">
        <v>14</v>
      </c>
      <c r="U13" s="1758">
        <f t="shared" si="1"/>
        <v>100</v>
      </c>
      <c r="V13" s="463" t="s">
        <v>14</v>
      </c>
      <c r="W13" s="1758">
        <f t="shared" si="2"/>
        <v>100</v>
      </c>
      <c r="X13" s="1759"/>
      <c r="Y13" s="3072"/>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2"/>
      <c r="Q14" s="1769">
        <f t="shared" si="6"/>
        <v>111</v>
      </c>
      <c r="R14" s="463" t="s">
        <v>14</v>
      </c>
      <c r="S14" s="1758">
        <f t="shared" si="0"/>
        <v>100</v>
      </c>
      <c r="T14" s="463" t="s">
        <v>14</v>
      </c>
      <c r="U14" s="1758">
        <f t="shared" si="1"/>
        <v>100</v>
      </c>
      <c r="V14" s="463" t="s">
        <v>14</v>
      </c>
      <c r="W14" s="1758">
        <f t="shared" si="2"/>
        <v>100</v>
      </c>
      <c r="X14" s="1759"/>
      <c r="Y14" s="3072"/>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194" t="s">
        <v>1919</v>
      </c>
      <c r="Q15" s="1803" t="str">
        <f t="shared" si="6"/>
        <v>产业集聚程度</v>
      </c>
      <c r="R15" s="1804" t="s">
        <v>14</v>
      </c>
      <c r="S15" s="1805">
        <f t="shared" si="0"/>
        <v>100</v>
      </c>
      <c r="T15" s="1804" t="s">
        <v>14</v>
      </c>
      <c r="U15" s="1805">
        <f t="shared" si="1"/>
        <v>100</v>
      </c>
      <c r="V15" s="1804" t="s">
        <v>14</v>
      </c>
      <c r="W15" s="1805">
        <f t="shared" si="2"/>
        <v>100</v>
      </c>
      <c r="X15" s="1743"/>
      <c r="Y15" s="3194"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195"/>
      <c r="Q16" s="1803"/>
      <c r="R16" s="1804"/>
      <c r="S16" s="1805"/>
      <c r="T16" s="1804"/>
      <c r="U16" s="1805"/>
      <c r="V16" s="1804"/>
      <c r="W16" s="1805"/>
      <c r="X16" s="1743"/>
      <c r="Y16" s="3195"/>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195"/>
      <c r="Q17" s="1803" t="str">
        <f>B17</f>
        <v>交通便捷度</v>
      </c>
      <c r="R17" s="1804" t="s">
        <v>14</v>
      </c>
      <c r="S17" s="1805">
        <f>F17</f>
        <v>100</v>
      </c>
      <c r="T17" s="1804" t="s">
        <v>14</v>
      </c>
      <c r="U17" s="1805">
        <f>H17</f>
        <v>100</v>
      </c>
      <c r="V17" s="1804" t="s">
        <v>14</v>
      </c>
      <c r="W17" s="1805">
        <f>J17</f>
        <v>100</v>
      </c>
      <c r="X17" s="1743"/>
      <c r="Y17" s="3195"/>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195"/>
      <c r="Q18" s="1803"/>
      <c r="R18" s="1804"/>
      <c r="S18" s="1805"/>
      <c r="T18" s="1804"/>
      <c r="U18" s="1805"/>
      <c r="V18" s="1804"/>
      <c r="W18" s="1805"/>
      <c r="X18" s="1743"/>
      <c r="Y18" s="3195"/>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195"/>
      <c r="Q19" s="1803" t="str">
        <f>B19</f>
        <v>公共配套设施</v>
      </c>
      <c r="R19" s="1804" t="s">
        <v>14</v>
      </c>
      <c r="S19" s="1805">
        <f>F19</f>
        <v>100</v>
      </c>
      <c r="T19" s="1804" t="s">
        <v>14</v>
      </c>
      <c r="U19" s="1805">
        <f>H19</f>
        <v>100</v>
      </c>
      <c r="V19" s="1804" t="s">
        <v>14</v>
      </c>
      <c r="W19" s="1805">
        <f>J19</f>
        <v>100</v>
      </c>
      <c r="X19" s="1743"/>
      <c r="Y19" s="3195"/>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195"/>
      <c r="Q20" s="1803"/>
      <c r="R20" s="1804"/>
      <c r="S20" s="1805"/>
      <c r="T20" s="1804"/>
      <c r="U20" s="1805"/>
      <c r="V20" s="1804"/>
      <c r="W20" s="1805"/>
      <c r="X20" s="1743"/>
      <c r="Y20" s="3195"/>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195"/>
      <c r="Q21" s="1803" t="str">
        <f>B21</f>
        <v>基础设施水平</v>
      </c>
      <c r="R21" s="1804" t="s">
        <v>14</v>
      </c>
      <c r="S21" s="1805">
        <f>F21</f>
        <v>100</v>
      </c>
      <c r="T21" s="1804" t="s">
        <v>14</v>
      </c>
      <c r="U21" s="1805">
        <f>H21</f>
        <v>100</v>
      </c>
      <c r="V21" s="1804" t="s">
        <v>14</v>
      </c>
      <c r="W21" s="1805">
        <f>J21</f>
        <v>100</v>
      </c>
      <c r="X21" s="1743"/>
      <c r="Y21" s="3195"/>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195"/>
      <c r="Q22" s="1803"/>
      <c r="R22" s="1804"/>
      <c r="S22" s="1805"/>
      <c r="T22" s="1804"/>
      <c r="U22" s="1805"/>
      <c r="V22" s="1804"/>
      <c r="W22" s="1805"/>
      <c r="X22" s="1743"/>
      <c r="Y22" s="3195"/>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195"/>
      <c r="Q23" s="1803" t="str">
        <f>B23</f>
        <v>环境质量</v>
      </c>
      <c r="R23" s="1804" t="s">
        <v>14</v>
      </c>
      <c r="S23" s="1805">
        <f>F23</f>
        <v>100</v>
      </c>
      <c r="T23" s="1804" t="s">
        <v>14</v>
      </c>
      <c r="U23" s="1805">
        <f>H23</f>
        <v>100</v>
      </c>
      <c r="V23" s="1804" t="s">
        <v>14</v>
      </c>
      <c r="W23" s="1805">
        <f>J23</f>
        <v>100</v>
      </c>
      <c r="X23" s="1743"/>
      <c r="Y23" s="3195"/>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195"/>
      <c r="Q24" s="1803"/>
      <c r="R24" s="1804"/>
      <c r="S24" s="1805"/>
      <c r="T24" s="1804"/>
      <c r="U24" s="1805"/>
      <c r="V24" s="1804"/>
      <c r="W24" s="1805"/>
      <c r="X24" s="1743"/>
      <c r="Y24" s="3195"/>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195"/>
      <c r="Q25" s="1803">
        <f>B25</f>
        <v>111</v>
      </c>
      <c r="R25" s="1804" t="s">
        <v>14</v>
      </c>
      <c r="S25" s="1805">
        <f>F25</f>
        <v>100</v>
      </c>
      <c r="T25" s="1804" t="s">
        <v>14</v>
      </c>
      <c r="U25" s="1805">
        <f>H25</f>
        <v>100</v>
      </c>
      <c r="V25" s="1804" t="s">
        <v>14</v>
      </c>
      <c r="W25" s="1805">
        <f>J25</f>
        <v>100</v>
      </c>
      <c r="X25" s="1743"/>
      <c r="Y25" s="3195"/>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195"/>
      <c r="Q26" s="1803">
        <f t="shared" ref="Q26:Q40" si="11">B26</f>
        <v>111</v>
      </c>
      <c r="R26" s="1804" t="s">
        <v>14</v>
      </c>
      <c r="S26" s="1805">
        <f>F26</f>
        <v>100</v>
      </c>
      <c r="T26" s="1804" t="s">
        <v>14</v>
      </c>
      <c r="U26" s="1805">
        <f>H26</f>
        <v>100</v>
      </c>
      <c r="V26" s="1804" t="s">
        <v>14</v>
      </c>
      <c r="W26" s="1805">
        <f>J26</f>
        <v>100</v>
      </c>
      <c r="X26" s="1743"/>
      <c r="Y26" s="3195"/>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195"/>
      <c r="Q27" s="1769">
        <f t="shared" si="11"/>
        <v>111</v>
      </c>
      <c r="R27" s="463" t="s">
        <v>14</v>
      </c>
      <c r="S27" s="1758">
        <f>F27</f>
        <v>100</v>
      </c>
      <c r="T27" s="463" t="s">
        <v>14</v>
      </c>
      <c r="U27" s="1758">
        <f>H27</f>
        <v>100</v>
      </c>
      <c r="V27" s="463" t="s">
        <v>14</v>
      </c>
      <c r="W27" s="1758">
        <f>J27</f>
        <v>100</v>
      </c>
      <c r="X27" s="1759"/>
      <c r="Y27" s="3195"/>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195"/>
      <c r="Q28" s="1803">
        <f t="shared" si="11"/>
        <v>111</v>
      </c>
      <c r="R28" s="1804" t="s">
        <v>14</v>
      </c>
      <c r="S28" s="1805">
        <f t="shared" ref="S28:S40" si="12">F28</f>
        <v>100</v>
      </c>
      <c r="T28" s="1804" t="s">
        <v>14</v>
      </c>
      <c r="U28" s="1805">
        <f t="shared" ref="U28:U40" si="13">H28</f>
        <v>100</v>
      </c>
      <c r="V28" s="1804" t="s">
        <v>14</v>
      </c>
      <c r="W28" s="1805">
        <f t="shared" ref="W28:W40" si="14">J28</f>
        <v>100</v>
      </c>
      <c r="X28" s="1743"/>
      <c r="Y28" s="3195"/>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49" t="s">
        <v>1924</v>
      </c>
      <c r="Q29" s="1803" t="str">
        <f t="shared" si="11"/>
        <v>建筑类型</v>
      </c>
      <c r="R29" s="1804" t="s">
        <v>14</v>
      </c>
      <c r="S29" s="1805">
        <f t="shared" si="12"/>
        <v>100</v>
      </c>
      <c r="T29" s="1804" t="s">
        <v>14</v>
      </c>
      <c r="U29" s="1805">
        <f t="shared" si="13"/>
        <v>100</v>
      </c>
      <c r="V29" s="1804" t="s">
        <v>14</v>
      </c>
      <c r="W29" s="1805">
        <f t="shared" si="14"/>
        <v>100</v>
      </c>
      <c r="X29" s="1743"/>
      <c r="Y29" s="3199"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199"/>
      <c r="Q30" s="1839" t="str">
        <f t="shared" si="11"/>
        <v>项目建筑规模</v>
      </c>
      <c r="R30" s="1840" t="s">
        <v>14</v>
      </c>
      <c r="S30" s="1841" t="e">
        <f t="shared" si="12"/>
        <v>#N/A</v>
      </c>
      <c r="T30" s="1840" t="s">
        <v>14</v>
      </c>
      <c r="U30" s="1841" t="e">
        <f t="shared" si="13"/>
        <v>#N/A</v>
      </c>
      <c r="V30" s="1840" t="s">
        <v>14</v>
      </c>
      <c r="W30" s="1841" t="e">
        <f t="shared" si="14"/>
        <v>#N/A</v>
      </c>
      <c r="X30" s="1842"/>
      <c r="Y30" s="3199"/>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199"/>
      <c r="Q31" s="1803" t="str">
        <f t="shared" si="11"/>
        <v>建筑结构</v>
      </c>
      <c r="R31" s="1804" t="s">
        <v>14</v>
      </c>
      <c r="S31" s="1805">
        <f t="shared" si="12"/>
        <v>100</v>
      </c>
      <c r="T31" s="1804" t="s">
        <v>14</v>
      </c>
      <c r="U31" s="1805">
        <f t="shared" si="13"/>
        <v>100</v>
      </c>
      <c r="V31" s="1804" t="s">
        <v>14</v>
      </c>
      <c r="W31" s="1805">
        <f t="shared" si="14"/>
        <v>100</v>
      </c>
      <c r="X31" s="1743"/>
      <c r="Y31" s="3199"/>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199"/>
      <c r="Q32" s="1803" t="str">
        <f t="shared" si="11"/>
        <v>公共部分装修</v>
      </c>
      <c r="R32" s="1804" t="s">
        <v>14</v>
      </c>
      <c r="S32" s="1805">
        <f t="shared" si="12"/>
        <v>100</v>
      </c>
      <c r="T32" s="1804" t="s">
        <v>14</v>
      </c>
      <c r="U32" s="1805">
        <f t="shared" si="13"/>
        <v>100</v>
      </c>
      <c r="V32" s="1804" t="s">
        <v>14</v>
      </c>
      <c r="W32" s="1805">
        <f t="shared" si="14"/>
        <v>100</v>
      </c>
      <c r="X32" s="1743"/>
      <c r="Y32" s="3199"/>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199"/>
      <c r="Q33" s="1803" t="str">
        <f t="shared" si="11"/>
        <v>成新度</v>
      </c>
      <c r="R33" s="1804" t="s">
        <v>14</v>
      </c>
      <c r="S33" s="1805" t="e">
        <f t="shared" si="12"/>
        <v>#N/A</v>
      </c>
      <c r="T33" s="1804" t="s">
        <v>14</v>
      </c>
      <c r="U33" s="1805" t="e">
        <f t="shared" si="13"/>
        <v>#N/A</v>
      </c>
      <c r="V33" s="1804" t="s">
        <v>14</v>
      </c>
      <c r="W33" s="1805" t="e">
        <f t="shared" si="14"/>
        <v>#N/A</v>
      </c>
      <c r="X33" s="1743"/>
      <c r="Y33" s="3199"/>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199"/>
      <c r="Q34" s="1769" t="str">
        <f t="shared" si="11"/>
        <v>物业管理</v>
      </c>
      <c r="R34" s="463" t="s">
        <v>14</v>
      </c>
      <c r="S34" s="1758">
        <f t="shared" si="12"/>
        <v>100</v>
      </c>
      <c r="T34" s="463" t="s">
        <v>14</v>
      </c>
      <c r="U34" s="1758">
        <f t="shared" si="13"/>
        <v>100</v>
      </c>
      <c r="V34" s="463" t="s">
        <v>14</v>
      </c>
      <c r="W34" s="1758">
        <f t="shared" si="14"/>
        <v>100</v>
      </c>
      <c r="X34" s="1759"/>
      <c r="Y34" s="3199"/>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199" t="s">
        <v>1924</v>
      </c>
      <c r="Q35" s="1803" t="str">
        <f t="shared" si="11"/>
        <v>市政基础设施</v>
      </c>
      <c r="R35" s="1804" t="s">
        <v>14</v>
      </c>
      <c r="S35" s="1805">
        <f t="shared" si="12"/>
        <v>100</v>
      </c>
      <c r="T35" s="1804" t="s">
        <v>14</v>
      </c>
      <c r="U35" s="1805">
        <f t="shared" si="13"/>
        <v>100</v>
      </c>
      <c r="V35" s="1804" t="s">
        <v>14</v>
      </c>
      <c r="W35" s="1805">
        <f t="shared" si="14"/>
        <v>100</v>
      </c>
      <c r="X35" s="1743"/>
      <c r="Y35" s="3199"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199"/>
      <c r="Q36" s="1803" t="str">
        <f t="shared" si="11"/>
        <v>内部装修</v>
      </c>
      <c r="R36" s="1804" t="s">
        <v>14</v>
      </c>
      <c r="S36" s="1805">
        <f t="shared" si="12"/>
        <v>100</v>
      </c>
      <c r="T36" s="1804" t="s">
        <v>14</v>
      </c>
      <c r="U36" s="1805">
        <f t="shared" si="13"/>
        <v>100</v>
      </c>
      <c r="V36" s="1804" t="s">
        <v>14</v>
      </c>
      <c r="W36" s="1805">
        <f t="shared" si="14"/>
        <v>100</v>
      </c>
      <c r="X36" s="1743"/>
      <c r="Y36" s="3199"/>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199"/>
      <c r="Q37" s="1803" t="str">
        <f t="shared" si="11"/>
        <v>内部装修状况</v>
      </c>
      <c r="R37" s="1804" t="s">
        <v>14</v>
      </c>
      <c r="S37" s="1805">
        <f t="shared" si="12"/>
        <v>100</v>
      </c>
      <c r="T37" s="1804" t="s">
        <v>14</v>
      </c>
      <c r="U37" s="1805">
        <f t="shared" si="13"/>
        <v>100</v>
      </c>
      <c r="V37" s="1804" t="s">
        <v>14</v>
      </c>
      <c r="W37" s="1805">
        <f t="shared" si="14"/>
        <v>100</v>
      </c>
      <c r="X37" s="1743"/>
      <c r="Y37" s="3199"/>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199"/>
      <c r="Q38" s="1839">
        <f t="shared" si="11"/>
        <v>111</v>
      </c>
      <c r="R38" s="1840" t="s">
        <v>14</v>
      </c>
      <c r="S38" s="1841">
        <f t="shared" si="12"/>
        <v>100</v>
      </c>
      <c r="T38" s="1840" t="s">
        <v>14</v>
      </c>
      <c r="U38" s="1841">
        <f t="shared" si="13"/>
        <v>100</v>
      </c>
      <c r="V38" s="1840" t="s">
        <v>14</v>
      </c>
      <c r="W38" s="1841">
        <f t="shared" si="14"/>
        <v>100</v>
      </c>
      <c r="X38" s="1842"/>
      <c r="Y38" s="3199"/>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199"/>
      <c r="Q39" s="1803">
        <f t="shared" si="11"/>
        <v>111</v>
      </c>
      <c r="R39" s="1804" t="s">
        <v>14</v>
      </c>
      <c r="S39" s="1805">
        <f t="shared" si="12"/>
        <v>100</v>
      </c>
      <c r="T39" s="1804" t="s">
        <v>14</v>
      </c>
      <c r="U39" s="1805">
        <f t="shared" si="13"/>
        <v>100</v>
      </c>
      <c r="V39" s="1804" t="s">
        <v>14</v>
      </c>
      <c r="W39" s="1805">
        <f t="shared" si="14"/>
        <v>100</v>
      </c>
      <c r="X39" s="1743"/>
      <c r="Y39" s="3199"/>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0"/>
      <c r="Q40" s="1803">
        <f t="shared" si="11"/>
        <v>111</v>
      </c>
      <c r="R40" s="1804" t="s">
        <v>14</v>
      </c>
      <c r="S40" s="1805">
        <f t="shared" si="12"/>
        <v>100</v>
      </c>
      <c r="T40" s="1804" t="s">
        <v>14</v>
      </c>
      <c r="U40" s="1805">
        <f t="shared" si="13"/>
        <v>100</v>
      </c>
      <c r="V40" s="1804" t="s">
        <v>14</v>
      </c>
      <c r="W40" s="1805">
        <f t="shared" si="14"/>
        <v>100</v>
      </c>
      <c r="X40" s="1743"/>
      <c r="Y40" s="3200"/>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2" t="str">
        <f>A41</f>
        <v>成交单价（元/平方米）</v>
      </c>
      <c r="Q41" s="3192"/>
      <c r="R41" s="3193">
        <f>E41</f>
        <v>0</v>
      </c>
      <c r="S41" s="3193"/>
      <c r="T41" s="3193">
        <f>G41</f>
        <v>0</v>
      </c>
      <c r="U41" s="3193"/>
      <c r="V41" s="3193">
        <f>I41</f>
        <v>0</v>
      </c>
      <c r="W41" s="3193"/>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2" t="str">
        <f>A42</f>
        <v>比较价值（元/平方米）</v>
      </c>
      <c r="Q42" s="3192"/>
      <c r="R42" s="3193" t="e">
        <f>IF(F1="售价",ROUND(PRODUCT(R41,AA7:AA40),0),ROUND(PRODUCT(R41,AA7:AA40),1))</f>
        <v>#DIV/0!</v>
      </c>
      <c r="S42" s="3193"/>
      <c r="T42" s="3193" t="e">
        <f>IF(F1="售价",ROUND(PRODUCT(T41,AB7:AB40),0),ROUND(PRODUCT(T41,AB7:AB40),1))</f>
        <v>#DIV/0!</v>
      </c>
      <c r="U42" s="3193"/>
      <c r="V42" s="3193" t="e">
        <f>IF(F1="售价",ROUND(PRODUCT(V41,AC7:AC40),0),ROUND(PRODUCT(V41,AC7:AC40),1))</f>
        <v>#DIV/0!</v>
      </c>
      <c r="W42" s="3193"/>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89" t="str">
        <f>A43</f>
        <v>估价对象XX用房的比较价值（楼面单价，元/平方米）</v>
      </c>
      <c r="Q43" s="3190"/>
      <c r="R43" s="3191" t="e">
        <f>IF(F1="售价",ROUND(IF(D42="简单平均",AVERAGE(R42:V42),R42*F42+T42*H42+V42*J42),0),ROUND(IF(D42="简单平均",AVERAGE(R42:V42),R42*F42+T42*H42+V42*J42),1))</f>
        <v>#DIV/0!</v>
      </c>
      <c r="S43" s="3191"/>
      <c r="T43" s="3191"/>
      <c r="U43" s="3191"/>
      <c r="V43" s="3191"/>
      <c r="W43" s="3191"/>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07" t="s">
        <v>2005</v>
      </c>
      <c r="D4" s="3208"/>
      <c r="E4" s="3209" t="s">
        <v>2006</v>
      </c>
      <c r="F4" s="3210"/>
      <c r="G4" s="3207" t="s">
        <v>2007</v>
      </c>
      <c r="H4" s="3208"/>
      <c r="I4" s="3207" t="s">
        <v>2008</v>
      </c>
      <c r="J4" s="3208"/>
      <c r="K4" s="2042" t="s">
        <v>2009</v>
      </c>
      <c r="L4" s="1741"/>
      <c r="M4" s="1742"/>
      <c r="N4" s="1742"/>
      <c r="O4" s="1742"/>
      <c r="P4" s="3211" t="s">
        <v>2010</v>
      </c>
      <c r="Q4" s="3212"/>
      <c r="R4" s="3217" t="s">
        <v>2006</v>
      </c>
      <c r="S4" s="3218"/>
      <c r="T4" s="3217" t="s">
        <v>2007</v>
      </c>
      <c r="U4" s="3218"/>
      <c r="V4" s="3193" t="s">
        <v>2008</v>
      </c>
      <c r="W4" s="3193"/>
      <c r="X4" s="1743"/>
      <c r="Y4" s="3217" t="s">
        <v>2010</v>
      </c>
      <c r="Z4" s="3218"/>
      <c r="AA4" s="3204" t="s">
        <v>2006</v>
      </c>
      <c r="AB4" s="3205" t="s">
        <v>2007</v>
      </c>
      <c r="AC4" s="3204" t="s">
        <v>2008</v>
      </c>
    </row>
    <row r="5" spans="1:29" ht="15">
      <c r="A5" s="1745"/>
      <c r="B5" s="1746"/>
      <c r="C5" s="3225" t="s">
        <v>1901</v>
      </c>
      <c r="D5" s="3226"/>
      <c r="E5" s="3232" t="s">
        <v>1902</v>
      </c>
      <c r="F5" s="3233"/>
      <c r="G5" s="3225" t="s">
        <v>1903</v>
      </c>
      <c r="H5" s="3226"/>
      <c r="I5" s="3225" t="s">
        <v>1904</v>
      </c>
      <c r="J5" s="3226"/>
      <c r="K5" s="2042"/>
      <c r="L5" s="1741"/>
      <c r="M5" s="1742"/>
      <c r="N5" s="1742"/>
      <c r="O5" s="1742"/>
      <c r="P5" s="3213"/>
      <c r="Q5" s="3214"/>
      <c r="R5" s="3219"/>
      <c r="S5" s="3220"/>
      <c r="T5" s="3219"/>
      <c r="U5" s="3220"/>
      <c r="V5" s="3193"/>
      <c r="W5" s="3193"/>
      <c r="X5" s="1743"/>
      <c r="Y5" s="3219"/>
      <c r="Z5" s="3220"/>
      <c r="AA5" s="3205"/>
      <c r="AB5" s="3205"/>
      <c r="AC5" s="3205"/>
    </row>
    <row r="6" spans="1:29" ht="15.75" thickBot="1">
      <c r="A6" s="1748"/>
      <c r="B6" s="1749"/>
      <c r="C6" s="3223" t="s">
        <v>1905</v>
      </c>
      <c r="D6" s="3224"/>
      <c r="E6" s="3230" t="s">
        <v>1905</v>
      </c>
      <c r="F6" s="3231"/>
      <c r="G6" s="3223" t="s">
        <v>1905</v>
      </c>
      <c r="H6" s="3224"/>
      <c r="I6" s="3223" t="s">
        <v>1905</v>
      </c>
      <c r="J6" s="3224"/>
      <c r="K6" s="2042" t="s">
        <v>1906</v>
      </c>
      <c r="L6" s="1741"/>
      <c r="M6" s="1742"/>
      <c r="N6" s="1742"/>
      <c r="O6" s="1742"/>
      <c r="P6" s="3215"/>
      <c r="Q6" s="3216"/>
      <c r="R6" s="3219"/>
      <c r="S6" s="3220"/>
      <c r="T6" s="3221"/>
      <c r="U6" s="3222"/>
      <c r="V6" s="3193"/>
      <c r="W6" s="3193"/>
      <c r="X6" s="1743"/>
      <c r="Y6" s="3221"/>
      <c r="Z6" s="3222"/>
      <c r="AA6" s="3206"/>
      <c r="AB6" s="3206"/>
      <c r="AC6" s="3206"/>
    </row>
    <row r="7" spans="1:29" s="1760" customFormat="1" ht="15.75" thickBot="1">
      <c r="A7" s="1750" t="s">
        <v>1907</v>
      </c>
      <c r="B7" s="1751"/>
      <c r="C7" s="1752">
        <f>'数据-取费表'!B2</f>
        <v>44796</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27" t="s">
        <v>1908</v>
      </c>
      <c r="Q7" s="3229"/>
      <c r="R7" s="463" t="s">
        <v>14</v>
      </c>
      <c r="S7" s="1758">
        <f t="shared" ref="S7:S14" si="0">F7</f>
        <v>0</v>
      </c>
      <c r="T7" s="463" t="s">
        <v>14</v>
      </c>
      <c r="U7" s="1758">
        <f t="shared" ref="U7:U14" si="1">H7</f>
        <v>0</v>
      </c>
      <c r="V7" s="463" t="s">
        <v>14</v>
      </c>
      <c r="W7" s="1758">
        <f t="shared" ref="W7:W14" si="2">J7</f>
        <v>0</v>
      </c>
      <c r="X7" s="1759"/>
      <c r="Y7" s="3227" t="s">
        <v>1908</v>
      </c>
      <c r="Z7" s="3228"/>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27" t="s">
        <v>1911</v>
      </c>
      <c r="Q8" s="3228"/>
      <c r="R8" s="463" t="s">
        <v>14</v>
      </c>
      <c r="S8" s="1758">
        <f t="shared" si="0"/>
        <v>0</v>
      </c>
      <c r="T8" s="463" t="s">
        <v>14</v>
      </c>
      <c r="U8" s="1758">
        <f t="shared" si="1"/>
        <v>0</v>
      </c>
      <c r="V8" s="463" t="s">
        <v>14</v>
      </c>
      <c r="W8" s="1758">
        <f t="shared" si="2"/>
        <v>0</v>
      </c>
      <c r="X8" s="1759"/>
      <c r="Y8" s="3227" t="s">
        <v>1911</v>
      </c>
      <c r="Z8" s="3228"/>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2" t="s">
        <v>1914</v>
      </c>
      <c r="Q9" s="1769" t="str">
        <f t="shared" ref="Q9:Q14" si="6">B9</f>
        <v>用途</v>
      </c>
      <c r="R9" s="463" t="s">
        <v>14</v>
      </c>
      <c r="S9" s="1758">
        <f t="shared" si="0"/>
        <v>100</v>
      </c>
      <c r="T9" s="463" t="s">
        <v>14</v>
      </c>
      <c r="U9" s="1758">
        <f t="shared" si="1"/>
        <v>100</v>
      </c>
      <c r="V9" s="463" t="s">
        <v>14</v>
      </c>
      <c r="W9" s="1758">
        <f t="shared" si="2"/>
        <v>100</v>
      </c>
      <c r="X9" s="1759"/>
      <c r="Y9" s="3072"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2"/>
      <c r="Q10" s="1769" t="str">
        <f t="shared" si="6"/>
        <v>土地使用年限（年）</v>
      </c>
      <c r="R10" s="463" t="s">
        <v>14</v>
      </c>
      <c r="S10" s="1758">
        <f t="shared" si="0"/>
        <v>100</v>
      </c>
      <c r="T10" s="463" t="s">
        <v>14</v>
      </c>
      <c r="U10" s="1758">
        <f t="shared" si="1"/>
        <v>100</v>
      </c>
      <c r="V10" s="463" t="s">
        <v>14</v>
      </c>
      <c r="W10" s="1758">
        <f t="shared" si="2"/>
        <v>100</v>
      </c>
      <c r="X10" s="1759"/>
      <c r="Y10" s="3072"/>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2"/>
      <c r="Q11" s="1769">
        <f t="shared" si="6"/>
        <v>111</v>
      </c>
      <c r="R11" s="463" t="s">
        <v>14</v>
      </c>
      <c r="S11" s="1758">
        <f t="shared" si="0"/>
        <v>100</v>
      </c>
      <c r="T11" s="463" t="s">
        <v>14</v>
      </c>
      <c r="U11" s="1758">
        <f t="shared" si="1"/>
        <v>100</v>
      </c>
      <c r="V11" s="463" t="s">
        <v>14</v>
      </c>
      <c r="W11" s="1758">
        <f t="shared" si="2"/>
        <v>100</v>
      </c>
      <c r="X11" s="1759"/>
      <c r="Y11" s="3072"/>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2"/>
      <c r="Q12" s="1769">
        <f t="shared" si="6"/>
        <v>111</v>
      </c>
      <c r="R12" s="463" t="s">
        <v>14</v>
      </c>
      <c r="S12" s="1758">
        <f t="shared" si="0"/>
        <v>100</v>
      </c>
      <c r="T12" s="463" t="s">
        <v>14</v>
      </c>
      <c r="U12" s="1758">
        <f t="shared" si="1"/>
        <v>100</v>
      </c>
      <c r="V12" s="463" t="s">
        <v>14</v>
      </c>
      <c r="W12" s="1758">
        <f t="shared" si="2"/>
        <v>100</v>
      </c>
      <c r="X12" s="1759"/>
      <c r="Y12" s="3072"/>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2"/>
      <c r="Q13" s="1769">
        <f t="shared" si="6"/>
        <v>111</v>
      </c>
      <c r="R13" s="463" t="s">
        <v>14</v>
      </c>
      <c r="S13" s="1758">
        <f t="shared" si="0"/>
        <v>100</v>
      </c>
      <c r="T13" s="463" t="s">
        <v>14</v>
      </c>
      <c r="U13" s="1758">
        <f t="shared" si="1"/>
        <v>100</v>
      </c>
      <c r="V13" s="463" t="s">
        <v>14</v>
      </c>
      <c r="W13" s="1758">
        <f t="shared" si="2"/>
        <v>100</v>
      </c>
      <c r="X13" s="1759"/>
      <c r="Y13" s="3072"/>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194" t="s">
        <v>1919</v>
      </c>
      <c r="Q14" s="1803" t="str">
        <f t="shared" si="6"/>
        <v>交通便捷度</v>
      </c>
      <c r="R14" s="1804" t="s">
        <v>14</v>
      </c>
      <c r="S14" s="1805">
        <f t="shared" si="0"/>
        <v>100</v>
      </c>
      <c r="T14" s="1804" t="s">
        <v>14</v>
      </c>
      <c r="U14" s="1805">
        <f t="shared" si="1"/>
        <v>100</v>
      </c>
      <c r="V14" s="1804" t="s">
        <v>14</v>
      </c>
      <c r="W14" s="1805">
        <f t="shared" si="2"/>
        <v>100</v>
      </c>
      <c r="X14" s="1743"/>
      <c r="Y14" s="3194"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195"/>
      <c r="Q15" s="1803"/>
      <c r="R15" s="1804"/>
      <c r="S15" s="1805"/>
      <c r="T15" s="1804"/>
      <c r="U15" s="1805"/>
      <c r="V15" s="1804"/>
      <c r="W15" s="1805"/>
      <c r="X15" s="1743"/>
      <c r="Y15" s="3195"/>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195"/>
      <c r="Q16" s="1803" t="str">
        <f>B16</f>
        <v>公共配套设施</v>
      </c>
      <c r="R16" s="1804" t="s">
        <v>14</v>
      </c>
      <c r="S16" s="1805">
        <f>F16</f>
        <v>100</v>
      </c>
      <c r="T16" s="1804" t="s">
        <v>14</v>
      </c>
      <c r="U16" s="1805">
        <f>H16</f>
        <v>100</v>
      </c>
      <c r="V16" s="1804" t="s">
        <v>14</v>
      </c>
      <c r="W16" s="1805">
        <f>J16</f>
        <v>100</v>
      </c>
      <c r="X16" s="1743"/>
      <c r="Y16" s="3195"/>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195"/>
      <c r="Q17" s="1803"/>
      <c r="R17" s="1804"/>
      <c r="S17" s="1805"/>
      <c r="T17" s="1804"/>
      <c r="U17" s="1805"/>
      <c r="V17" s="1804"/>
      <c r="W17" s="1805"/>
      <c r="X17" s="1743"/>
      <c r="Y17" s="3195"/>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195"/>
      <c r="Q18" s="1803" t="str">
        <f>B18</f>
        <v>基础设施水平</v>
      </c>
      <c r="R18" s="1804" t="s">
        <v>14</v>
      </c>
      <c r="S18" s="1805">
        <f>F18</f>
        <v>100</v>
      </c>
      <c r="T18" s="1804" t="s">
        <v>14</v>
      </c>
      <c r="U18" s="1805">
        <f>H18</f>
        <v>100</v>
      </c>
      <c r="V18" s="1804" t="s">
        <v>14</v>
      </c>
      <c r="W18" s="1805">
        <f>J18</f>
        <v>100</v>
      </c>
      <c r="X18" s="1743"/>
      <c r="Y18" s="3195"/>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195"/>
      <c r="Q19" s="1803"/>
      <c r="R19" s="1804"/>
      <c r="S19" s="1805"/>
      <c r="T19" s="1804"/>
      <c r="U19" s="1805"/>
      <c r="V19" s="1804"/>
      <c r="W19" s="1805"/>
      <c r="X19" s="1743"/>
      <c r="Y19" s="3195"/>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195"/>
      <c r="Q20" s="1803" t="str">
        <f>B20</f>
        <v>自然及人文环境</v>
      </c>
      <c r="R20" s="1804" t="s">
        <v>14</v>
      </c>
      <c r="S20" s="1805">
        <f>F20</f>
        <v>100</v>
      </c>
      <c r="T20" s="1804" t="s">
        <v>14</v>
      </c>
      <c r="U20" s="1805">
        <f>H20</f>
        <v>100</v>
      </c>
      <c r="V20" s="1804" t="s">
        <v>14</v>
      </c>
      <c r="W20" s="1805">
        <f>J20</f>
        <v>100</v>
      </c>
      <c r="X20" s="1743"/>
      <c r="Y20" s="3195"/>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195"/>
      <c r="Q21" s="1803"/>
      <c r="R21" s="1804"/>
      <c r="S21" s="1805"/>
      <c r="T21" s="1804"/>
      <c r="U21" s="1805"/>
      <c r="V21" s="1804"/>
      <c r="W21" s="1805"/>
      <c r="X21" s="1743"/>
      <c r="Y21" s="3195"/>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195"/>
      <c r="Q22" s="1803" t="str">
        <f>B22</f>
        <v>楼层</v>
      </c>
      <c r="R22" s="1804" t="s">
        <v>14</v>
      </c>
      <c r="S22" s="1805">
        <f>F22</f>
        <v>100</v>
      </c>
      <c r="T22" s="1804" t="s">
        <v>14</v>
      </c>
      <c r="U22" s="1805">
        <f>H22</f>
        <v>100</v>
      </c>
      <c r="V22" s="1804" t="s">
        <v>14</v>
      </c>
      <c r="W22" s="1805">
        <f>J22</f>
        <v>100</v>
      </c>
      <c r="X22" s="1743"/>
      <c r="Y22" s="3195"/>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195"/>
      <c r="Q23" s="1803">
        <f>B23</f>
        <v>111</v>
      </c>
      <c r="R23" s="1804" t="s">
        <v>14</v>
      </c>
      <c r="S23" s="1805">
        <f>F23</f>
        <v>100</v>
      </c>
      <c r="T23" s="1804" t="s">
        <v>14</v>
      </c>
      <c r="U23" s="1805">
        <f>H23</f>
        <v>100</v>
      </c>
      <c r="V23" s="1804" t="s">
        <v>14</v>
      </c>
      <c r="W23" s="1805">
        <f>J23</f>
        <v>100</v>
      </c>
      <c r="X23" s="1743"/>
      <c r="Y23" s="3195"/>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195"/>
      <c r="Q24" s="1803">
        <f t="shared" ref="Q24:Q36" si="11">B24</f>
        <v>111</v>
      </c>
      <c r="R24" s="1804" t="s">
        <v>14</v>
      </c>
      <c r="S24" s="1805">
        <f>F24</f>
        <v>100</v>
      </c>
      <c r="T24" s="1804" t="s">
        <v>14</v>
      </c>
      <c r="U24" s="1805">
        <f>H24</f>
        <v>100</v>
      </c>
      <c r="V24" s="1804" t="s">
        <v>14</v>
      </c>
      <c r="W24" s="1805">
        <f>J24</f>
        <v>100</v>
      </c>
      <c r="X24" s="1743"/>
      <c r="Y24" s="3195"/>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195"/>
      <c r="Q25" s="1769">
        <f t="shared" si="11"/>
        <v>111</v>
      </c>
      <c r="R25" s="463" t="s">
        <v>14</v>
      </c>
      <c r="S25" s="1758">
        <f>F25</f>
        <v>100</v>
      </c>
      <c r="T25" s="463" t="s">
        <v>14</v>
      </c>
      <c r="U25" s="1758">
        <f>H25</f>
        <v>100</v>
      </c>
      <c r="V25" s="463" t="s">
        <v>14</v>
      </c>
      <c r="W25" s="1758">
        <f>J25</f>
        <v>100</v>
      </c>
      <c r="X25" s="1759"/>
      <c r="Y25" s="3195"/>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49"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199"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199"/>
      <c r="Q27" s="1839" t="str">
        <f t="shared" si="11"/>
        <v>项目停车位配比</v>
      </c>
      <c r="R27" s="1840" t="s">
        <v>14</v>
      </c>
      <c r="S27" s="1841">
        <f t="shared" si="12"/>
        <v>100</v>
      </c>
      <c r="T27" s="1840" t="s">
        <v>14</v>
      </c>
      <c r="U27" s="1841">
        <f t="shared" si="13"/>
        <v>100</v>
      </c>
      <c r="V27" s="1840" t="s">
        <v>14</v>
      </c>
      <c r="W27" s="1841">
        <f t="shared" si="14"/>
        <v>100</v>
      </c>
      <c r="X27" s="1842"/>
      <c r="Y27" s="3199"/>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199"/>
      <c r="Q28" s="1803" t="str">
        <f t="shared" si="11"/>
        <v>公共部分装修</v>
      </c>
      <c r="R28" s="1804" t="s">
        <v>14</v>
      </c>
      <c r="S28" s="1805">
        <f t="shared" si="12"/>
        <v>100</v>
      </c>
      <c r="T28" s="1804" t="s">
        <v>14</v>
      </c>
      <c r="U28" s="1805">
        <f t="shared" si="13"/>
        <v>100</v>
      </c>
      <c r="V28" s="1804" t="s">
        <v>14</v>
      </c>
      <c r="W28" s="1805">
        <f t="shared" si="14"/>
        <v>100</v>
      </c>
      <c r="X28" s="1743"/>
      <c r="Y28" s="3199"/>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199"/>
      <c r="Q29" s="1803" t="str">
        <f t="shared" si="11"/>
        <v>成新率</v>
      </c>
      <c r="R29" s="1804" t="s">
        <v>14</v>
      </c>
      <c r="S29" s="1805" t="e">
        <f t="shared" si="12"/>
        <v>#N/A</v>
      </c>
      <c r="T29" s="1804" t="s">
        <v>14</v>
      </c>
      <c r="U29" s="1805" t="e">
        <f t="shared" si="13"/>
        <v>#N/A</v>
      </c>
      <c r="V29" s="1804" t="s">
        <v>14</v>
      </c>
      <c r="W29" s="1805" t="e">
        <f t="shared" si="14"/>
        <v>#N/A</v>
      </c>
      <c r="X29" s="1743"/>
      <c r="Y29" s="3199"/>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199"/>
      <c r="Q30" s="1803" t="str">
        <f t="shared" si="11"/>
        <v>物业等级</v>
      </c>
      <c r="R30" s="1804" t="s">
        <v>14</v>
      </c>
      <c r="S30" s="1805">
        <f t="shared" si="12"/>
        <v>100</v>
      </c>
      <c r="T30" s="1804" t="s">
        <v>14</v>
      </c>
      <c r="U30" s="1805">
        <f t="shared" si="13"/>
        <v>100</v>
      </c>
      <c r="V30" s="1804" t="s">
        <v>14</v>
      </c>
      <c r="W30" s="1805">
        <f t="shared" si="14"/>
        <v>100</v>
      </c>
      <c r="X30" s="1743"/>
      <c r="Y30" s="3199"/>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199"/>
      <c r="Q31" s="1769" t="str">
        <f t="shared" si="11"/>
        <v>停车位面积</v>
      </c>
      <c r="R31" s="463" t="s">
        <v>14</v>
      </c>
      <c r="S31" s="1758" t="e">
        <f t="shared" si="12"/>
        <v>#N/A</v>
      </c>
      <c r="T31" s="463" t="s">
        <v>14</v>
      </c>
      <c r="U31" s="1758" t="e">
        <f t="shared" si="13"/>
        <v>#N/A</v>
      </c>
      <c r="V31" s="463" t="s">
        <v>14</v>
      </c>
      <c r="W31" s="1758" t="e">
        <f t="shared" si="14"/>
        <v>#N/A</v>
      </c>
      <c r="X31" s="1759"/>
      <c r="Y31" s="3199"/>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199" t="s">
        <v>1924</v>
      </c>
      <c r="Q32" s="1803" t="str">
        <f t="shared" si="11"/>
        <v>车位类型</v>
      </c>
      <c r="R32" s="1804" t="s">
        <v>14</v>
      </c>
      <c r="S32" s="1805">
        <f t="shared" si="12"/>
        <v>100</v>
      </c>
      <c r="T32" s="1804" t="s">
        <v>14</v>
      </c>
      <c r="U32" s="1805">
        <f t="shared" si="13"/>
        <v>100</v>
      </c>
      <c r="V32" s="1804" t="s">
        <v>14</v>
      </c>
      <c r="W32" s="1805">
        <f t="shared" si="14"/>
        <v>100</v>
      </c>
      <c r="X32" s="1743"/>
      <c r="Y32" s="3199"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199"/>
      <c r="Q33" s="1803" t="str">
        <f t="shared" si="11"/>
        <v>是否直接入户</v>
      </c>
      <c r="R33" s="1804" t="s">
        <v>14</v>
      </c>
      <c r="S33" s="1805">
        <f t="shared" si="12"/>
        <v>100</v>
      </c>
      <c r="T33" s="1804" t="s">
        <v>14</v>
      </c>
      <c r="U33" s="1805">
        <f t="shared" si="13"/>
        <v>100</v>
      </c>
      <c r="V33" s="1804" t="s">
        <v>14</v>
      </c>
      <c r="W33" s="1805">
        <f t="shared" si="14"/>
        <v>100</v>
      </c>
      <c r="X33" s="1743"/>
      <c r="Y33" s="3199"/>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199"/>
      <c r="Q34" s="1803">
        <f t="shared" si="11"/>
        <v>111</v>
      </c>
      <c r="R34" s="1804" t="s">
        <v>14</v>
      </c>
      <c r="S34" s="1805">
        <f t="shared" si="12"/>
        <v>100</v>
      </c>
      <c r="T34" s="1804" t="s">
        <v>14</v>
      </c>
      <c r="U34" s="1805">
        <f t="shared" si="13"/>
        <v>100</v>
      </c>
      <c r="V34" s="1804" t="s">
        <v>14</v>
      </c>
      <c r="W34" s="1805">
        <f t="shared" si="14"/>
        <v>100</v>
      </c>
      <c r="X34" s="1743"/>
      <c r="Y34" s="3199"/>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199"/>
      <c r="Q35" s="1839">
        <f t="shared" si="11"/>
        <v>111</v>
      </c>
      <c r="R35" s="1840" t="s">
        <v>14</v>
      </c>
      <c r="S35" s="1841">
        <f t="shared" si="12"/>
        <v>100</v>
      </c>
      <c r="T35" s="1840" t="s">
        <v>14</v>
      </c>
      <c r="U35" s="1841">
        <f t="shared" si="13"/>
        <v>100</v>
      </c>
      <c r="V35" s="1840" t="s">
        <v>14</v>
      </c>
      <c r="W35" s="1841">
        <f t="shared" si="14"/>
        <v>100</v>
      </c>
      <c r="X35" s="1842"/>
      <c r="Y35" s="3199"/>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199"/>
      <c r="Q36" s="1803">
        <f t="shared" si="11"/>
        <v>111</v>
      </c>
      <c r="R36" s="1804" t="s">
        <v>14</v>
      </c>
      <c r="S36" s="1805">
        <f t="shared" si="12"/>
        <v>100</v>
      </c>
      <c r="T36" s="1804" t="s">
        <v>14</v>
      </c>
      <c r="U36" s="1805">
        <f t="shared" si="13"/>
        <v>100</v>
      </c>
      <c r="V36" s="1804" t="s">
        <v>14</v>
      </c>
      <c r="W36" s="1805">
        <f t="shared" si="14"/>
        <v>100</v>
      </c>
      <c r="X36" s="1743"/>
      <c r="Y36" s="3199"/>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2" t="str">
        <f>A37</f>
        <v>成交单价</v>
      </c>
      <c r="Q37" s="3192"/>
      <c r="R37" s="3193">
        <f>E37</f>
        <v>0</v>
      </c>
      <c r="S37" s="3193"/>
      <c r="T37" s="3193">
        <f>G37</f>
        <v>0</v>
      </c>
      <c r="U37" s="3193"/>
      <c r="V37" s="3193">
        <f>I37</f>
        <v>0</v>
      </c>
      <c r="W37" s="3193"/>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2" t="str">
        <f>A38</f>
        <v>比较价值（元/平方米）</v>
      </c>
      <c r="Q38" s="3192"/>
      <c r="R38" s="3193" t="e">
        <f>IF(F1="售价",ROUND(PRODUCT(R37,AA7:AA36),0),ROUND(PRODUCT(R37,AA7:AA36),1))</f>
        <v>#DIV/0!</v>
      </c>
      <c r="S38" s="3193"/>
      <c r="T38" s="3193" t="e">
        <f>IF(F1="售价",ROUND(PRODUCT(T37,AB7:AB36),0),ROUND(PRODUCT(T37,AB7:AB36),1))</f>
        <v>#DIV/0!</v>
      </c>
      <c r="U38" s="3193"/>
      <c r="V38" s="3193" t="e">
        <f>IF(F1="售价",ROUND(PRODUCT(V37,AC7:AC36),0),ROUND(PRODUCT(V37,AC7:AC36),1))</f>
        <v>#DIV/0!</v>
      </c>
      <c r="W38" s="3193"/>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89" t="str">
        <f>A39</f>
        <v>估价对象XX用房的比较价值（楼面单价，元/平方米）</v>
      </c>
      <c r="Q39" s="3190"/>
      <c r="R39" s="3250" t="e">
        <f>IF(F1="售价",ROUND(IF(D38="简单平均",AVERAGE(R38:W38),R38*F38+T38*H38+V38*J38),0),ROUND(IF(D38="简单平均",AVERAGE(R38:V38),R38*F38+T38*H38+V38*J38),1))</f>
        <v>#DIV/0!</v>
      </c>
      <c r="S39" s="3250"/>
      <c r="T39" s="3250"/>
      <c r="U39" s="3250"/>
      <c r="V39" s="3250"/>
      <c r="W39" s="3250"/>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2022年8月23日（评估专业人员实地查勘之日）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07" t="s">
        <v>2005</v>
      </c>
      <c r="D4" s="3208"/>
      <c r="E4" s="3209" t="s">
        <v>2006</v>
      </c>
      <c r="F4" s="3210"/>
      <c r="G4" s="3207" t="s">
        <v>2007</v>
      </c>
      <c r="H4" s="3208"/>
      <c r="I4" s="3207" t="s">
        <v>2008</v>
      </c>
      <c r="J4" s="3208"/>
      <c r="K4" s="2042" t="s">
        <v>2009</v>
      </c>
      <c r="L4" s="1741"/>
      <c r="M4" s="1742"/>
      <c r="N4" s="1742"/>
      <c r="O4" s="1742"/>
      <c r="P4" s="3211" t="s">
        <v>2010</v>
      </c>
      <c r="Q4" s="3212"/>
      <c r="R4" s="3217" t="s">
        <v>2006</v>
      </c>
      <c r="S4" s="3218"/>
      <c r="T4" s="3217" t="s">
        <v>2007</v>
      </c>
      <c r="U4" s="3218"/>
      <c r="V4" s="3193" t="s">
        <v>2008</v>
      </c>
      <c r="W4" s="3193"/>
      <c r="X4" s="1743"/>
      <c r="Y4" s="3217" t="s">
        <v>2010</v>
      </c>
      <c r="Z4" s="3218"/>
      <c r="AA4" s="3204" t="s">
        <v>2006</v>
      </c>
      <c r="AB4" s="3205" t="s">
        <v>2007</v>
      </c>
      <c r="AC4" s="3204" t="s">
        <v>2008</v>
      </c>
    </row>
    <row r="5" spans="1:29" ht="15">
      <c r="A5" s="1745"/>
      <c r="B5" s="1746"/>
      <c r="C5" s="3225" t="s">
        <v>1901</v>
      </c>
      <c r="D5" s="3226"/>
      <c r="E5" s="3232" t="s">
        <v>1902</v>
      </c>
      <c r="F5" s="3233"/>
      <c r="G5" s="3225" t="s">
        <v>1903</v>
      </c>
      <c r="H5" s="3226"/>
      <c r="I5" s="3225" t="s">
        <v>1904</v>
      </c>
      <c r="J5" s="3226"/>
      <c r="K5" s="2042"/>
      <c r="L5" s="1741"/>
      <c r="M5" s="1742"/>
      <c r="N5" s="1742"/>
      <c r="O5" s="1742"/>
      <c r="P5" s="3213"/>
      <c r="Q5" s="3214"/>
      <c r="R5" s="3219"/>
      <c r="S5" s="3220"/>
      <c r="T5" s="3219"/>
      <c r="U5" s="3220"/>
      <c r="V5" s="3193"/>
      <c r="W5" s="3193"/>
      <c r="X5" s="1743"/>
      <c r="Y5" s="3219"/>
      <c r="Z5" s="3220"/>
      <c r="AA5" s="3205"/>
      <c r="AB5" s="3205"/>
      <c r="AC5" s="3205"/>
    </row>
    <row r="6" spans="1:29" ht="15.75" thickBot="1">
      <c r="A6" s="1748"/>
      <c r="B6" s="1749"/>
      <c r="C6" s="3223" t="s">
        <v>1905</v>
      </c>
      <c r="D6" s="3224"/>
      <c r="E6" s="3230" t="s">
        <v>1905</v>
      </c>
      <c r="F6" s="3231"/>
      <c r="G6" s="3223" t="s">
        <v>1905</v>
      </c>
      <c r="H6" s="3224"/>
      <c r="I6" s="3223" t="s">
        <v>1905</v>
      </c>
      <c r="J6" s="3224"/>
      <c r="K6" s="2042" t="s">
        <v>1906</v>
      </c>
      <c r="L6" s="1741"/>
      <c r="M6" s="1742"/>
      <c r="N6" s="1742"/>
      <c r="O6" s="1742"/>
      <c r="P6" s="3215"/>
      <c r="Q6" s="3216"/>
      <c r="R6" s="3219"/>
      <c r="S6" s="3220"/>
      <c r="T6" s="3221"/>
      <c r="U6" s="3222"/>
      <c r="V6" s="3193"/>
      <c r="W6" s="3193"/>
      <c r="X6" s="1743"/>
      <c r="Y6" s="3221"/>
      <c r="Z6" s="3222"/>
      <c r="AA6" s="3206"/>
      <c r="AB6" s="3206"/>
      <c r="AC6" s="3206"/>
    </row>
    <row r="7" spans="1:29" s="1760" customFormat="1" ht="15.75" thickBot="1">
      <c r="A7" s="1750" t="s">
        <v>1907</v>
      </c>
      <c r="B7" s="1751"/>
      <c r="C7" s="1752">
        <f>'数据-取费表'!B2</f>
        <v>44796</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27" t="s">
        <v>1908</v>
      </c>
      <c r="Q7" s="3229"/>
      <c r="R7" s="463" t="s">
        <v>14</v>
      </c>
      <c r="S7" s="1758">
        <f t="shared" ref="S7:S14" si="0">F7</f>
        <v>0</v>
      </c>
      <c r="T7" s="463" t="s">
        <v>14</v>
      </c>
      <c r="U7" s="1758">
        <f t="shared" ref="U7:U14" si="1">H7</f>
        <v>0</v>
      </c>
      <c r="V7" s="463" t="s">
        <v>14</v>
      </c>
      <c r="W7" s="1758">
        <f t="shared" ref="W7:W14" si="2">J7</f>
        <v>0</v>
      </c>
      <c r="X7" s="1759"/>
      <c r="Y7" s="3227" t="s">
        <v>1908</v>
      </c>
      <c r="Z7" s="3228"/>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27" t="s">
        <v>1911</v>
      </c>
      <c r="Q8" s="3228"/>
      <c r="R8" s="463" t="s">
        <v>14</v>
      </c>
      <c r="S8" s="1758">
        <f t="shared" si="0"/>
        <v>0</v>
      </c>
      <c r="T8" s="463" t="s">
        <v>14</v>
      </c>
      <c r="U8" s="1758">
        <f t="shared" si="1"/>
        <v>0</v>
      </c>
      <c r="V8" s="463" t="s">
        <v>14</v>
      </c>
      <c r="W8" s="1758">
        <f t="shared" si="2"/>
        <v>0</v>
      </c>
      <c r="X8" s="1759"/>
      <c r="Y8" s="3227" t="s">
        <v>1911</v>
      </c>
      <c r="Z8" s="3228"/>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2" t="s">
        <v>1914</v>
      </c>
      <c r="Q9" s="1769" t="str">
        <f t="shared" ref="Q9:Q14" si="6">B9</f>
        <v>用途</v>
      </c>
      <c r="R9" s="463" t="s">
        <v>14</v>
      </c>
      <c r="S9" s="1758">
        <f t="shared" si="0"/>
        <v>100</v>
      </c>
      <c r="T9" s="463" t="s">
        <v>14</v>
      </c>
      <c r="U9" s="1758">
        <f t="shared" si="1"/>
        <v>100</v>
      </c>
      <c r="V9" s="463" t="s">
        <v>14</v>
      </c>
      <c r="W9" s="1758">
        <f t="shared" si="2"/>
        <v>100</v>
      </c>
      <c r="X9" s="1759"/>
      <c r="Y9" s="3072"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2"/>
      <c r="Q10" s="1769" t="str">
        <f t="shared" si="6"/>
        <v>土地使用年限（年）</v>
      </c>
      <c r="R10" s="463" t="s">
        <v>14</v>
      </c>
      <c r="S10" s="1758">
        <f t="shared" si="0"/>
        <v>100</v>
      </c>
      <c r="T10" s="463" t="s">
        <v>14</v>
      </c>
      <c r="U10" s="1758">
        <f t="shared" si="1"/>
        <v>100</v>
      </c>
      <c r="V10" s="463" t="s">
        <v>14</v>
      </c>
      <c r="W10" s="1758">
        <f t="shared" si="2"/>
        <v>100</v>
      </c>
      <c r="X10" s="1759"/>
      <c r="Y10" s="3072"/>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2"/>
      <c r="Q11" s="1769">
        <f t="shared" si="6"/>
        <v>111</v>
      </c>
      <c r="R11" s="463" t="s">
        <v>14</v>
      </c>
      <c r="S11" s="1758">
        <f t="shared" si="0"/>
        <v>100</v>
      </c>
      <c r="T11" s="463" t="s">
        <v>14</v>
      </c>
      <c r="U11" s="1758">
        <f t="shared" si="1"/>
        <v>100</v>
      </c>
      <c r="V11" s="463" t="s">
        <v>14</v>
      </c>
      <c r="W11" s="1758">
        <f t="shared" si="2"/>
        <v>100</v>
      </c>
      <c r="X11" s="1759"/>
      <c r="Y11" s="3072"/>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2"/>
      <c r="Q12" s="1769">
        <f t="shared" si="6"/>
        <v>111</v>
      </c>
      <c r="R12" s="463" t="s">
        <v>14</v>
      </c>
      <c r="S12" s="1758">
        <f t="shared" si="0"/>
        <v>100</v>
      </c>
      <c r="T12" s="463" t="s">
        <v>14</v>
      </c>
      <c r="U12" s="1758">
        <f t="shared" si="1"/>
        <v>100</v>
      </c>
      <c r="V12" s="463" t="s">
        <v>14</v>
      </c>
      <c r="W12" s="1758">
        <f t="shared" si="2"/>
        <v>100</v>
      </c>
      <c r="X12" s="1759"/>
      <c r="Y12" s="3072"/>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2"/>
      <c r="Q13" s="1769">
        <f t="shared" si="6"/>
        <v>111</v>
      </c>
      <c r="R13" s="463" t="s">
        <v>14</v>
      </c>
      <c r="S13" s="1758">
        <f t="shared" si="0"/>
        <v>100</v>
      </c>
      <c r="T13" s="463" t="s">
        <v>14</v>
      </c>
      <c r="U13" s="1758">
        <f t="shared" si="1"/>
        <v>100</v>
      </c>
      <c r="V13" s="463" t="s">
        <v>14</v>
      </c>
      <c r="W13" s="1758">
        <f t="shared" si="2"/>
        <v>100</v>
      </c>
      <c r="X13" s="1759"/>
      <c r="Y13" s="3072"/>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194" t="s">
        <v>1919</v>
      </c>
      <c r="Q14" s="1803" t="str">
        <f t="shared" si="6"/>
        <v>交通便捷度</v>
      </c>
      <c r="R14" s="1804" t="s">
        <v>14</v>
      </c>
      <c r="S14" s="1805">
        <f t="shared" si="0"/>
        <v>100</v>
      </c>
      <c r="T14" s="1804" t="s">
        <v>14</v>
      </c>
      <c r="U14" s="1805">
        <f t="shared" si="1"/>
        <v>100</v>
      </c>
      <c r="V14" s="1804" t="s">
        <v>14</v>
      </c>
      <c r="W14" s="1805">
        <f t="shared" si="2"/>
        <v>100</v>
      </c>
      <c r="X14" s="1743"/>
      <c r="Y14" s="3194"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195"/>
      <c r="Q15" s="1803"/>
      <c r="R15" s="1804"/>
      <c r="S15" s="1805"/>
      <c r="T15" s="1804"/>
      <c r="U15" s="1805"/>
      <c r="V15" s="1804"/>
      <c r="W15" s="1805"/>
      <c r="X15" s="1743"/>
      <c r="Y15" s="3195"/>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195"/>
      <c r="Q16" s="1803" t="str">
        <f>B16</f>
        <v>公共配套设施</v>
      </c>
      <c r="R16" s="1804" t="s">
        <v>14</v>
      </c>
      <c r="S16" s="1805">
        <f>F16</f>
        <v>100</v>
      </c>
      <c r="T16" s="1804" t="s">
        <v>14</v>
      </c>
      <c r="U16" s="1805">
        <f>H16</f>
        <v>100</v>
      </c>
      <c r="V16" s="1804" t="s">
        <v>14</v>
      </c>
      <c r="W16" s="1805">
        <f>J16</f>
        <v>100</v>
      </c>
      <c r="X16" s="1743"/>
      <c r="Y16" s="3195"/>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195"/>
      <c r="Q17" s="1803"/>
      <c r="R17" s="1804"/>
      <c r="S17" s="1805"/>
      <c r="T17" s="1804"/>
      <c r="U17" s="1805"/>
      <c r="V17" s="1804"/>
      <c r="W17" s="1805"/>
      <c r="X17" s="1743"/>
      <c r="Y17" s="3195"/>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195"/>
      <c r="Q18" s="1803" t="str">
        <f>B18</f>
        <v>基础设施水平</v>
      </c>
      <c r="R18" s="1804" t="s">
        <v>14</v>
      </c>
      <c r="S18" s="1805">
        <f>F18</f>
        <v>100</v>
      </c>
      <c r="T18" s="1804" t="s">
        <v>14</v>
      </c>
      <c r="U18" s="1805">
        <f>H18</f>
        <v>100</v>
      </c>
      <c r="V18" s="1804" t="s">
        <v>14</v>
      </c>
      <c r="W18" s="1805">
        <f>J18</f>
        <v>100</v>
      </c>
      <c r="X18" s="1743"/>
      <c r="Y18" s="3195"/>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195"/>
      <c r="Q19" s="1803"/>
      <c r="R19" s="1804"/>
      <c r="S19" s="1805"/>
      <c r="T19" s="1804"/>
      <c r="U19" s="1805"/>
      <c r="V19" s="1804"/>
      <c r="W19" s="1805"/>
      <c r="X19" s="1743"/>
      <c r="Y19" s="3195"/>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195"/>
      <c r="Q20" s="1803" t="str">
        <f>B20</f>
        <v>自然及人文环境</v>
      </c>
      <c r="R20" s="1804" t="s">
        <v>14</v>
      </c>
      <c r="S20" s="1805">
        <f>F20</f>
        <v>100</v>
      </c>
      <c r="T20" s="1804" t="s">
        <v>14</v>
      </c>
      <c r="U20" s="1805">
        <f>H20</f>
        <v>100</v>
      </c>
      <c r="V20" s="1804" t="s">
        <v>14</v>
      </c>
      <c r="W20" s="1805">
        <f>J20</f>
        <v>100</v>
      </c>
      <c r="X20" s="1743"/>
      <c r="Y20" s="3195"/>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195"/>
      <c r="Q21" s="1803"/>
      <c r="R21" s="1804"/>
      <c r="S21" s="1805"/>
      <c r="T21" s="1804"/>
      <c r="U21" s="1805"/>
      <c r="V21" s="1804"/>
      <c r="W21" s="1805"/>
      <c r="X21" s="1743"/>
      <c r="Y21" s="3195"/>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195"/>
      <c r="Q22" s="1803" t="str">
        <f>B22</f>
        <v>楼层</v>
      </c>
      <c r="R22" s="1804" t="s">
        <v>14</v>
      </c>
      <c r="S22" s="1805">
        <f>F22</f>
        <v>100</v>
      </c>
      <c r="T22" s="1804" t="s">
        <v>14</v>
      </c>
      <c r="U22" s="1805">
        <f>H22</f>
        <v>100</v>
      </c>
      <c r="V22" s="1804" t="s">
        <v>14</v>
      </c>
      <c r="W22" s="1805">
        <f>J22</f>
        <v>100</v>
      </c>
      <c r="X22" s="1743"/>
      <c r="Y22" s="3195"/>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195"/>
      <c r="Q23" s="1803">
        <f>B23</f>
        <v>111</v>
      </c>
      <c r="R23" s="1804" t="s">
        <v>14</v>
      </c>
      <c r="S23" s="1805">
        <f>F23</f>
        <v>100</v>
      </c>
      <c r="T23" s="1804" t="s">
        <v>14</v>
      </c>
      <c r="U23" s="1805">
        <f>H23</f>
        <v>100</v>
      </c>
      <c r="V23" s="1804" t="s">
        <v>14</v>
      </c>
      <c r="W23" s="1805">
        <f>J23</f>
        <v>100</v>
      </c>
      <c r="X23" s="1743"/>
      <c r="Y23" s="3195"/>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195"/>
      <c r="Q24" s="1803">
        <f t="shared" ref="Q24:Q34" si="11">B24</f>
        <v>111</v>
      </c>
      <c r="R24" s="1804" t="s">
        <v>14</v>
      </c>
      <c r="S24" s="1805">
        <f>F24</f>
        <v>100</v>
      </c>
      <c r="T24" s="1804" t="s">
        <v>14</v>
      </c>
      <c r="U24" s="1805">
        <f>H24</f>
        <v>100</v>
      </c>
      <c r="V24" s="1804" t="s">
        <v>14</v>
      </c>
      <c r="W24" s="1805">
        <f>J24</f>
        <v>100</v>
      </c>
      <c r="X24" s="1743"/>
      <c r="Y24" s="3195"/>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195"/>
      <c r="Q25" s="1769">
        <f t="shared" si="11"/>
        <v>111</v>
      </c>
      <c r="R25" s="463" t="s">
        <v>14</v>
      </c>
      <c r="S25" s="1758">
        <f>F25</f>
        <v>100</v>
      </c>
      <c r="T25" s="463" t="s">
        <v>14</v>
      </c>
      <c r="U25" s="1758">
        <f>H25</f>
        <v>100</v>
      </c>
      <c r="V25" s="463" t="s">
        <v>14</v>
      </c>
      <c r="W25" s="1758">
        <f>J25</f>
        <v>100</v>
      </c>
      <c r="X25" s="1759"/>
      <c r="Y25" s="3195"/>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49"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199"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199"/>
      <c r="Q27" s="1839" t="str">
        <f t="shared" si="11"/>
        <v>成新率</v>
      </c>
      <c r="R27" s="1840" t="s">
        <v>14</v>
      </c>
      <c r="S27" s="1841" t="e">
        <f t="shared" si="12"/>
        <v>#N/A</v>
      </c>
      <c r="T27" s="1840" t="s">
        <v>14</v>
      </c>
      <c r="U27" s="1841" t="e">
        <f t="shared" si="13"/>
        <v>#N/A</v>
      </c>
      <c r="V27" s="1840" t="s">
        <v>14</v>
      </c>
      <c r="W27" s="1841" t="e">
        <f t="shared" si="14"/>
        <v>#N/A</v>
      </c>
      <c r="X27" s="1842"/>
      <c r="Y27" s="3199"/>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199"/>
      <c r="Q28" s="1803" t="str">
        <f t="shared" si="11"/>
        <v>物业等级</v>
      </c>
      <c r="R28" s="1804" t="s">
        <v>14</v>
      </c>
      <c r="S28" s="1805">
        <f t="shared" si="12"/>
        <v>100</v>
      </c>
      <c r="T28" s="1804" t="s">
        <v>14</v>
      </c>
      <c r="U28" s="1805">
        <f t="shared" si="13"/>
        <v>100</v>
      </c>
      <c r="V28" s="1804" t="s">
        <v>14</v>
      </c>
      <c r="W28" s="1805">
        <f t="shared" si="14"/>
        <v>100</v>
      </c>
      <c r="X28" s="1743"/>
      <c r="Y28" s="3199"/>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199"/>
      <c r="Q29" s="1803" t="str">
        <f t="shared" si="11"/>
        <v>有无电梯</v>
      </c>
      <c r="R29" s="1804" t="s">
        <v>14</v>
      </c>
      <c r="S29" s="1805">
        <f t="shared" si="12"/>
        <v>100</v>
      </c>
      <c r="T29" s="1804" t="s">
        <v>14</v>
      </c>
      <c r="U29" s="1805">
        <f t="shared" si="13"/>
        <v>100</v>
      </c>
      <c r="V29" s="1804" t="s">
        <v>14</v>
      </c>
      <c r="W29" s="1805">
        <f t="shared" si="14"/>
        <v>100</v>
      </c>
      <c r="X29" s="1743"/>
      <c r="Y29" s="3199"/>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199"/>
      <c r="Q30" s="1803" t="str">
        <f t="shared" si="11"/>
        <v>建筑面积</v>
      </c>
      <c r="R30" s="1804" t="s">
        <v>14</v>
      </c>
      <c r="S30" s="1805" t="e">
        <f t="shared" si="12"/>
        <v>#N/A</v>
      </c>
      <c r="T30" s="1804" t="s">
        <v>14</v>
      </c>
      <c r="U30" s="1805" t="e">
        <f t="shared" si="13"/>
        <v>#N/A</v>
      </c>
      <c r="V30" s="1804" t="s">
        <v>14</v>
      </c>
      <c r="W30" s="1805" t="e">
        <f t="shared" si="14"/>
        <v>#N/A</v>
      </c>
      <c r="X30" s="1743"/>
      <c r="Y30" s="3199"/>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199"/>
      <c r="Q31" s="1769" t="str">
        <f t="shared" si="11"/>
        <v>是否封闭</v>
      </c>
      <c r="R31" s="463" t="s">
        <v>14</v>
      </c>
      <c r="S31" s="1758">
        <f t="shared" si="12"/>
        <v>100</v>
      </c>
      <c r="T31" s="463" t="s">
        <v>14</v>
      </c>
      <c r="U31" s="1758">
        <f t="shared" si="13"/>
        <v>100</v>
      </c>
      <c r="V31" s="463" t="s">
        <v>14</v>
      </c>
      <c r="W31" s="1758">
        <f t="shared" si="14"/>
        <v>100</v>
      </c>
      <c r="X31" s="1759"/>
      <c r="Y31" s="3199"/>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199" t="s">
        <v>1924</v>
      </c>
      <c r="Q32" s="1803">
        <f t="shared" si="11"/>
        <v>111</v>
      </c>
      <c r="R32" s="1804" t="s">
        <v>14</v>
      </c>
      <c r="S32" s="1805">
        <f t="shared" si="12"/>
        <v>100</v>
      </c>
      <c r="T32" s="1804" t="s">
        <v>14</v>
      </c>
      <c r="U32" s="1805">
        <f t="shared" si="13"/>
        <v>100</v>
      </c>
      <c r="V32" s="1804" t="s">
        <v>14</v>
      </c>
      <c r="W32" s="1805">
        <f t="shared" si="14"/>
        <v>100</v>
      </c>
      <c r="X32" s="1743"/>
      <c r="Y32" s="3199"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199"/>
      <c r="Q33" s="1803">
        <f t="shared" si="11"/>
        <v>111</v>
      </c>
      <c r="R33" s="1804" t="s">
        <v>14</v>
      </c>
      <c r="S33" s="1805">
        <f t="shared" si="12"/>
        <v>100</v>
      </c>
      <c r="T33" s="1804" t="s">
        <v>14</v>
      </c>
      <c r="U33" s="1805">
        <f t="shared" si="13"/>
        <v>100</v>
      </c>
      <c r="V33" s="1804" t="s">
        <v>14</v>
      </c>
      <c r="W33" s="1805">
        <f t="shared" si="14"/>
        <v>100</v>
      </c>
      <c r="X33" s="1743"/>
      <c r="Y33" s="3199"/>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199"/>
      <c r="Q34" s="1803">
        <f t="shared" si="11"/>
        <v>111</v>
      </c>
      <c r="R34" s="1804" t="s">
        <v>14</v>
      </c>
      <c r="S34" s="1805">
        <f t="shared" si="12"/>
        <v>100</v>
      </c>
      <c r="T34" s="1804" t="s">
        <v>14</v>
      </c>
      <c r="U34" s="1805">
        <f t="shared" si="13"/>
        <v>100</v>
      </c>
      <c r="V34" s="1804" t="s">
        <v>14</v>
      </c>
      <c r="W34" s="1805">
        <f t="shared" si="14"/>
        <v>100</v>
      </c>
      <c r="X34" s="1743"/>
      <c r="Y34" s="3199"/>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2" t="str">
        <f>A35</f>
        <v>成交单价（元/平方米）</v>
      </c>
      <c r="Q35" s="3192"/>
      <c r="R35" s="3193">
        <f>E35</f>
        <v>0</v>
      </c>
      <c r="S35" s="3193"/>
      <c r="T35" s="3193">
        <f>G35</f>
        <v>0</v>
      </c>
      <c r="U35" s="3193"/>
      <c r="V35" s="3193">
        <f>I35</f>
        <v>0</v>
      </c>
      <c r="W35" s="3193"/>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2" t="str">
        <f>A36</f>
        <v>比较价值（元/平方米）</v>
      </c>
      <c r="Q36" s="3192"/>
      <c r="R36" s="3193" t="e">
        <f>IF(F1="售价",ROUND(PRODUCT(R35,AA7:AA34),0),ROUND(PRODUCT(R35,AA7:AA34),1))</f>
        <v>#DIV/0!</v>
      </c>
      <c r="S36" s="3193"/>
      <c r="T36" s="3193" t="e">
        <f>IF(F1="售价",ROUND(PRODUCT(T35,AB7:AB34),0),ROUND(PRODUCT(T35,AB7:AB34),1))</f>
        <v>#DIV/0!</v>
      </c>
      <c r="U36" s="3193"/>
      <c r="V36" s="3193" t="e">
        <f>IF(F1="售价",ROUND(PRODUCT(V35,AC7:AC34),0),ROUND(PRODUCT(V35,AC7:AC34),1))</f>
        <v>#DIV/0!</v>
      </c>
      <c r="W36" s="3193"/>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89" t="str">
        <f>A37</f>
        <v>估价对象XX用房的比较价值（楼面单价，元/平方米）</v>
      </c>
      <c r="Q37" s="3190"/>
      <c r="R37" s="3250" t="e">
        <f>IF(F1="售价",ROUND(IF(D36="简单平均",AVERAGE(R36:W36),R36*F36+T36*H36+V36*J36),0),ROUND(IF(D36="简单平均",AVERAGE(R36:V36),R36*F36+T36*H36+V36*J36),1))</f>
        <v>#DIV/0!</v>
      </c>
      <c r="S37" s="3250"/>
      <c r="T37" s="3250"/>
      <c r="U37" s="3250"/>
      <c r="V37" s="3250"/>
      <c r="W37" s="3250"/>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07" t="s">
        <v>2005</v>
      </c>
      <c r="D4" s="3208"/>
      <c r="E4" s="3209" t="s">
        <v>2006</v>
      </c>
      <c r="F4" s="3210"/>
      <c r="G4" s="3207" t="s">
        <v>2007</v>
      </c>
      <c r="H4" s="3208"/>
      <c r="I4" s="3207" t="s">
        <v>2008</v>
      </c>
      <c r="J4" s="3208"/>
      <c r="K4" s="2042" t="s">
        <v>2009</v>
      </c>
      <c r="L4" s="1741"/>
      <c r="M4" s="1742"/>
      <c r="N4" s="1742"/>
      <c r="O4" s="1742"/>
      <c r="P4" s="3211" t="s">
        <v>2010</v>
      </c>
      <c r="Q4" s="3212"/>
      <c r="R4" s="3217" t="s">
        <v>2006</v>
      </c>
      <c r="S4" s="3218"/>
      <c r="T4" s="3217" t="s">
        <v>2007</v>
      </c>
      <c r="U4" s="3218"/>
      <c r="V4" s="3193" t="s">
        <v>2008</v>
      </c>
      <c r="W4" s="3193"/>
      <c r="X4" s="1743"/>
      <c r="Y4" s="3217" t="s">
        <v>2010</v>
      </c>
      <c r="Z4" s="3218"/>
      <c r="AA4" s="3204" t="s">
        <v>2006</v>
      </c>
      <c r="AB4" s="3205" t="s">
        <v>2007</v>
      </c>
      <c r="AC4" s="3204" t="s">
        <v>2008</v>
      </c>
    </row>
    <row r="5" spans="1:30" ht="15">
      <c r="A5" s="1745"/>
      <c r="B5" s="1746"/>
      <c r="C5" s="3225" t="s">
        <v>1901</v>
      </c>
      <c r="D5" s="3226"/>
      <c r="E5" s="3232" t="s">
        <v>1902</v>
      </c>
      <c r="F5" s="3233"/>
      <c r="G5" s="3225" t="s">
        <v>1903</v>
      </c>
      <c r="H5" s="3226"/>
      <c r="I5" s="3225" t="s">
        <v>1904</v>
      </c>
      <c r="J5" s="3226"/>
      <c r="K5" s="2042"/>
      <c r="L5" s="1741"/>
      <c r="M5" s="1742"/>
      <c r="N5" s="1742"/>
      <c r="O5" s="1742"/>
      <c r="P5" s="3213"/>
      <c r="Q5" s="3214"/>
      <c r="R5" s="3219"/>
      <c r="S5" s="3220"/>
      <c r="T5" s="3219"/>
      <c r="U5" s="3220"/>
      <c r="V5" s="3193"/>
      <c r="W5" s="3193"/>
      <c r="X5" s="1743"/>
      <c r="Y5" s="3219"/>
      <c r="Z5" s="3220"/>
      <c r="AA5" s="3205"/>
      <c r="AB5" s="3205"/>
      <c r="AC5" s="3205"/>
    </row>
    <row r="6" spans="1:30" ht="15.75" thickBot="1">
      <c r="A6" s="1748"/>
      <c r="B6" s="1749"/>
      <c r="C6" s="3223" t="s">
        <v>1905</v>
      </c>
      <c r="D6" s="3224"/>
      <c r="E6" s="3230" t="s">
        <v>1905</v>
      </c>
      <c r="F6" s="3231"/>
      <c r="G6" s="3223" t="s">
        <v>1905</v>
      </c>
      <c r="H6" s="3224"/>
      <c r="I6" s="3223" t="s">
        <v>1905</v>
      </c>
      <c r="J6" s="3224"/>
      <c r="K6" s="2042" t="s">
        <v>1906</v>
      </c>
      <c r="L6" s="1741"/>
      <c r="M6" s="1742"/>
      <c r="N6" s="1742"/>
      <c r="O6" s="1742"/>
      <c r="P6" s="3215"/>
      <c r="Q6" s="3216"/>
      <c r="R6" s="3219"/>
      <c r="S6" s="3220"/>
      <c r="T6" s="3221"/>
      <c r="U6" s="3222"/>
      <c r="V6" s="3193"/>
      <c r="W6" s="3193"/>
      <c r="X6" s="1743"/>
      <c r="Y6" s="3221"/>
      <c r="Z6" s="3222"/>
      <c r="AA6" s="3206"/>
      <c r="AB6" s="3206"/>
      <c r="AC6" s="3206"/>
    </row>
    <row r="7" spans="1:30" s="1760" customFormat="1" ht="15.75" thickBot="1">
      <c r="A7" s="1750" t="s">
        <v>1907</v>
      </c>
      <c r="B7" s="1751"/>
      <c r="C7" s="1752">
        <f>'数据-取费表'!B2</f>
        <v>44796</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27" t="s">
        <v>1908</v>
      </c>
      <c r="Q7" s="3229"/>
      <c r="R7" s="463" t="s">
        <v>14</v>
      </c>
      <c r="S7" s="1758">
        <f t="shared" ref="S7:S15" si="0">F7</f>
        <v>0</v>
      </c>
      <c r="T7" s="463" t="s">
        <v>14</v>
      </c>
      <c r="U7" s="1758">
        <f t="shared" ref="U7:U15" si="1">H7</f>
        <v>0</v>
      </c>
      <c r="V7" s="463" t="s">
        <v>14</v>
      </c>
      <c r="W7" s="1758">
        <f t="shared" ref="W7:W15" si="2">J7</f>
        <v>0</v>
      </c>
      <c r="X7" s="1759"/>
      <c r="Y7" s="3227" t="s">
        <v>1908</v>
      </c>
      <c r="Z7" s="3228"/>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27" t="s">
        <v>1911</v>
      </c>
      <c r="Q8" s="3228"/>
      <c r="R8" s="463" t="s">
        <v>14</v>
      </c>
      <c r="S8" s="1758">
        <f t="shared" si="0"/>
        <v>0</v>
      </c>
      <c r="T8" s="463" t="s">
        <v>14</v>
      </c>
      <c r="U8" s="1758">
        <f t="shared" si="1"/>
        <v>0</v>
      </c>
      <c r="V8" s="463" t="s">
        <v>14</v>
      </c>
      <c r="W8" s="1758">
        <f t="shared" si="2"/>
        <v>0</v>
      </c>
      <c r="X8" s="1759"/>
      <c r="Y8" s="3227" t="s">
        <v>1911</v>
      </c>
      <c r="Z8" s="3228"/>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2" t="s">
        <v>1914</v>
      </c>
      <c r="Q9" s="1769" t="str">
        <f t="shared" ref="Q9:Q15" si="6">B9</f>
        <v>用途</v>
      </c>
      <c r="R9" s="463" t="s">
        <v>14</v>
      </c>
      <c r="S9" s="1758">
        <f t="shared" si="0"/>
        <v>100</v>
      </c>
      <c r="T9" s="463" t="s">
        <v>14</v>
      </c>
      <c r="U9" s="1758">
        <f t="shared" si="1"/>
        <v>100</v>
      </c>
      <c r="V9" s="463" t="s">
        <v>14</v>
      </c>
      <c r="W9" s="1758">
        <f t="shared" si="2"/>
        <v>100</v>
      </c>
      <c r="X9" s="1759"/>
      <c r="Y9" s="3072"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2"/>
      <c r="Q10" s="1769" t="str">
        <f t="shared" si="6"/>
        <v>土地使用年限（年）</v>
      </c>
      <c r="R10" s="463" t="s">
        <v>14</v>
      </c>
      <c r="S10" s="1758" t="e">
        <f t="shared" si="0"/>
        <v>#DIV/0!</v>
      </c>
      <c r="T10" s="463" t="s">
        <v>14</v>
      </c>
      <c r="U10" s="1758" t="e">
        <f t="shared" si="1"/>
        <v>#DIV/0!</v>
      </c>
      <c r="V10" s="463" t="s">
        <v>14</v>
      </c>
      <c r="W10" s="1758" t="e">
        <f t="shared" si="2"/>
        <v>#DIV/0!</v>
      </c>
      <c r="X10" s="1759"/>
      <c r="Y10" s="3072"/>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2"/>
      <c r="Q11" s="1769" t="str">
        <f t="shared" si="6"/>
        <v>容积率</v>
      </c>
      <c r="R11" s="463" t="s">
        <v>14</v>
      </c>
      <c r="S11" s="1758" t="e">
        <f t="shared" si="0"/>
        <v>#N/A</v>
      </c>
      <c r="T11" s="463" t="s">
        <v>14</v>
      </c>
      <c r="U11" s="1758" t="e">
        <f t="shared" si="1"/>
        <v>#N/A</v>
      </c>
      <c r="V11" s="463" t="s">
        <v>14</v>
      </c>
      <c r="W11" s="1758" t="e">
        <f t="shared" si="2"/>
        <v>#N/A</v>
      </c>
      <c r="X11" s="1759"/>
      <c r="Y11" s="3072"/>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2"/>
      <c r="Q12" s="1769" t="str">
        <f t="shared" si="6"/>
        <v>配建</v>
      </c>
      <c r="R12" s="463" t="s">
        <v>14</v>
      </c>
      <c r="S12" s="1758">
        <f t="shared" si="0"/>
        <v>100</v>
      </c>
      <c r="T12" s="463" t="s">
        <v>14</v>
      </c>
      <c r="U12" s="1758">
        <f t="shared" si="1"/>
        <v>100</v>
      </c>
      <c r="V12" s="463" t="s">
        <v>14</v>
      </c>
      <c r="W12" s="1758">
        <f t="shared" si="2"/>
        <v>100</v>
      </c>
      <c r="X12" s="1759"/>
      <c r="Y12" s="3072"/>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2"/>
      <c r="Q13" s="1769">
        <f t="shared" si="6"/>
        <v>111</v>
      </c>
      <c r="R13" s="463" t="s">
        <v>14</v>
      </c>
      <c r="S13" s="1758">
        <f t="shared" si="0"/>
        <v>100</v>
      </c>
      <c r="T13" s="463" t="s">
        <v>14</v>
      </c>
      <c r="U13" s="1758">
        <f t="shared" si="1"/>
        <v>100</v>
      </c>
      <c r="V13" s="463" t="s">
        <v>14</v>
      </c>
      <c r="W13" s="1758">
        <f t="shared" si="2"/>
        <v>100</v>
      </c>
      <c r="X13" s="1759"/>
      <c r="Y13" s="3072"/>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2"/>
      <c r="Q14" s="1769">
        <f t="shared" si="6"/>
        <v>111</v>
      </c>
      <c r="R14" s="463" t="s">
        <v>14</v>
      </c>
      <c r="S14" s="1758">
        <f t="shared" si="0"/>
        <v>100</v>
      </c>
      <c r="T14" s="463" t="s">
        <v>14</v>
      </c>
      <c r="U14" s="1758">
        <f t="shared" si="1"/>
        <v>100</v>
      </c>
      <c r="V14" s="463" t="s">
        <v>14</v>
      </c>
      <c r="W14" s="1758">
        <f t="shared" si="2"/>
        <v>100</v>
      </c>
      <c r="X14" s="1759"/>
      <c r="Y14" s="3072"/>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194" t="s">
        <v>1919</v>
      </c>
      <c r="Q15" s="1803" t="str">
        <f t="shared" si="6"/>
        <v>居住社区成熟度</v>
      </c>
      <c r="R15" s="1804" t="s">
        <v>14</v>
      </c>
      <c r="S15" s="1805">
        <f t="shared" si="0"/>
        <v>100</v>
      </c>
      <c r="T15" s="1804" t="s">
        <v>14</v>
      </c>
      <c r="U15" s="1805">
        <f t="shared" si="1"/>
        <v>100</v>
      </c>
      <c r="V15" s="1804" t="s">
        <v>14</v>
      </c>
      <c r="W15" s="1805">
        <f t="shared" si="2"/>
        <v>100</v>
      </c>
      <c r="X15" s="1743"/>
      <c r="Y15" s="3194"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195"/>
      <c r="Q16" s="1803"/>
      <c r="R16" s="1804"/>
      <c r="S16" s="1805"/>
      <c r="T16" s="1804"/>
      <c r="U16" s="1805"/>
      <c r="V16" s="1804"/>
      <c r="W16" s="1805"/>
      <c r="X16" s="1743"/>
      <c r="Y16" s="3195"/>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195"/>
      <c r="Q17" s="1803" t="str">
        <f>B17</f>
        <v>商业繁华度</v>
      </c>
      <c r="R17" s="1804" t="s">
        <v>14</v>
      </c>
      <c r="S17" s="1805">
        <f>F17</f>
        <v>100</v>
      </c>
      <c r="T17" s="1804" t="s">
        <v>14</v>
      </c>
      <c r="U17" s="1805">
        <f>H17</f>
        <v>100</v>
      </c>
      <c r="V17" s="1804" t="s">
        <v>14</v>
      </c>
      <c r="W17" s="1805">
        <f>J17</f>
        <v>100</v>
      </c>
      <c r="X17" s="1743"/>
      <c r="Y17" s="3195"/>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195"/>
      <c r="Q18" s="1803"/>
      <c r="R18" s="1804"/>
      <c r="S18" s="1805"/>
      <c r="T18" s="1804"/>
      <c r="U18" s="1805"/>
      <c r="V18" s="1804"/>
      <c r="W18" s="1805"/>
      <c r="X18" s="1743"/>
      <c r="Y18" s="3195"/>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195"/>
      <c r="Q19" s="1803" t="str">
        <f>B19</f>
        <v>办公集聚程度</v>
      </c>
      <c r="R19" s="1804" t="s">
        <v>14</v>
      </c>
      <c r="S19" s="1805">
        <f>F19</f>
        <v>100</v>
      </c>
      <c r="T19" s="1804" t="s">
        <v>14</v>
      </c>
      <c r="U19" s="1805">
        <f>H19</f>
        <v>100</v>
      </c>
      <c r="V19" s="1804" t="s">
        <v>14</v>
      </c>
      <c r="W19" s="1805">
        <f>J19</f>
        <v>100</v>
      </c>
      <c r="X19" s="1743"/>
      <c r="Y19" s="3195"/>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195"/>
      <c r="Q20" s="1803"/>
      <c r="R20" s="1804"/>
      <c r="S20" s="1805"/>
      <c r="T20" s="1804"/>
      <c r="U20" s="1805"/>
      <c r="V20" s="1804"/>
      <c r="W20" s="1805"/>
      <c r="X20" s="1743"/>
      <c r="Y20" s="3195"/>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195"/>
      <c r="Q21" s="1803" t="str">
        <f>B21</f>
        <v>交通便捷度</v>
      </c>
      <c r="R21" s="1804" t="s">
        <v>14</v>
      </c>
      <c r="S21" s="1805">
        <f>F21</f>
        <v>100</v>
      </c>
      <c r="T21" s="1804" t="s">
        <v>14</v>
      </c>
      <c r="U21" s="1805">
        <f>H21</f>
        <v>100</v>
      </c>
      <c r="V21" s="1804" t="s">
        <v>14</v>
      </c>
      <c r="W21" s="1805">
        <f>J21</f>
        <v>100</v>
      </c>
      <c r="X21" s="1743"/>
      <c r="Y21" s="3195"/>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195"/>
      <c r="Q22" s="1803"/>
      <c r="R22" s="1804"/>
      <c r="S22" s="1805"/>
      <c r="T22" s="1804"/>
      <c r="U22" s="1805"/>
      <c r="V22" s="1804"/>
      <c r="W22" s="1805"/>
      <c r="X22" s="1743"/>
      <c r="Y22" s="3195"/>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195"/>
      <c r="Q23" s="1803" t="str">
        <f t="shared" ref="Q23:Q37" si="8">B23</f>
        <v>区域土地利用方向</v>
      </c>
      <c r="R23" s="1804" t="s">
        <v>14</v>
      </c>
      <c r="S23" s="1805">
        <f>F23</f>
        <v>100</v>
      </c>
      <c r="T23" s="1804" t="s">
        <v>14</v>
      </c>
      <c r="U23" s="1805">
        <f>H23</f>
        <v>100</v>
      </c>
      <c r="V23" s="1804" t="s">
        <v>14</v>
      </c>
      <c r="W23" s="1805">
        <f>J23</f>
        <v>100</v>
      </c>
      <c r="X23" s="1743"/>
      <c r="Y23" s="3195"/>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195"/>
      <c r="Q24" s="1803"/>
      <c r="R24" s="1804"/>
      <c r="S24" s="1805"/>
      <c r="T24" s="1804"/>
      <c r="U24" s="1805"/>
      <c r="V24" s="1804"/>
      <c r="W24" s="1805"/>
      <c r="X24" s="1743"/>
      <c r="Y24" s="3195"/>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195"/>
      <c r="Q25" s="1803" t="str">
        <f t="shared" si="8"/>
        <v>自然及人文环境状况</v>
      </c>
      <c r="R25" s="1804" t="s">
        <v>14</v>
      </c>
      <c r="S25" s="1805">
        <f>F25</f>
        <v>100</v>
      </c>
      <c r="T25" s="1804" t="s">
        <v>14</v>
      </c>
      <c r="U25" s="1805">
        <f>H25</f>
        <v>100</v>
      </c>
      <c r="V25" s="1804" t="s">
        <v>14</v>
      </c>
      <c r="W25" s="1805">
        <f>J25</f>
        <v>100</v>
      </c>
      <c r="X25" s="1743"/>
      <c r="Y25" s="3195"/>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195"/>
      <c r="Q26" s="1803"/>
      <c r="R26" s="1804"/>
      <c r="S26" s="1805"/>
      <c r="T26" s="1804"/>
      <c r="U26" s="1805"/>
      <c r="V26" s="1804"/>
      <c r="W26" s="1805"/>
      <c r="X26" s="1743"/>
      <c r="Y26" s="3195"/>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195"/>
      <c r="Q27" s="1769" t="str">
        <f t="shared" si="8"/>
        <v>公共配套设施</v>
      </c>
      <c r="R27" s="463" t="s">
        <v>14</v>
      </c>
      <c r="S27" s="1758">
        <f>F27</f>
        <v>100</v>
      </c>
      <c r="T27" s="463" t="s">
        <v>14</v>
      </c>
      <c r="U27" s="1758">
        <f>H27</f>
        <v>100</v>
      </c>
      <c r="V27" s="463" t="s">
        <v>14</v>
      </c>
      <c r="W27" s="1758">
        <f>J27</f>
        <v>100</v>
      </c>
      <c r="X27" s="1759"/>
      <c r="Y27" s="3195"/>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195"/>
      <c r="Q28" s="1769"/>
      <c r="R28" s="463"/>
      <c r="S28" s="1758"/>
      <c r="T28" s="463"/>
      <c r="U28" s="1758"/>
      <c r="V28" s="463"/>
      <c r="W28" s="1758"/>
      <c r="X28" s="1759"/>
      <c r="Y28" s="3195"/>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195"/>
      <c r="Q29" s="1769" t="str">
        <f t="shared" ref="Q29" si="9">B29</f>
        <v>基础设施水平</v>
      </c>
      <c r="R29" s="463" t="s">
        <v>14</v>
      </c>
      <c r="S29" s="1758">
        <f>F29</f>
        <v>100</v>
      </c>
      <c r="T29" s="463" t="s">
        <v>14</v>
      </c>
      <c r="U29" s="1758">
        <f>H29</f>
        <v>100</v>
      </c>
      <c r="V29" s="463" t="s">
        <v>14</v>
      </c>
      <c r="W29" s="1758">
        <f>J29</f>
        <v>100</v>
      </c>
      <c r="X29" s="1759"/>
      <c r="Y29" s="3195"/>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195"/>
      <c r="Q30" s="1769"/>
      <c r="R30" s="463"/>
      <c r="S30" s="1758"/>
      <c r="T30" s="463"/>
      <c r="U30" s="1758"/>
      <c r="V30" s="463"/>
      <c r="W30" s="1758"/>
      <c r="X30" s="1759"/>
      <c r="Y30" s="3195"/>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195"/>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195"/>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195"/>
      <c r="Q32" s="1803" t="str">
        <f t="shared" si="8"/>
        <v>毗邻道路的类型与等级</v>
      </c>
      <c r="R32" s="1804" t="s">
        <v>14</v>
      </c>
      <c r="S32" s="1805">
        <f t="shared" si="10"/>
        <v>100</v>
      </c>
      <c r="T32" s="1804" t="s">
        <v>14</v>
      </c>
      <c r="U32" s="1805">
        <f t="shared" si="11"/>
        <v>100</v>
      </c>
      <c r="V32" s="1804" t="s">
        <v>14</v>
      </c>
      <c r="W32" s="1805">
        <f t="shared" si="12"/>
        <v>100</v>
      </c>
      <c r="X32" s="1743"/>
      <c r="Y32" s="3195"/>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195"/>
      <c r="Q33" s="1803"/>
      <c r="R33" s="1804"/>
      <c r="S33" s="1805"/>
      <c r="T33" s="1804"/>
      <c r="U33" s="1805"/>
      <c r="V33" s="1804"/>
      <c r="W33" s="1805"/>
      <c r="X33" s="1743"/>
      <c r="Y33" s="3195"/>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195"/>
      <c r="Q34" s="1803" t="str">
        <f t="shared" si="8"/>
        <v>土地级别</v>
      </c>
      <c r="R34" s="1804" t="s">
        <v>14</v>
      </c>
      <c r="S34" s="1805">
        <f t="shared" si="10"/>
        <v>100</v>
      </c>
      <c r="T34" s="1804" t="s">
        <v>14</v>
      </c>
      <c r="U34" s="1805">
        <f t="shared" si="11"/>
        <v>100</v>
      </c>
      <c r="V34" s="1804" t="s">
        <v>14</v>
      </c>
      <c r="W34" s="1805">
        <f t="shared" si="12"/>
        <v>100</v>
      </c>
      <c r="X34" s="1743"/>
      <c r="Y34" s="3195"/>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195"/>
      <c r="Q35" s="1803">
        <f t="shared" si="8"/>
        <v>111</v>
      </c>
      <c r="R35" s="1804" t="s">
        <v>14</v>
      </c>
      <c r="S35" s="1805">
        <f t="shared" si="10"/>
        <v>100</v>
      </c>
      <c r="T35" s="1804" t="s">
        <v>14</v>
      </c>
      <c r="U35" s="1805">
        <f t="shared" si="11"/>
        <v>100</v>
      </c>
      <c r="V35" s="1804" t="s">
        <v>14</v>
      </c>
      <c r="W35" s="1805">
        <f t="shared" si="12"/>
        <v>100</v>
      </c>
      <c r="X35" s="1743"/>
      <c r="Y35" s="3195"/>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49" t="s">
        <v>1924</v>
      </c>
      <c r="Q36" s="1803">
        <f t="shared" si="8"/>
        <v>111</v>
      </c>
      <c r="R36" s="1804" t="s">
        <v>14</v>
      </c>
      <c r="S36" s="1805">
        <f t="shared" si="10"/>
        <v>100</v>
      </c>
      <c r="T36" s="1804" t="s">
        <v>14</v>
      </c>
      <c r="U36" s="1805">
        <f t="shared" si="11"/>
        <v>100</v>
      </c>
      <c r="V36" s="1804" t="s">
        <v>14</v>
      </c>
      <c r="W36" s="1805">
        <f t="shared" si="12"/>
        <v>100</v>
      </c>
      <c r="X36" s="1743"/>
      <c r="Y36" s="3199"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199"/>
      <c r="Q37" s="1803">
        <f t="shared" si="8"/>
        <v>111</v>
      </c>
      <c r="R37" s="1840" t="s">
        <v>14</v>
      </c>
      <c r="S37" s="1841">
        <f t="shared" si="10"/>
        <v>100</v>
      </c>
      <c r="T37" s="1840" t="s">
        <v>14</v>
      </c>
      <c r="U37" s="1841">
        <f t="shared" si="11"/>
        <v>100</v>
      </c>
      <c r="V37" s="1840" t="s">
        <v>14</v>
      </c>
      <c r="W37" s="1841">
        <f t="shared" si="12"/>
        <v>100</v>
      </c>
      <c r="X37" s="1842"/>
      <c r="Y37" s="3199"/>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199"/>
      <c r="Q38" s="1803" t="str">
        <f>B38</f>
        <v>宗地面积</v>
      </c>
      <c r="R38" s="1804" t="s">
        <v>14</v>
      </c>
      <c r="S38" s="1805" t="e">
        <f t="shared" si="10"/>
        <v>#N/A</v>
      </c>
      <c r="T38" s="1804" t="s">
        <v>14</v>
      </c>
      <c r="U38" s="1805" t="e">
        <f t="shared" si="11"/>
        <v>#N/A</v>
      </c>
      <c r="V38" s="1804" t="s">
        <v>14</v>
      </c>
      <c r="W38" s="1805" t="e">
        <f t="shared" si="12"/>
        <v>#N/A</v>
      </c>
      <c r="X38" s="1743"/>
      <c r="Y38" s="3199"/>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199"/>
      <c r="Q39" s="1803" t="str">
        <f t="shared" ref="Q39:Q45" si="14">B39</f>
        <v>宗地形状</v>
      </c>
      <c r="R39" s="1804" t="s">
        <v>14</v>
      </c>
      <c r="S39" s="1805">
        <f t="shared" si="10"/>
        <v>100</v>
      </c>
      <c r="T39" s="1804" t="s">
        <v>14</v>
      </c>
      <c r="U39" s="1805">
        <f t="shared" si="11"/>
        <v>100</v>
      </c>
      <c r="V39" s="1804" t="s">
        <v>14</v>
      </c>
      <c r="W39" s="1805">
        <f t="shared" si="12"/>
        <v>100</v>
      </c>
      <c r="X39" s="1743"/>
      <c r="Y39" s="3199"/>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199"/>
      <c r="Q40" s="1803" t="str">
        <f t="shared" si="14"/>
        <v>临街宽度及深度</v>
      </c>
      <c r="R40" s="1804" t="s">
        <v>14</v>
      </c>
      <c r="S40" s="1805">
        <f t="shared" si="10"/>
        <v>100</v>
      </c>
      <c r="T40" s="1804" t="s">
        <v>14</v>
      </c>
      <c r="U40" s="1805">
        <f t="shared" si="11"/>
        <v>100</v>
      </c>
      <c r="V40" s="1804" t="s">
        <v>14</v>
      </c>
      <c r="W40" s="1805">
        <f t="shared" si="12"/>
        <v>100</v>
      </c>
      <c r="X40" s="1743"/>
      <c r="Y40" s="3199"/>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199"/>
      <c r="Q41" s="1803" t="str">
        <f t="shared" si="14"/>
        <v>宗地开发程度</v>
      </c>
      <c r="R41" s="463" t="s">
        <v>14</v>
      </c>
      <c r="S41" s="1758">
        <f t="shared" si="10"/>
        <v>100</v>
      </c>
      <c r="T41" s="463" t="s">
        <v>14</v>
      </c>
      <c r="U41" s="1758">
        <f t="shared" si="11"/>
        <v>100</v>
      </c>
      <c r="V41" s="463" t="s">
        <v>14</v>
      </c>
      <c r="W41" s="1758">
        <f t="shared" si="12"/>
        <v>100</v>
      </c>
      <c r="X41" s="1759"/>
      <c r="Y41" s="3199"/>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199" t="s">
        <v>1924</v>
      </c>
      <c r="Q42" s="1803" t="str">
        <f t="shared" si="14"/>
        <v>工程地质条件</v>
      </c>
      <c r="R42" s="1804" t="s">
        <v>14</v>
      </c>
      <c r="S42" s="1805">
        <f t="shared" si="10"/>
        <v>100</v>
      </c>
      <c r="T42" s="1804" t="s">
        <v>14</v>
      </c>
      <c r="U42" s="1805">
        <f t="shared" si="11"/>
        <v>100</v>
      </c>
      <c r="V42" s="1804" t="s">
        <v>14</v>
      </c>
      <c r="W42" s="1805">
        <f t="shared" si="12"/>
        <v>100</v>
      </c>
      <c r="X42" s="1743"/>
      <c r="Y42" s="3199"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199"/>
      <c r="Q43" s="1803">
        <f t="shared" si="14"/>
        <v>111</v>
      </c>
      <c r="R43" s="1804" t="s">
        <v>14</v>
      </c>
      <c r="S43" s="1805">
        <f t="shared" si="10"/>
        <v>100</v>
      </c>
      <c r="T43" s="1804" t="s">
        <v>14</v>
      </c>
      <c r="U43" s="1805">
        <f t="shared" si="11"/>
        <v>100</v>
      </c>
      <c r="V43" s="1804" t="s">
        <v>14</v>
      </c>
      <c r="W43" s="1805">
        <f t="shared" si="12"/>
        <v>100</v>
      </c>
      <c r="X43" s="1743"/>
      <c r="Y43" s="3199"/>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199"/>
      <c r="Q44" s="1803">
        <f t="shared" si="14"/>
        <v>111</v>
      </c>
      <c r="R44" s="1804" t="s">
        <v>14</v>
      </c>
      <c r="S44" s="1805">
        <f t="shared" si="10"/>
        <v>100</v>
      </c>
      <c r="T44" s="1804" t="s">
        <v>14</v>
      </c>
      <c r="U44" s="1805">
        <f t="shared" si="11"/>
        <v>100</v>
      </c>
      <c r="V44" s="1804" t="s">
        <v>14</v>
      </c>
      <c r="W44" s="1805">
        <f t="shared" si="12"/>
        <v>100</v>
      </c>
      <c r="X44" s="1743"/>
      <c r="Y44" s="3199"/>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199"/>
      <c r="Q45" s="1803">
        <f t="shared" si="14"/>
        <v>111</v>
      </c>
      <c r="R45" s="1840" t="s">
        <v>14</v>
      </c>
      <c r="S45" s="1841">
        <f t="shared" si="10"/>
        <v>100</v>
      </c>
      <c r="T45" s="1840" t="s">
        <v>14</v>
      </c>
      <c r="U45" s="1841">
        <f t="shared" si="11"/>
        <v>100</v>
      </c>
      <c r="V45" s="1840" t="s">
        <v>14</v>
      </c>
      <c r="W45" s="1841">
        <f t="shared" si="12"/>
        <v>100</v>
      </c>
      <c r="X45" s="1842"/>
      <c r="Y45" s="3199"/>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2" t="str">
        <f>A46</f>
        <v>成交单价</v>
      </c>
      <c r="Q46" s="3192"/>
      <c r="R46" s="3193">
        <f>E46</f>
        <v>0</v>
      </c>
      <c r="S46" s="3193"/>
      <c r="T46" s="3193">
        <f>G46</f>
        <v>0</v>
      </c>
      <c r="U46" s="3193"/>
      <c r="V46" s="3193">
        <f>I46</f>
        <v>0</v>
      </c>
      <c r="W46" s="3193"/>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2" t="str">
        <f>A47</f>
        <v>比较价值（元/平方米）</v>
      </c>
      <c r="Q47" s="3192"/>
      <c r="R47" s="3193" t="e">
        <f>ROUND(PRODUCT(R46,AA7:AA45),0)</f>
        <v>#DIV/0!</v>
      </c>
      <c r="S47" s="3193"/>
      <c r="T47" s="3193" t="e">
        <f>ROUND(PRODUCT(T46,AB7:AB45),0)</f>
        <v>#DIV/0!</v>
      </c>
      <c r="U47" s="3193"/>
      <c r="V47" s="3193" t="e">
        <f>ROUND(PRODUCT(V46,AC7:AC45),0)</f>
        <v>#DIV/0!</v>
      </c>
      <c r="W47" s="3193"/>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89" t="str">
        <f>A48</f>
        <v>估价对象XX用房的比较价值（楼面单价，元/平方米）</v>
      </c>
      <c r="Q48" s="3190"/>
      <c r="R48" s="3191" t="e">
        <f>ROUND(IF(D47="简单平均",AVERAGE(R47:W47),R47*F47+T47*H47+V47*J47),0)</f>
        <v>#DIV/0!</v>
      </c>
      <c r="S48" s="3191"/>
      <c r="T48" s="3191"/>
      <c r="U48" s="3191"/>
      <c r="V48" s="3191"/>
      <c r="W48" s="3191"/>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07" t="s">
        <v>2123</v>
      </c>
      <c r="H55" s="3251"/>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3"/>
      <c r="H56" s="3192"/>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2"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2"/>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2"/>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2"/>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0.25</v>
      </c>
      <c r="D61" s="2221">
        <v>0.25</v>
      </c>
      <c r="E61" s="1157">
        <f>'数据-汇总表'!E11</f>
        <v>0</v>
      </c>
      <c r="F61" s="1196" t="e">
        <f t="shared" si="15"/>
        <v>#DIV/0!</v>
      </c>
      <c r="G61" s="2224" t="s">
        <v>2133</v>
      </c>
      <c r="H61" s="2222" t="str">
        <f>项目基本情况!C37</f>
        <v>六级</v>
      </c>
      <c r="I61" s="1236">
        <f>SUMIF(修正!A57:A68,H61,修正!E57:E68)</f>
        <v>0.25</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0.25</v>
      </c>
      <c r="D62" s="2221">
        <v>0.25</v>
      </c>
      <c r="E62" s="1157">
        <f>'数据-汇总表'!E12</f>
        <v>0</v>
      </c>
      <c r="F62" s="1196" t="e">
        <f t="shared" si="15"/>
        <v>#DIV/0!</v>
      </c>
      <c r="G62" s="2225" t="s">
        <v>2135</v>
      </c>
      <c r="H62" s="2222" t="str">
        <f>IF(G62="商业",项目基本情况!B37,IF(G62="办公",项目基本情况!C37,IF(G62="住宅",项目基本情况!D37,项目基本情况!E37)))</f>
        <v>六级</v>
      </c>
      <c r="I62" s="1236">
        <f>SUMIF(修正!A57:A68,H62,修正!F57:F68)</f>
        <v>0.25</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0.15</v>
      </c>
      <c r="D65" s="2221">
        <v>0.25</v>
      </c>
      <c r="E65" s="1157">
        <f>'数据-汇总表'!E15</f>
        <v>0</v>
      </c>
      <c r="F65" s="1196" t="e">
        <f t="shared" si="15"/>
        <v>#DIV/0!</v>
      </c>
      <c r="G65" s="2226" t="s">
        <v>2133</v>
      </c>
      <c r="H65" s="2227" t="str">
        <f>项目基本情况!C37</f>
        <v>六级</v>
      </c>
      <c r="I65" s="2228">
        <f>SUMIF(修正!A57:A68,H65,修正!G57:G68)</f>
        <v>0.15</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07" t="s">
        <v>2005</v>
      </c>
      <c r="D4" s="3208"/>
      <c r="E4" s="3209" t="s">
        <v>2006</v>
      </c>
      <c r="F4" s="3210"/>
      <c r="G4" s="3207" t="s">
        <v>2007</v>
      </c>
      <c r="H4" s="3208"/>
      <c r="I4" s="3207" t="s">
        <v>2008</v>
      </c>
      <c r="J4" s="3208"/>
      <c r="K4" s="2042" t="s">
        <v>2009</v>
      </c>
      <c r="L4" s="1741"/>
      <c r="M4" s="1742"/>
      <c r="N4" s="1742"/>
      <c r="O4" s="1742"/>
      <c r="P4" s="3211" t="s">
        <v>2010</v>
      </c>
      <c r="Q4" s="3212"/>
      <c r="R4" s="3217" t="s">
        <v>2006</v>
      </c>
      <c r="S4" s="3218"/>
      <c r="T4" s="3217" t="s">
        <v>2007</v>
      </c>
      <c r="U4" s="3218"/>
      <c r="V4" s="3193" t="s">
        <v>2008</v>
      </c>
      <c r="W4" s="3193"/>
      <c r="X4" s="1743"/>
      <c r="Y4" s="3217" t="s">
        <v>2010</v>
      </c>
      <c r="Z4" s="3218"/>
      <c r="AA4" s="3204" t="s">
        <v>2006</v>
      </c>
      <c r="AB4" s="3205" t="s">
        <v>2007</v>
      </c>
      <c r="AC4" s="3204" t="s">
        <v>2008</v>
      </c>
    </row>
    <row r="5" spans="1:29" ht="15">
      <c r="A5" s="1745"/>
      <c r="B5" s="1746"/>
      <c r="C5" s="3225" t="s">
        <v>1901</v>
      </c>
      <c r="D5" s="3226"/>
      <c r="E5" s="3232" t="s">
        <v>1902</v>
      </c>
      <c r="F5" s="3233"/>
      <c r="G5" s="3225" t="s">
        <v>1903</v>
      </c>
      <c r="H5" s="3226"/>
      <c r="I5" s="3225" t="s">
        <v>1904</v>
      </c>
      <c r="J5" s="3226"/>
      <c r="K5" s="2042"/>
      <c r="L5" s="1741"/>
      <c r="M5" s="1742"/>
      <c r="N5" s="1742"/>
      <c r="O5" s="1742"/>
      <c r="P5" s="3213"/>
      <c r="Q5" s="3214"/>
      <c r="R5" s="3219"/>
      <c r="S5" s="3220"/>
      <c r="T5" s="3219"/>
      <c r="U5" s="3220"/>
      <c r="V5" s="3193"/>
      <c r="W5" s="3193"/>
      <c r="X5" s="1743"/>
      <c r="Y5" s="3219"/>
      <c r="Z5" s="3220"/>
      <c r="AA5" s="3205"/>
      <c r="AB5" s="3205"/>
      <c r="AC5" s="3205"/>
    </row>
    <row r="6" spans="1:29" ht="15.75" thickBot="1">
      <c r="A6" s="1748"/>
      <c r="B6" s="1749"/>
      <c r="C6" s="3253" t="s">
        <v>2156</v>
      </c>
      <c r="D6" s="3254"/>
      <c r="E6" s="3255" t="s">
        <v>2156</v>
      </c>
      <c r="F6" s="3256"/>
      <c r="G6" s="3253" t="s">
        <v>2156</v>
      </c>
      <c r="H6" s="3254"/>
      <c r="I6" s="3253" t="s">
        <v>2156</v>
      </c>
      <c r="J6" s="3254"/>
      <c r="K6" s="2042" t="s">
        <v>1906</v>
      </c>
      <c r="L6" s="1741"/>
      <c r="M6" s="1742"/>
      <c r="N6" s="1742"/>
      <c r="O6" s="1742"/>
      <c r="P6" s="3215"/>
      <c r="Q6" s="3216"/>
      <c r="R6" s="3219"/>
      <c r="S6" s="3220"/>
      <c r="T6" s="3221"/>
      <c r="U6" s="3222"/>
      <c r="V6" s="3193"/>
      <c r="W6" s="3193"/>
      <c r="X6" s="1743"/>
      <c r="Y6" s="3221"/>
      <c r="Z6" s="3222"/>
      <c r="AA6" s="3206"/>
      <c r="AB6" s="3206"/>
      <c r="AC6" s="3206"/>
    </row>
    <row r="7" spans="1:29" s="1760" customFormat="1" ht="15.75" thickBot="1">
      <c r="A7" s="1750" t="s">
        <v>1907</v>
      </c>
      <c r="B7" s="1751"/>
      <c r="C7" s="1752">
        <f>'数据-取费表'!B2</f>
        <v>44796</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27" t="s">
        <v>1908</v>
      </c>
      <c r="Q7" s="3229"/>
      <c r="R7" s="463" t="s">
        <v>14</v>
      </c>
      <c r="S7" s="1758">
        <f t="shared" ref="S7:S15" si="0">F7</f>
        <v>0</v>
      </c>
      <c r="T7" s="463" t="s">
        <v>14</v>
      </c>
      <c r="U7" s="1758">
        <f t="shared" ref="U7:U15" si="1">H7</f>
        <v>0</v>
      </c>
      <c r="V7" s="463" t="s">
        <v>14</v>
      </c>
      <c r="W7" s="1758">
        <f t="shared" ref="W7:W15" si="2">J7</f>
        <v>0</v>
      </c>
      <c r="X7" s="1759"/>
      <c r="Y7" s="3227" t="s">
        <v>1908</v>
      </c>
      <c r="Z7" s="3228"/>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27" t="s">
        <v>1911</v>
      </c>
      <c r="Q8" s="3228"/>
      <c r="R8" s="463" t="s">
        <v>14</v>
      </c>
      <c r="S8" s="1758">
        <f t="shared" si="0"/>
        <v>0</v>
      </c>
      <c r="T8" s="463" t="s">
        <v>14</v>
      </c>
      <c r="U8" s="1758">
        <f t="shared" si="1"/>
        <v>0</v>
      </c>
      <c r="V8" s="463" t="s">
        <v>14</v>
      </c>
      <c r="W8" s="1758">
        <f t="shared" si="2"/>
        <v>0</v>
      </c>
      <c r="X8" s="1759"/>
      <c r="Y8" s="3227" t="s">
        <v>1911</v>
      </c>
      <c r="Z8" s="3228"/>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2" t="s">
        <v>1914</v>
      </c>
      <c r="Q9" s="1769" t="str">
        <f t="shared" ref="Q9:Q15" si="6">B9</f>
        <v>用途</v>
      </c>
      <c r="R9" s="463" t="s">
        <v>14</v>
      </c>
      <c r="S9" s="1758">
        <f t="shared" si="0"/>
        <v>100</v>
      </c>
      <c r="T9" s="463" t="s">
        <v>14</v>
      </c>
      <c r="U9" s="1758">
        <f t="shared" si="1"/>
        <v>100</v>
      </c>
      <c r="V9" s="463" t="s">
        <v>14</v>
      </c>
      <c r="W9" s="1758">
        <f t="shared" si="2"/>
        <v>100</v>
      </c>
      <c r="X9" s="1759"/>
      <c r="Y9" s="3072"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2"/>
      <c r="Q10" s="1769" t="str">
        <f t="shared" si="6"/>
        <v>土地使用年限（年）</v>
      </c>
      <c r="R10" s="463" t="s">
        <v>14</v>
      </c>
      <c r="S10" s="1758" t="e">
        <f t="shared" si="0"/>
        <v>#DIV/0!</v>
      </c>
      <c r="T10" s="463" t="s">
        <v>14</v>
      </c>
      <c r="U10" s="1758" t="e">
        <f t="shared" si="1"/>
        <v>#DIV/0!</v>
      </c>
      <c r="V10" s="463" t="s">
        <v>14</v>
      </c>
      <c r="W10" s="1758" t="e">
        <f t="shared" si="2"/>
        <v>#DIV/0!</v>
      </c>
      <c r="X10" s="1759"/>
      <c r="Y10" s="3072"/>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2"/>
      <c r="Q11" s="1769" t="str">
        <f t="shared" si="6"/>
        <v>容积率</v>
      </c>
      <c r="R11" s="463" t="s">
        <v>14</v>
      </c>
      <c r="S11" s="1758" t="e">
        <f t="shared" si="0"/>
        <v>#N/A</v>
      </c>
      <c r="T11" s="463" t="s">
        <v>14</v>
      </c>
      <c r="U11" s="1758" t="e">
        <f t="shared" si="1"/>
        <v>#N/A</v>
      </c>
      <c r="V11" s="463" t="s">
        <v>14</v>
      </c>
      <c r="W11" s="1758" t="e">
        <f t="shared" si="2"/>
        <v>#N/A</v>
      </c>
      <c r="X11" s="1759"/>
      <c r="Y11" s="307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2"/>
      <c r="Q12" s="1769">
        <f t="shared" si="6"/>
        <v>111</v>
      </c>
      <c r="R12" s="463" t="s">
        <v>14</v>
      </c>
      <c r="S12" s="1758">
        <f t="shared" si="0"/>
        <v>100</v>
      </c>
      <c r="T12" s="463" t="s">
        <v>14</v>
      </c>
      <c r="U12" s="1758">
        <f t="shared" si="1"/>
        <v>100</v>
      </c>
      <c r="V12" s="463" t="s">
        <v>14</v>
      </c>
      <c r="W12" s="1758">
        <f t="shared" si="2"/>
        <v>100</v>
      </c>
      <c r="X12" s="1759"/>
      <c r="Y12" s="3072"/>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2"/>
      <c r="Q13" s="1769">
        <f t="shared" si="6"/>
        <v>111</v>
      </c>
      <c r="R13" s="463" t="s">
        <v>14</v>
      </c>
      <c r="S13" s="1758">
        <f t="shared" si="0"/>
        <v>100</v>
      </c>
      <c r="T13" s="463" t="s">
        <v>14</v>
      </c>
      <c r="U13" s="1758">
        <f t="shared" si="1"/>
        <v>100</v>
      </c>
      <c r="V13" s="463" t="s">
        <v>14</v>
      </c>
      <c r="W13" s="1758">
        <f t="shared" si="2"/>
        <v>100</v>
      </c>
      <c r="X13" s="1759"/>
      <c r="Y13" s="3072"/>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2"/>
      <c r="Q14" s="1769">
        <f t="shared" si="6"/>
        <v>111</v>
      </c>
      <c r="R14" s="463" t="s">
        <v>14</v>
      </c>
      <c r="S14" s="1758">
        <f t="shared" si="0"/>
        <v>100</v>
      </c>
      <c r="T14" s="463" t="s">
        <v>14</v>
      </c>
      <c r="U14" s="1758">
        <f t="shared" si="1"/>
        <v>100</v>
      </c>
      <c r="V14" s="463" t="s">
        <v>14</v>
      </c>
      <c r="W14" s="1758">
        <f t="shared" si="2"/>
        <v>100</v>
      </c>
      <c r="X14" s="1759"/>
      <c r="Y14" s="3072"/>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194" t="s">
        <v>1919</v>
      </c>
      <c r="Q15" s="1803" t="str">
        <f t="shared" si="6"/>
        <v>产业集聚程度</v>
      </c>
      <c r="R15" s="1804" t="s">
        <v>14</v>
      </c>
      <c r="S15" s="1805">
        <f t="shared" si="0"/>
        <v>100</v>
      </c>
      <c r="T15" s="1804" t="s">
        <v>14</v>
      </c>
      <c r="U15" s="1805">
        <f t="shared" si="1"/>
        <v>100</v>
      </c>
      <c r="V15" s="1804" t="s">
        <v>14</v>
      </c>
      <c r="W15" s="1805">
        <f t="shared" si="2"/>
        <v>100</v>
      </c>
      <c r="X15" s="1743"/>
      <c r="Y15" s="3194"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195"/>
      <c r="Q16" s="1803"/>
      <c r="R16" s="1804"/>
      <c r="S16" s="1805"/>
      <c r="T16" s="1804"/>
      <c r="U16" s="1805"/>
      <c r="V16" s="1804"/>
      <c r="W16" s="1805"/>
      <c r="X16" s="1743"/>
      <c r="Y16" s="3195"/>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195"/>
      <c r="Q17" s="1803" t="str">
        <f>B17</f>
        <v>交通便捷度</v>
      </c>
      <c r="R17" s="1804" t="s">
        <v>14</v>
      </c>
      <c r="S17" s="1805">
        <f>F17</f>
        <v>100</v>
      </c>
      <c r="T17" s="1804" t="s">
        <v>14</v>
      </c>
      <c r="U17" s="1805">
        <f>H17</f>
        <v>100</v>
      </c>
      <c r="V17" s="1804" t="s">
        <v>14</v>
      </c>
      <c r="W17" s="1805">
        <f>J17</f>
        <v>100</v>
      </c>
      <c r="X17" s="1743"/>
      <c r="Y17" s="3195"/>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195"/>
      <c r="Q18" s="1803"/>
      <c r="R18" s="1804"/>
      <c r="S18" s="1805"/>
      <c r="T18" s="1804"/>
      <c r="U18" s="1805"/>
      <c r="V18" s="1804"/>
      <c r="W18" s="1805"/>
      <c r="X18" s="1743"/>
      <c r="Y18" s="3195"/>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195"/>
      <c r="Q19" s="1803" t="str">
        <f t="shared" ref="Q19:Q33" si="8">B19</f>
        <v>区域土地利用方向</v>
      </c>
      <c r="R19" s="1804" t="s">
        <v>14</v>
      </c>
      <c r="S19" s="1805">
        <f>F19</f>
        <v>100</v>
      </c>
      <c r="T19" s="1804" t="s">
        <v>14</v>
      </c>
      <c r="U19" s="1805">
        <f>H19</f>
        <v>100</v>
      </c>
      <c r="V19" s="1804" t="s">
        <v>14</v>
      </c>
      <c r="W19" s="1805">
        <f>J19</f>
        <v>100</v>
      </c>
      <c r="X19" s="1743"/>
      <c r="Y19" s="3195"/>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195"/>
      <c r="Q20" s="1803"/>
      <c r="R20" s="1804"/>
      <c r="S20" s="1805"/>
      <c r="T20" s="1804"/>
      <c r="U20" s="1805"/>
      <c r="V20" s="1804"/>
      <c r="W20" s="1805"/>
      <c r="X20" s="1743"/>
      <c r="Y20" s="3195"/>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195"/>
      <c r="Q21" s="1803" t="str">
        <f t="shared" si="8"/>
        <v>环境状况</v>
      </c>
      <c r="R21" s="1804" t="s">
        <v>14</v>
      </c>
      <c r="S21" s="1805">
        <f>F21</f>
        <v>100</v>
      </c>
      <c r="T21" s="1804" t="s">
        <v>14</v>
      </c>
      <c r="U21" s="1805">
        <f>H21</f>
        <v>100</v>
      </c>
      <c r="V21" s="1804" t="s">
        <v>14</v>
      </c>
      <c r="W21" s="1805">
        <f>J21</f>
        <v>100</v>
      </c>
      <c r="X21" s="1743"/>
      <c r="Y21" s="3195"/>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195"/>
      <c r="Q22" s="1803"/>
      <c r="R22" s="1804"/>
      <c r="S22" s="1805"/>
      <c r="T22" s="1804"/>
      <c r="U22" s="1805"/>
      <c r="V22" s="1804"/>
      <c r="W22" s="1805"/>
      <c r="X22" s="1743"/>
      <c r="Y22" s="3195"/>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195"/>
      <c r="Q23" s="1769" t="str">
        <f t="shared" si="8"/>
        <v>公共配套设施</v>
      </c>
      <c r="R23" s="463" t="s">
        <v>14</v>
      </c>
      <c r="S23" s="1758">
        <f>F23</f>
        <v>100</v>
      </c>
      <c r="T23" s="463" t="s">
        <v>14</v>
      </c>
      <c r="U23" s="1758">
        <f>H23</f>
        <v>100</v>
      </c>
      <c r="V23" s="463" t="s">
        <v>14</v>
      </c>
      <c r="W23" s="1758">
        <f>J23</f>
        <v>100</v>
      </c>
      <c r="X23" s="1759"/>
      <c r="Y23" s="3195"/>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195"/>
      <c r="Q24" s="1769"/>
      <c r="R24" s="463"/>
      <c r="S24" s="1758"/>
      <c r="T24" s="463"/>
      <c r="U24" s="1758"/>
      <c r="V24" s="463"/>
      <c r="W24" s="1758"/>
      <c r="X24" s="1759"/>
      <c r="Y24" s="3195"/>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195"/>
      <c r="Q25" s="1769" t="str">
        <f t="shared" ref="Q25" si="9">B25</f>
        <v>基础设施水平</v>
      </c>
      <c r="R25" s="463" t="s">
        <v>14</v>
      </c>
      <c r="S25" s="1758">
        <f>F25</f>
        <v>100</v>
      </c>
      <c r="T25" s="463" t="s">
        <v>14</v>
      </c>
      <c r="U25" s="1758">
        <f>H25</f>
        <v>100</v>
      </c>
      <c r="V25" s="463" t="s">
        <v>14</v>
      </c>
      <c r="W25" s="1758">
        <f>J25</f>
        <v>100</v>
      </c>
      <c r="X25" s="1759"/>
      <c r="Y25" s="3195"/>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195"/>
      <c r="Q26" s="1769"/>
      <c r="R26" s="463"/>
      <c r="S26" s="1758"/>
      <c r="T26" s="463"/>
      <c r="U26" s="1758"/>
      <c r="V26" s="463"/>
      <c r="W26" s="1758"/>
      <c r="X26" s="1759"/>
      <c r="Y26" s="3195"/>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195"/>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195"/>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195"/>
      <c r="Q28" s="1803" t="str">
        <f t="shared" si="8"/>
        <v>毗邻道路的类型与等级</v>
      </c>
      <c r="R28" s="1804" t="s">
        <v>14</v>
      </c>
      <c r="S28" s="1805">
        <f t="shared" si="10"/>
        <v>100</v>
      </c>
      <c r="T28" s="1804" t="s">
        <v>14</v>
      </c>
      <c r="U28" s="1805">
        <f t="shared" si="11"/>
        <v>100</v>
      </c>
      <c r="V28" s="1804" t="s">
        <v>14</v>
      </c>
      <c r="W28" s="1805">
        <f t="shared" si="12"/>
        <v>100</v>
      </c>
      <c r="X28" s="1743"/>
      <c r="Y28" s="3195"/>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195"/>
      <c r="Q29" s="1803"/>
      <c r="R29" s="1804"/>
      <c r="S29" s="1805"/>
      <c r="T29" s="1804"/>
      <c r="U29" s="1805"/>
      <c r="V29" s="1804"/>
      <c r="W29" s="1805"/>
      <c r="X29" s="1743"/>
      <c r="Y29" s="3195"/>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195"/>
      <c r="Q30" s="1803" t="str">
        <f t="shared" si="8"/>
        <v>土地级别</v>
      </c>
      <c r="R30" s="1804" t="s">
        <v>14</v>
      </c>
      <c r="S30" s="1805">
        <f t="shared" si="10"/>
        <v>100</v>
      </c>
      <c r="T30" s="1804" t="s">
        <v>14</v>
      </c>
      <c r="U30" s="1805">
        <f t="shared" si="11"/>
        <v>100</v>
      </c>
      <c r="V30" s="1804" t="s">
        <v>14</v>
      </c>
      <c r="W30" s="1805">
        <f t="shared" si="12"/>
        <v>100</v>
      </c>
      <c r="X30" s="1743"/>
      <c r="Y30" s="3195"/>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195"/>
      <c r="Q31" s="1803">
        <f t="shared" si="8"/>
        <v>111</v>
      </c>
      <c r="R31" s="1804" t="s">
        <v>14</v>
      </c>
      <c r="S31" s="1805">
        <f t="shared" si="10"/>
        <v>100</v>
      </c>
      <c r="T31" s="1804" t="s">
        <v>14</v>
      </c>
      <c r="U31" s="1805">
        <f t="shared" si="11"/>
        <v>100</v>
      </c>
      <c r="V31" s="1804" t="s">
        <v>14</v>
      </c>
      <c r="W31" s="1805">
        <f t="shared" si="12"/>
        <v>100</v>
      </c>
      <c r="X31" s="1743"/>
      <c r="Y31" s="3195"/>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49" t="s">
        <v>1924</v>
      </c>
      <c r="Q32" s="1803">
        <f t="shared" si="8"/>
        <v>111</v>
      </c>
      <c r="R32" s="1804" t="s">
        <v>14</v>
      </c>
      <c r="S32" s="1805">
        <f t="shared" si="10"/>
        <v>100</v>
      </c>
      <c r="T32" s="1804" t="s">
        <v>14</v>
      </c>
      <c r="U32" s="1805">
        <f t="shared" si="11"/>
        <v>100</v>
      </c>
      <c r="V32" s="1804" t="s">
        <v>14</v>
      </c>
      <c r="W32" s="1805">
        <f t="shared" si="12"/>
        <v>100</v>
      </c>
      <c r="X32" s="1743"/>
      <c r="Y32" s="3199"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199"/>
      <c r="Q33" s="1803">
        <f t="shared" si="8"/>
        <v>111</v>
      </c>
      <c r="R33" s="1840" t="s">
        <v>14</v>
      </c>
      <c r="S33" s="1841">
        <f t="shared" si="10"/>
        <v>100</v>
      </c>
      <c r="T33" s="1840" t="s">
        <v>14</v>
      </c>
      <c r="U33" s="1841">
        <f t="shared" si="11"/>
        <v>100</v>
      </c>
      <c r="V33" s="1840" t="s">
        <v>14</v>
      </c>
      <c r="W33" s="1841">
        <f t="shared" si="12"/>
        <v>100</v>
      </c>
      <c r="X33" s="1842"/>
      <c r="Y33" s="3199"/>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199"/>
      <c r="Q34" s="1803" t="str">
        <f>B34</f>
        <v>宗地面积</v>
      </c>
      <c r="R34" s="1804" t="s">
        <v>14</v>
      </c>
      <c r="S34" s="1805" t="e">
        <f t="shared" si="10"/>
        <v>#N/A</v>
      </c>
      <c r="T34" s="1804" t="s">
        <v>14</v>
      </c>
      <c r="U34" s="1805" t="e">
        <f t="shared" si="11"/>
        <v>#N/A</v>
      </c>
      <c r="V34" s="1804" t="s">
        <v>14</v>
      </c>
      <c r="W34" s="1805" t="e">
        <f t="shared" si="12"/>
        <v>#N/A</v>
      </c>
      <c r="X34" s="1743"/>
      <c r="Y34" s="3199"/>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199"/>
      <c r="Q35" s="1803" t="str">
        <f t="shared" ref="Q35:Q40" si="14">B35</f>
        <v>宗地形状</v>
      </c>
      <c r="R35" s="1804" t="s">
        <v>14</v>
      </c>
      <c r="S35" s="1805">
        <f t="shared" si="10"/>
        <v>100</v>
      </c>
      <c r="T35" s="1804" t="s">
        <v>14</v>
      </c>
      <c r="U35" s="1805">
        <f t="shared" si="11"/>
        <v>100</v>
      </c>
      <c r="V35" s="1804" t="s">
        <v>14</v>
      </c>
      <c r="W35" s="1805">
        <f t="shared" si="12"/>
        <v>100</v>
      </c>
      <c r="X35" s="1743"/>
      <c r="Y35" s="3199"/>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199"/>
      <c r="Q36" s="1803" t="str">
        <f t="shared" si="14"/>
        <v>宗地开发程度</v>
      </c>
      <c r="R36" s="463" t="s">
        <v>14</v>
      </c>
      <c r="S36" s="1758">
        <f t="shared" si="10"/>
        <v>100</v>
      </c>
      <c r="T36" s="463" t="s">
        <v>14</v>
      </c>
      <c r="U36" s="1758">
        <f t="shared" si="11"/>
        <v>100</v>
      </c>
      <c r="V36" s="463" t="s">
        <v>14</v>
      </c>
      <c r="W36" s="1758">
        <f t="shared" si="12"/>
        <v>100</v>
      </c>
      <c r="X36" s="1759"/>
      <c r="Y36" s="3199"/>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199" t="s">
        <v>1924</v>
      </c>
      <c r="Q37" s="1803" t="str">
        <f t="shared" si="14"/>
        <v>工程地质条件</v>
      </c>
      <c r="R37" s="1804" t="s">
        <v>14</v>
      </c>
      <c r="S37" s="1805">
        <f t="shared" si="10"/>
        <v>100</v>
      </c>
      <c r="T37" s="1804" t="s">
        <v>14</v>
      </c>
      <c r="U37" s="1805">
        <f t="shared" si="11"/>
        <v>100</v>
      </c>
      <c r="V37" s="1804" t="s">
        <v>14</v>
      </c>
      <c r="W37" s="1805">
        <f t="shared" si="12"/>
        <v>100</v>
      </c>
      <c r="X37" s="1743"/>
      <c r="Y37" s="3199"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199"/>
      <c r="Q38" s="1803">
        <f t="shared" si="14"/>
        <v>111</v>
      </c>
      <c r="R38" s="1804" t="s">
        <v>14</v>
      </c>
      <c r="S38" s="1805">
        <f t="shared" si="10"/>
        <v>100</v>
      </c>
      <c r="T38" s="1804" t="s">
        <v>14</v>
      </c>
      <c r="U38" s="1805">
        <f t="shared" si="11"/>
        <v>100</v>
      </c>
      <c r="V38" s="1804" t="s">
        <v>14</v>
      </c>
      <c r="W38" s="1805">
        <f t="shared" si="12"/>
        <v>100</v>
      </c>
      <c r="X38" s="1743"/>
      <c r="Y38" s="3199"/>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199"/>
      <c r="Q39" s="1803">
        <f t="shared" si="14"/>
        <v>111</v>
      </c>
      <c r="R39" s="1804" t="s">
        <v>14</v>
      </c>
      <c r="S39" s="1805">
        <f t="shared" si="10"/>
        <v>100</v>
      </c>
      <c r="T39" s="1804" t="s">
        <v>14</v>
      </c>
      <c r="U39" s="1805">
        <f t="shared" si="11"/>
        <v>100</v>
      </c>
      <c r="V39" s="1804" t="s">
        <v>14</v>
      </c>
      <c r="W39" s="1805">
        <f t="shared" si="12"/>
        <v>100</v>
      </c>
      <c r="X39" s="1743"/>
      <c r="Y39" s="3199"/>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199"/>
      <c r="Q40" s="1803">
        <f t="shared" si="14"/>
        <v>111</v>
      </c>
      <c r="R40" s="1840" t="s">
        <v>14</v>
      </c>
      <c r="S40" s="1841">
        <f t="shared" si="10"/>
        <v>100</v>
      </c>
      <c r="T40" s="1840" t="s">
        <v>14</v>
      </c>
      <c r="U40" s="1841">
        <f t="shared" si="11"/>
        <v>100</v>
      </c>
      <c r="V40" s="1840" t="s">
        <v>14</v>
      </c>
      <c r="W40" s="1841">
        <f t="shared" si="12"/>
        <v>100</v>
      </c>
      <c r="X40" s="1842"/>
      <c r="Y40" s="3199"/>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2" t="str">
        <f>A41</f>
        <v>成交单价</v>
      </c>
      <c r="Q41" s="3192"/>
      <c r="R41" s="3193">
        <f>E41</f>
        <v>0</v>
      </c>
      <c r="S41" s="3193"/>
      <c r="T41" s="3193">
        <f>G41</f>
        <v>0</v>
      </c>
      <c r="U41" s="3193"/>
      <c r="V41" s="3193">
        <f>I41</f>
        <v>0</v>
      </c>
      <c r="W41" s="3193"/>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2" t="str">
        <f>A42</f>
        <v>比较价值（元/平方米）</v>
      </c>
      <c r="Q42" s="3192"/>
      <c r="R42" s="3193" t="e">
        <f>ROUND(PRODUCT(R41,AA7:AA40),0)</f>
        <v>#DIV/0!</v>
      </c>
      <c r="S42" s="3193"/>
      <c r="T42" s="3193" t="e">
        <f>ROUND(PRODUCT(T41,AB7:AB40),0)</f>
        <v>#DIV/0!</v>
      </c>
      <c r="U42" s="3193"/>
      <c r="V42" s="3193" t="e">
        <f>ROUND(PRODUCT(V41,AC7:AC40),0)</f>
        <v>#DIV/0!</v>
      </c>
      <c r="W42" s="3193"/>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89" t="str">
        <f>A43</f>
        <v>估价对象XX用房的比较价值（楼面单价，元/平方米）</v>
      </c>
      <c r="Q43" s="3190"/>
      <c r="R43" s="3191" t="e">
        <f>ROUND(IF(D42="简单平均",AVERAGE(R42:W42),R42*F42+T42*H42+V42*J42),0)</f>
        <v>#DIV/0!</v>
      </c>
      <c r="S43" s="3191"/>
      <c r="T43" s="3191"/>
      <c r="U43" s="3191"/>
      <c r="V43" s="3191"/>
      <c r="W43" s="3191"/>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07" t="s">
        <v>2123</v>
      </c>
      <c r="H50" s="3251"/>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3"/>
      <c r="H51" s="3192"/>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2"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2"/>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2"/>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2"/>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0.25</v>
      </c>
      <c r="D56" s="2221">
        <v>0.25</v>
      </c>
      <c r="E56" s="1157">
        <f>'数据-汇总表'!E11</f>
        <v>0</v>
      </c>
      <c r="F56" s="2249" t="e">
        <f t="shared" si="15"/>
        <v>#DIV/0!</v>
      </c>
      <c r="G56" s="2224" t="s">
        <v>2133</v>
      </c>
      <c r="H56" s="2222" t="str">
        <f>项目基本情况!C37</f>
        <v>六级</v>
      </c>
      <c r="I56" s="1235">
        <f>SUMIF(修正!A57:A68,H56,修正!E57:E68)</f>
        <v>0.25</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0.25</v>
      </c>
      <c r="D57" s="2221">
        <v>0.25</v>
      </c>
      <c r="E57" s="1157">
        <f>'数据-汇总表'!E12</f>
        <v>0</v>
      </c>
      <c r="F57" s="2249" t="e">
        <f t="shared" si="15"/>
        <v>#DIV/0!</v>
      </c>
      <c r="G57" s="2225" t="s">
        <v>2135</v>
      </c>
      <c r="H57" s="2222" t="str">
        <f>IF(G57="商业",项目基本情况!B37,IF(G57="办公",项目基本情况!C37,IF(G57="住宅",项目基本情况!D37,项目基本情况!E37)))</f>
        <v>六级</v>
      </c>
      <c r="I57" s="1235">
        <f>SUMIF(修正!A57:A68,H57,修正!F57:F68)</f>
        <v>0.25</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0.15</v>
      </c>
      <c r="D60" s="2221">
        <v>0.25</v>
      </c>
      <c r="E60" s="1157">
        <f>'数据-汇总表'!E15</f>
        <v>0</v>
      </c>
      <c r="F60" s="2249" t="e">
        <f t="shared" si="15"/>
        <v>#DIV/0!</v>
      </c>
      <c r="G60" s="2226" t="s">
        <v>2133</v>
      </c>
      <c r="H60" s="2227" t="str">
        <f>项目基本情况!C37</f>
        <v>六级</v>
      </c>
      <c r="I60" s="1235">
        <f>SUMIF(修正!A57:A68,H60,修正!G57:G68)</f>
        <v>0.15</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70" zoomScaleNormal="80" zoomScaleSheetLayoutView="70" workbookViewId="0">
      <selection activeCell="D30" sqref="D30"/>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377.44</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332</v>
      </c>
      <c r="C2" s="2266" t="s">
        <v>2172</v>
      </c>
      <c r="D2" s="473" t="s">
        <v>2173</v>
      </c>
      <c r="E2" s="2267" t="s">
        <v>24</v>
      </c>
      <c r="F2" s="473" t="s">
        <v>2174</v>
      </c>
      <c r="G2" s="473" t="str">
        <f>IF(E2="商业",项目基本情况!B37,IF(E2="办公",项目基本情况!C37,IF(E2="住宅",项目基本情况!D37,IF(E2="工业",项目基本情况!E37,项目基本情况!F37))))</f>
        <v>六级</v>
      </c>
      <c r="H2" s="473" t="s">
        <v>2175</v>
      </c>
      <c r="I2" s="473" t="str">
        <f>IF(E2="商业",项目基本情况!B38,IF(E2="办公",项目基本情况!C38,IF(E2="住宅",项目基本情况!D38,IF(E2="工业",项目基本情况!E38,项目基本情况!F38))))</f>
        <v>Ⅵ-亦4</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13206</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8796</v>
      </c>
      <c r="C3" s="2266" t="s">
        <v>2178</v>
      </c>
      <c r="D3" s="473" t="s">
        <v>2179</v>
      </c>
      <c r="E3" s="2267" t="s">
        <v>3101</v>
      </c>
      <c r="F3" s="2270" t="s">
        <v>3102</v>
      </c>
      <c r="G3" s="2271">
        <v>2.5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10409</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59"/>
      <c r="B4" s="3260"/>
      <c r="C4" s="3260"/>
      <c r="D4" s="3261"/>
      <c r="E4" s="3261"/>
      <c r="F4" s="3261"/>
      <c r="G4" s="3261"/>
      <c r="H4" s="3261"/>
      <c r="I4" s="3261"/>
      <c r="J4" s="3262"/>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8797</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9344</v>
      </c>
      <c r="D5" s="2274">
        <f>ROUND(C6*C17+C20,0)</f>
        <v>9344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7759</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9380</v>
      </c>
      <c r="D6" s="2285" t="s">
        <v>2188</v>
      </c>
      <c r="E6" s="2284"/>
      <c r="F6" s="2284"/>
      <c r="G6" s="2286"/>
      <c r="H6" s="2286"/>
      <c r="I6" s="2286"/>
      <c r="J6" s="2287"/>
      <c r="K6" s="1414"/>
      <c r="L6" s="2268" t="s">
        <v>2189</v>
      </c>
      <c r="M6" s="475">
        <f>SUMPRODUCT((区片价!B127:B189=I2)*(区片价!C3:G3=E2)*(区片价!C127:G189))</f>
        <v>9380</v>
      </c>
      <c r="N6" s="473">
        <f>SUMPRODUCT((因素修正幅度!B127:B189=I2)*(因素修正幅度!C3:G3=E2)*(因素修正幅度!C127:G189))</f>
        <v>0.128</v>
      </c>
      <c r="O6" s="2259"/>
      <c r="P6" s="2259"/>
      <c r="Q6" s="2259"/>
      <c r="R6" s="477">
        <v>5</v>
      </c>
      <c r="S6" s="477">
        <f>ROUND(SUMPRODUCT((B107:B111=R6)*(C106:N106=G2)*(C107:N111)),4)</f>
        <v>0.84799999999999998</v>
      </c>
      <c r="T6" s="477">
        <f t="shared" si="0"/>
        <v>7456</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六级</v>
      </c>
      <c r="Y7" s="498" t="s">
        <v>2194</v>
      </c>
      <c r="Z7" s="498">
        <f>G3</f>
        <v>2.5</v>
      </c>
      <c r="AA7" s="2262"/>
      <c r="AB7" s="2262"/>
      <c r="AC7" s="2262"/>
      <c r="AD7" s="2263"/>
      <c r="AE7" s="2263"/>
      <c r="AF7" s="2263"/>
      <c r="AG7" s="2263"/>
      <c r="AH7" s="2263"/>
      <c r="AI7" s="2263"/>
      <c r="AJ7" s="2264"/>
    </row>
    <row r="8" spans="1:36" ht="25.5">
      <c r="A8" s="2294"/>
      <c r="B8" s="473" t="s">
        <v>2195</v>
      </c>
      <c r="C8" s="2267" t="s">
        <v>3103</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57" t="s">
        <v>2198</v>
      </c>
      <c r="X8" s="3258"/>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58"/>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58"/>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77"/>
      <c r="B19" s="2978"/>
      <c r="C19" s="2979"/>
      <c r="D19" s="2979" t="s">
        <v>3080</v>
      </c>
      <c r="E19" s="2333">
        <v>0</v>
      </c>
      <c r="F19" s="2980" t="s">
        <v>3081</v>
      </c>
      <c r="G19" s="2981">
        <v>0</v>
      </c>
      <c r="H19" s="2979"/>
      <c r="I19" s="2980"/>
      <c r="J19" s="2982"/>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74" t="s">
        <v>2233</v>
      </c>
      <c r="C20" s="2974">
        <f>ROUND(IF(F21="与级别开发程度一致",0,(G21-E21)/C21),0)</f>
        <v>-36</v>
      </c>
      <c r="D20" s="3263" t="s">
        <v>2237</v>
      </c>
      <c r="E20" s="3264"/>
      <c r="F20" s="3263" t="s">
        <v>2234</v>
      </c>
      <c r="G20" s="3264"/>
      <c r="H20" s="2347" t="s">
        <v>3104</v>
      </c>
      <c r="I20" s="2347" t="s">
        <v>3105</v>
      </c>
      <c r="J20" s="2983" t="s">
        <v>3106</v>
      </c>
      <c r="K20" s="2347" t="s">
        <v>3107</v>
      </c>
      <c r="L20" s="2347" t="s">
        <v>3108</v>
      </c>
      <c r="M20" s="2347" t="s">
        <v>3109</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3091</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37">
        <v>44197</v>
      </c>
      <c r="F23" s="2359" t="s">
        <v>2242</v>
      </c>
      <c r="G23" s="2836">
        <f>项目基本情况!D3</f>
        <v>44796</v>
      </c>
      <c r="H23" s="2361" t="s">
        <v>3110</v>
      </c>
      <c r="I23" s="2360" t="str">
        <f>IF(H23="季度增幅（自定义）",SUMIF(N25:N28,E2,O25:O28),"")</f>
        <v/>
      </c>
      <c r="J23" s="2976" t="s">
        <v>3093</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0.90900000000000003</v>
      </c>
      <c r="D24" s="2365" t="s">
        <v>2246</v>
      </c>
      <c r="E24" s="2365">
        <f>存贷款利率!E22/100</f>
        <v>4.3499999999999997E-2</v>
      </c>
      <c r="F24" s="2365" t="s">
        <v>2238</v>
      </c>
      <c r="G24" s="2366">
        <f>SUMIF(M30:Q30,E2,M33:Q33)</f>
        <v>5.5E-2</v>
      </c>
      <c r="H24" s="2365" t="s">
        <v>2247</v>
      </c>
      <c r="I24" s="2367">
        <v>35</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1.0152000000000001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332</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8793</v>
      </c>
      <c r="D33" s="2420">
        <v>377.44</v>
      </c>
      <c r="E33" s="2421">
        <f>ROUND(C33*D33/10000,0)</f>
        <v>332</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2198</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8"/>
      <c r="B37" s="2439" t="s">
        <v>2275</v>
      </c>
      <c r="C37" s="495">
        <f>ROUND(D5*C22*C23*C24*C28*F37,0)</f>
        <v>5276</v>
      </c>
      <c r="D37" s="2420"/>
      <c r="E37" s="473">
        <f>ROUND(C37*D37/10000,0)</f>
        <v>0</v>
      </c>
      <c r="F37" s="473">
        <f>SUMIF(修正!A57:A68,G2,修正!B57:B68)</f>
        <v>0.6</v>
      </c>
      <c r="G37" s="473">
        <f>ROUND(IF(E2="工业",C37*$M$42,C37*$M$41),0)</f>
        <v>1319</v>
      </c>
      <c r="H37" s="473">
        <f>D37</f>
        <v>0</v>
      </c>
      <c r="I37" s="473">
        <f>ROUND(G37*H37/10000,0)</f>
        <v>0</v>
      </c>
      <c r="J37" s="3270"/>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9"/>
      <c r="B38" s="2321" t="s">
        <v>2276</v>
      </c>
      <c r="C38" s="495">
        <f>ROUND(D5*C22*C23*C24*C28*F38,0)</f>
        <v>2638</v>
      </c>
      <c r="D38" s="2420"/>
      <c r="E38" s="473">
        <f t="shared" ref="E38:E42" si="4">ROUND(C38*D38/10000,0)</f>
        <v>0</v>
      </c>
      <c r="F38" s="473">
        <f>SUMIF(修正!A57:A68,G2,修正!C57:C68)</f>
        <v>0.3</v>
      </c>
      <c r="G38" s="473">
        <f>ROUND(IF(E2="工业",C38*$M$42,C38*$M$41),0)</f>
        <v>660</v>
      </c>
      <c r="H38" s="473">
        <f t="shared" ref="H38:H42" si="5">D38</f>
        <v>0</v>
      </c>
      <c r="I38" s="473">
        <f t="shared" ref="I38:I42" si="6">ROUND(G38*H38/10000,0)</f>
        <v>0</v>
      </c>
      <c r="J38" s="3269"/>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9"/>
      <c r="B39" s="2321" t="s">
        <v>2940</v>
      </c>
      <c r="C39" s="495">
        <f>ROUND(D5*C22*C23*C24*C28*F39,0)</f>
        <v>2198</v>
      </c>
      <c r="D39" s="2420"/>
      <c r="E39" s="473">
        <f t="shared" si="4"/>
        <v>0</v>
      </c>
      <c r="F39" s="473">
        <f>SUMIF(修正!A57:A68,G2,修正!D57:D68)</f>
        <v>0.25</v>
      </c>
      <c r="G39" s="473">
        <f>ROUND(IF(E2="工业",C39*$M$42,C39*$M$41),0)</f>
        <v>550</v>
      </c>
      <c r="H39" s="473">
        <f t="shared" si="5"/>
        <v>0</v>
      </c>
      <c r="I39" s="473">
        <f t="shared" si="6"/>
        <v>0</v>
      </c>
      <c r="J39" s="3269"/>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2198</v>
      </c>
      <c r="D40" s="2420"/>
      <c r="E40" s="473">
        <f t="shared" si="4"/>
        <v>0</v>
      </c>
      <c r="F40" s="495">
        <f>SUMIF(修正!A57:A68,G2,修正!E57:E68)</f>
        <v>0.25</v>
      </c>
      <c r="G40" s="473">
        <f>ROUND(IF(E2="工业",C40*$M$42,C40*$M$41),0)</f>
        <v>550</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1.0152000000000001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3111</v>
      </c>
      <c r="D62" s="499">
        <f>SUMIF($J$61:$N$61,C62,J62:N62)</f>
        <v>0</v>
      </c>
      <c r="E62" s="2458">
        <f>ROUND(SUM(D62:D70),4)</f>
        <v>1.52E-2</v>
      </c>
      <c r="F62" s="2329">
        <f>IF(E2="办公",SUMIF(L1:L12,G2,N1:N12),"——")</f>
        <v>0.128</v>
      </c>
      <c r="G62" s="2459">
        <v>1.6E-2</v>
      </c>
      <c r="H62" s="2460">
        <f t="shared" ref="H62:H70" si="12">IFERROR(ROUNDDOWN($F$62*I62/2,4),"——")</f>
        <v>1.6E-2</v>
      </c>
      <c r="I62" s="499">
        <v>0.25</v>
      </c>
      <c r="J62" s="493">
        <f t="shared" ref="J62:J70" si="13">K62+$G62</f>
        <v>3.2000000000000001E-2</v>
      </c>
      <c r="K62" s="493">
        <f t="shared" ref="K62:K70" si="14">$L62+$G62</f>
        <v>1.6E-2</v>
      </c>
      <c r="L62" s="493">
        <v>0</v>
      </c>
      <c r="M62" s="493">
        <f t="shared" ref="M62:N70" si="15">L62-$G62</f>
        <v>-1.6E-2</v>
      </c>
      <c r="N62" s="493">
        <f t="shared" si="15"/>
        <v>-3.2000000000000001E-2</v>
      </c>
    </row>
    <row r="63" spans="1:14" s="2259" customFormat="1" ht="38.25">
      <c r="A63" s="2455" t="s">
        <v>2292</v>
      </c>
      <c r="B63" s="499" t="str">
        <f>估价对象房地状况!C18</f>
        <v>估价对象周边道路状况、公共交通通达情况、停车便捷程度，综合评价交通便捷度较好</v>
      </c>
      <c r="C63" s="2325" t="s">
        <v>3111</v>
      </c>
      <c r="D63" s="499">
        <f t="shared" ref="D63:D70" si="16">SUMIF($J$61:$N$61,C63,J63:N63)</f>
        <v>0</v>
      </c>
      <c r="E63" s="2461"/>
      <c r="F63" s="2402"/>
      <c r="G63" s="2459">
        <v>1.66E-2</v>
      </c>
      <c r="H63" s="2460">
        <f t="shared" si="12"/>
        <v>1.66E-2</v>
      </c>
      <c r="I63" s="499">
        <v>0.26</v>
      </c>
      <c r="J63" s="493">
        <f t="shared" si="13"/>
        <v>3.32E-2</v>
      </c>
      <c r="K63" s="493">
        <f t="shared" si="14"/>
        <v>1.66E-2</v>
      </c>
      <c r="L63" s="493">
        <v>0</v>
      </c>
      <c r="M63" s="493">
        <f t="shared" si="15"/>
        <v>-1.66E-2</v>
      </c>
      <c r="N63" s="493">
        <f t="shared" si="15"/>
        <v>-3.32E-2</v>
      </c>
    </row>
    <row r="64" spans="1:14" s="2259" customFormat="1" ht="36">
      <c r="A64" s="2462" t="s">
        <v>2814</v>
      </c>
      <c r="B64" s="499">
        <f>估价对象房地状况!C19</f>
        <v>0</v>
      </c>
      <c r="C64" s="2325" t="s">
        <v>3111</v>
      </c>
      <c r="D64" s="499">
        <f t="shared" si="16"/>
        <v>0</v>
      </c>
      <c r="E64" s="2461"/>
      <c r="F64" s="2402"/>
      <c r="G64" s="2459">
        <v>7.0000000000000001E-3</v>
      </c>
      <c r="H64" s="2460">
        <f t="shared" si="12"/>
        <v>7.0000000000000001E-3</v>
      </c>
      <c r="I64" s="499">
        <v>0.11</v>
      </c>
      <c r="J64" s="493">
        <f t="shared" si="13"/>
        <v>1.4E-2</v>
      </c>
      <c r="K64" s="493">
        <f t="shared" si="14"/>
        <v>7.0000000000000001E-3</v>
      </c>
      <c r="L64" s="493">
        <v>0</v>
      </c>
      <c r="M64" s="493">
        <f t="shared" si="15"/>
        <v>-7.0000000000000001E-3</v>
      </c>
      <c r="N64" s="493">
        <f t="shared" si="15"/>
        <v>-1.4E-2</v>
      </c>
    </row>
    <row r="65" spans="1:33" s="2259" customFormat="1" ht="36.75">
      <c r="A65" s="2455" t="s">
        <v>2293</v>
      </c>
      <c r="B65" s="2463" t="s">
        <v>2294</v>
      </c>
      <c r="C65" s="2325" t="s">
        <v>3112</v>
      </c>
      <c r="D65" s="499">
        <f t="shared" si="16"/>
        <v>3.2000000000000002E-3</v>
      </c>
      <c r="E65" s="2461"/>
      <c r="F65" s="2402"/>
      <c r="G65" s="2459">
        <v>3.2000000000000002E-3</v>
      </c>
      <c r="H65" s="2460">
        <f t="shared" si="12"/>
        <v>3.2000000000000002E-3</v>
      </c>
      <c r="I65" s="499">
        <v>0.05</v>
      </c>
      <c r="J65" s="493">
        <f t="shared" si="13"/>
        <v>6.4000000000000003E-3</v>
      </c>
      <c r="K65" s="493">
        <f t="shared" si="14"/>
        <v>3.2000000000000002E-3</v>
      </c>
      <c r="L65" s="493">
        <v>0</v>
      </c>
      <c r="M65" s="493">
        <f t="shared" si="15"/>
        <v>-3.2000000000000002E-3</v>
      </c>
      <c r="N65" s="493">
        <f t="shared" si="15"/>
        <v>-6.4000000000000003E-3</v>
      </c>
    </row>
    <row r="66" spans="1:33" s="2259" customFormat="1" ht="24">
      <c r="A66" s="2455" t="s">
        <v>2295</v>
      </c>
      <c r="B66" s="499">
        <f>估价对象房地状况!C24</f>
        <v>0</v>
      </c>
      <c r="C66" s="2325" t="s">
        <v>3113</v>
      </c>
      <c r="D66" s="499">
        <f t="shared" si="16"/>
        <v>-3.2000000000000002E-3</v>
      </c>
      <c r="E66" s="2461"/>
      <c r="F66" s="2402"/>
      <c r="G66" s="2459">
        <v>3.2000000000000002E-3</v>
      </c>
      <c r="H66" s="2460">
        <f t="shared" si="12"/>
        <v>3.2000000000000002E-3</v>
      </c>
      <c r="I66" s="499">
        <v>0.05</v>
      </c>
      <c r="J66" s="493">
        <f t="shared" si="13"/>
        <v>6.4000000000000003E-3</v>
      </c>
      <c r="K66" s="493">
        <f t="shared" si="14"/>
        <v>3.2000000000000002E-3</v>
      </c>
      <c r="L66" s="493">
        <v>0</v>
      </c>
      <c r="M66" s="493">
        <f t="shared" si="15"/>
        <v>-3.2000000000000002E-3</v>
      </c>
      <c r="N66" s="493">
        <f t="shared" si="15"/>
        <v>-6.4000000000000003E-3</v>
      </c>
    </row>
    <row r="67" spans="1:33" s="2259" customFormat="1" ht="24">
      <c r="A67" s="2455" t="s">
        <v>2296</v>
      </c>
      <c r="B67" s="2464" t="s">
        <v>2297</v>
      </c>
      <c r="C67" s="2325" t="s">
        <v>3112</v>
      </c>
      <c r="D67" s="499">
        <f t="shared" si="16"/>
        <v>3.8E-3</v>
      </c>
      <c r="E67" s="2461"/>
      <c r="F67" s="2402"/>
      <c r="G67" s="2459">
        <v>3.8E-3</v>
      </c>
      <c r="H67" s="2460">
        <f t="shared" si="12"/>
        <v>3.8E-3</v>
      </c>
      <c r="I67" s="499">
        <v>0.06</v>
      </c>
      <c r="J67" s="493">
        <f t="shared" si="13"/>
        <v>7.6E-3</v>
      </c>
      <c r="K67" s="493">
        <f t="shared" si="14"/>
        <v>3.8E-3</v>
      </c>
      <c r="L67" s="493">
        <v>0</v>
      </c>
      <c r="M67" s="493">
        <f t="shared" si="15"/>
        <v>-3.8E-3</v>
      </c>
      <c r="N67" s="493">
        <f t="shared" si="15"/>
        <v>-7.6E-3</v>
      </c>
    </row>
    <row r="68" spans="1:33" s="2259" customFormat="1" ht="25.5">
      <c r="A68" s="2455" t="s">
        <v>2298</v>
      </c>
      <c r="B68" s="999" t="str">
        <f>估价对象房地状况!C21</f>
        <v>估价对象所在区域公共配套设施齐备情况</v>
      </c>
      <c r="C68" s="2325" t="s">
        <v>3111</v>
      </c>
      <c r="D68" s="499">
        <f t="shared" si="16"/>
        <v>0</v>
      </c>
      <c r="E68" s="2461"/>
      <c r="F68" s="2402"/>
      <c r="G68" s="2459">
        <v>3.8E-3</v>
      </c>
      <c r="H68" s="2460">
        <f t="shared" si="12"/>
        <v>3.8E-3</v>
      </c>
      <c r="I68" s="499">
        <v>0.06</v>
      </c>
      <c r="J68" s="493">
        <f t="shared" si="13"/>
        <v>7.6E-3</v>
      </c>
      <c r="K68" s="493">
        <f t="shared" si="14"/>
        <v>3.8E-3</v>
      </c>
      <c r="L68" s="493">
        <v>0</v>
      </c>
      <c r="M68" s="493">
        <f t="shared" si="15"/>
        <v>-3.8E-3</v>
      </c>
      <c r="N68" s="493">
        <f t="shared" si="15"/>
        <v>-7.6E-3</v>
      </c>
    </row>
    <row r="69" spans="1:33" s="2259" customFormat="1" ht="24">
      <c r="A69" s="2455" t="s">
        <v>2299</v>
      </c>
      <c r="B69" s="999" t="str">
        <f>估价对象房地状况!C22</f>
        <v>估价对象所在区域基础设施水平</v>
      </c>
      <c r="C69" s="2325" t="s">
        <v>3114</v>
      </c>
      <c r="D69" s="499">
        <f t="shared" si="16"/>
        <v>1.14E-2</v>
      </c>
      <c r="E69" s="2461"/>
      <c r="F69" s="2402"/>
      <c r="G69" s="2459">
        <v>5.7000000000000002E-3</v>
      </c>
      <c r="H69" s="2460">
        <f t="shared" si="12"/>
        <v>5.7000000000000002E-3</v>
      </c>
      <c r="I69" s="499">
        <v>0.09</v>
      </c>
      <c r="J69" s="493">
        <f t="shared" si="13"/>
        <v>1.14E-2</v>
      </c>
      <c r="K69" s="493">
        <f t="shared" si="14"/>
        <v>5.7000000000000002E-3</v>
      </c>
      <c r="L69" s="493">
        <v>0</v>
      </c>
      <c r="M69" s="493">
        <f t="shared" si="15"/>
        <v>-5.7000000000000002E-3</v>
      </c>
      <c r="N69" s="493">
        <f t="shared" si="15"/>
        <v>-1.14E-2</v>
      </c>
    </row>
    <row r="70" spans="1:33" s="2259" customFormat="1" ht="26.25" thickBot="1">
      <c r="A70" s="2466" t="s">
        <v>2300</v>
      </c>
      <c r="B70" s="2468" t="str">
        <f>估价对象房地状况!C20</f>
        <v>区域自然环境：；人文环境；综合评价环境状况一般</v>
      </c>
      <c r="C70" s="2325" t="s">
        <v>3111</v>
      </c>
      <c r="D70" s="499">
        <f t="shared" si="16"/>
        <v>0</v>
      </c>
      <c r="E70" s="487"/>
      <c r="F70" s="2402"/>
      <c r="G70" s="2459">
        <v>4.4000000000000003E-3</v>
      </c>
      <c r="H70" s="2460">
        <f t="shared" si="12"/>
        <v>4.4000000000000003E-3</v>
      </c>
      <c r="I70" s="2468">
        <v>7.0000000000000007E-2</v>
      </c>
      <c r="J70" s="493">
        <f t="shared" si="13"/>
        <v>8.8000000000000005E-3</v>
      </c>
      <c r="K70" s="493">
        <f t="shared" si="14"/>
        <v>4.4000000000000003E-3</v>
      </c>
      <c r="L70" s="493">
        <v>0</v>
      </c>
      <c r="M70" s="493">
        <f t="shared" si="15"/>
        <v>-4.4000000000000003E-3</v>
      </c>
      <c r="N70" s="493">
        <f t="shared" si="15"/>
        <v>-8.8000000000000005E-3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5" t="s">
        <v>2311</v>
      </c>
      <c r="B104" s="3265"/>
      <c r="C104" s="3265"/>
      <c r="D104" s="3265"/>
      <c r="E104" s="3265"/>
      <c r="F104" s="3265"/>
      <c r="G104" s="3265"/>
      <c r="H104" s="3265"/>
      <c r="I104" s="3265"/>
      <c r="J104" s="3265"/>
      <c r="K104" s="2479"/>
      <c r="L104" s="2479"/>
      <c r="M104" s="2479"/>
      <c r="N104" s="2479"/>
    </row>
    <row r="105" spans="1:25">
      <c r="A105" s="3267" t="s">
        <v>2312</v>
      </c>
      <c r="B105" s="3267" t="s">
        <v>2313</v>
      </c>
      <c r="C105" s="2422" t="s">
        <v>2314</v>
      </c>
      <c r="D105" s="2423"/>
      <c r="E105" s="2423"/>
      <c r="F105" s="2423"/>
      <c r="G105" s="2423"/>
      <c r="H105" s="2423"/>
      <c r="I105" s="2423"/>
      <c r="J105" s="2480"/>
      <c r="K105" s="2481"/>
      <c r="L105" s="2481"/>
      <c r="M105" s="2481"/>
      <c r="N105" s="2481"/>
    </row>
    <row r="106" spans="1:25">
      <c r="A106" s="3267"/>
      <c r="B106" s="3267"/>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1"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2"/>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2"/>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2"/>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2"/>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2"/>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3"/>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66" t="s">
        <v>2316</v>
      </c>
      <c r="B114" s="3266"/>
      <c r="C114" s="3266"/>
      <c r="D114" s="3266"/>
      <c r="E114" s="3266"/>
      <c r="F114" s="3266"/>
      <c r="G114" s="3266"/>
      <c r="H114" s="3266"/>
      <c r="I114" s="3266"/>
      <c r="J114" s="3266"/>
      <c r="K114" s="2483"/>
      <c r="L114" s="2483"/>
      <c r="M114" s="2483"/>
      <c r="N114" s="2483"/>
    </row>
    <row r="116" spans="1:14" ht="13.5" thickBot="1"/>
    <row r="117" spans="1:14" ht="25.5" thickBot="1">
      <c r="A117" s="2382" t="s">
        <v>2317</v>
      </c>
      <c r="B117" s="2484">
        <f>G3</f>
        <v>2.5</v>
      </c>
      <c r="C117" s="2365" t="s">
        <v>2318</v>
      </c>
      <c r="D117" s="500">
        <f>SUMPRODUCT((A119:A123=F117)*(B118:M118=H117)*B119:M123)</f>
        <v>0.90600000000000003</v>
      </c>
      <c r="E117" s="473" t="s">
        <v>2173</v>
      </c>
      <c r="F117" s="501" t="str">
        <f>E2</f>
        <v>办公</v>
      </c>
      <c r="G117" s="473" t="s">
        <v>2174</v>
      </c>
      <c r="H117" s="501" t="str">
        <f>G2</f>
        <v>六级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3"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3"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2"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74" t="s">
        <v>156</v>
      </c>
      <c r="B20" s="3284" t="s">
        <v>2893</v>
      </c>
      <c r="C20" s="2522" t="s">
        <v>2823</v>
      </c>
      <c r="D20" s="2523"/>
      <c r="E20" s="513">
        <v>1</v>
      </c>
      <c r="F20" s="2524" t="s">
        <v>2829</v>
      </c>
      <c r="G20" s="2524"/>
    </row>
    <row r="21" spans="1:13">
      <c r="A21" s="3275"/>
      <c r="B21" s="3279"/>
      <c r="C21" s="2525" t="s">
        <v>2824</v>
      </c>
      <c r="D21" s="2526"/>
      <c r="E21" s="514">
        <v>1</v>
      </c>
      <c r="F21" s="2524" t="s">
        <v>2830</v>
      </c>
      <c r="G21" s="2524"/>
    </row>
    <row r="22" spans="1:13">
      <c r="A22" s="3275"/>
      <c r="B22" s="3279"/>
      <c r="C22" s="2525" t="s">
        <v>2825</v>
      </c>
      <c r="D22" s="2526"/>
      <c r="E22" s="514">
        <v>0.9</v>
      </c>
      <c r="F22" s="2524" t="s">
        <v>2831</v>
      </c>
      <c r="G22" s="2524"/>
    </row>
    <row r="23" spans="1:13">
      <c r="A23" s="3275"/>
      <c r="B23" s="3279"/>
      <c r="C23" s="2525" t="s">
        <v>2826</v>
      </c>
      <c r="D23" s="2526"/>
      <c r="E23" s="514">
        <v>0.9</v>
      </c>
      <c r="F23" s="2524" t="s">
        <v>2832</v>
      </c>
      <c r="G23" s="2524"/>
    </row>
    <row r="24" spans="1:13">
      <c r="A24" s="3275"/>
      <c r="B24" s="3279"/>
      <c r="C24" s="2525" t="s">
        <v>2827</v>
      </c>
      <c r="D24" s="2526"/>
      <c r="E24" s="514">
        <v>0.8</v>
      </c>
      <c r="F24" s="2524" t="s">
        <v>2833</v>
      </c>
      <c r="G24" s="2524"/>
    </row>
    <row r="25" spans="1:13" ht="14.25" thickBot="1">
      <c r="A25" s="3276"/>
      <c r="B25" s="3285"/>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1" t="s">
        <v>2836</v>
      </c>
      <c r="B27" s="3284" t="s">
        <v>2836</v>
      </c>
      <c r="C27" s="2522" t="s">
        <v>2838</v>
      </c>
      <c r="D27" s="2523"/>
      <c r="E27" s="513">
        <v>1</v>
      </c>
      <c r="F27" s="2524" t="s">
        <v>2851</v>
      </c>
      <c r="G27" s="2524"/>
    </row>
    <row r="28" spans="1:13">
      <c r="A28" s="3282"/>
      <c r="B28" s="3279"/>
      <c r="C28" s="2525" t="s">
        <v>2839</v>
      </c>
      <c r="D28" s="2526"/>
      <c r="E28" s="514">
        <v>1</v>
      </c>
      <c r="F28" s="2524" t="s">
        <v>2852</v>
      </c>
      <c r="G28" s="2524"/>
    </row>
    <row r="29" spans="1:13">
      <c r="A29" s="3282"/>
      <c r="B29" s="3279"/>
      <c r="C29" s="2525" t="s">
        <v>2840</v>
      </c>
      <c r="D29" s="2526"/>
      <c r="E29" s="514">
        <v>0.8</v>
      </c>
      <c r="F29" s="2524" t="s">
        <v>2853</v>
      </c>
      <c r="G29" s="2524"/>
    </row>
    <row r="30" spans="1:13">
      <c r="A30" s="3282"/>
      <c r="B30" s="3279"/>
      <c r="C30" s="2525" t="s">
        <v>2841</v>
      </c>
      <c r="D30" s="2526"/>
      <c r="E30" s="514">
        <v>0.8</v>
      </c>
      <c r="F30" s="2524" t="s">
        <v>2854</v>
      </c>
      <c r="G30" s="2524"/>
    </row>
    <row r="31" spans="1:13">
      <c r="A31" s="3282"/>
      <c r="B31" s="3279"/>
      <c r="C31" s="2525" t="s">
        <v>2842</v>
      </c>
      <c r="D31" s="2526"/>
      <c r="E31" s="514">
        <v>0.8</v>
      </c>
      <c r="F31" s="2524" t="s">
        <v>2855</v>
      </c>
      <c r="G31" s="2524"/>
    </row>
    <row r="32" spans="1:13">
      <c r="A32" s="3282"/>
      <c r="B32" s="3279"/>
      <c r="C32" s="2525" t="s">
        <v>2843</v>
      </c>
      <c r="D32" s="2526"/>
      <c r="E32" s="514">
        <v>0.7</v>
      </c>
      <c r="F32" s="2524" t="s">
        <v>2856</v>
      </c>
      <c r="G32" s="2524"/>
    </row>
    <row r="33" spans="1:7">
      <c r="A33" s="3282"/>
      <c r="B33" s="3279"/>
      <c r="C33" s="2525" t="s">
        <v>2844</v>
      </c>
      <c r="D33" s="2526"/>
      <c r="E33" s="514">
        <v>0.8</v>
      </c>
      <c r="F33" s="2524" t="s">
        <v>2857</v>
      </c>
      <c r="G33" s="2524"/>
    </row>
    <row r="34" spans="1:7">
      <c r="A34" s="3282"/>
      <c r="B34" s="3279"/>
      <c r="C34" s="2525" t="s">
        <v>2845</v>
      </c>
      <c r="D34" s="2526"/>
      <c r="E34" s="514">
        <v>0.6</v>
      </c>
      <c r="F34" s="2524" t="s">
        <v>2858</v>
      </c>
      <c r="G34" s="2524"/>
    </row>
    <row r="35" spans="1:7">
      <c r="A35" s="3282"/>
      <c r="B35" s="3279"/>
      <c r="C35" s="2525" t="s">
        <v>2846</v>
      </c>
      <c r="D35" s="2526"/>
      <c r="E35" s="514">
        <v>0.2</v>
      </c>
      <c r="F35" s="2524" t="s">
        <v>2859</v>
      </c>
      <c r="G35" s="2524"/>
    </row>
    <row r="36" spans="1:7">
      <c r="A36" s="3282"/>
      <c r="B36" s="3279"/>
      <c r="C36" s="2525" t="s">
        <v>2847</v>
      </c>
      <c r="D36" s="2526"/>
      <c r="E36" s="514">
        <v>0.2</v>
      </c>
      <c r="F36" s="2524" t="s">
        <v>2860</v>
      </c>
      <c r="G36" s="2524"/>
    </row>
    <row r="37" spans="1:7">
      <c r="A37" s="3282"/>
      <c r="B37" s="3278" t="s">
        <v>2894</v>
      </c>
      <c r="C37" s="2525" t="s">
        <v>2848</v>
      </c>
      <c r="D37" s="2526"/>
      <c r="E37" s="514">
        <v>0.6</v>
      </c>
      <c r="F37" s="2524" t="s">
        <v>2861</v>
      </c>
      <c r="G37" s="2524"/>
    </row>
    <row r="38" spans="1:7">
      <c r="A38" s="3282"/>
      <c r="B38" s="3279"/>
      <c r="C38" s="2525" t="s">
        <v>2849</v>
      </c>
      <c r="D38" s="2526"/>
      <c r="E38" s="514">
        <v>0.6</v>
      </c>
      <c r="F38" s="2524" t="s">
        <v>2862</v>
      </c>
      <c r="G38" s="2524"/>
    </row>
    <row r="39" spans="1:7" ht="14.25" thickBot="1">
      <c r="A39" s="3283"/>
      <c r="B39" s="3285"/>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74" t="s">
        <v>158</v>
      </c>
      <c r="B41" s="3284" t="s">
        <v>2890</v>
      </c>
      <c r="C41" s="2522" t="s">
        <v>2866</v>
      </c>
      <c r="D41" s="2523"/>
      <c r="E41" s="513">
        <v>1</v>
      </c>
      <c r="F41" s="2524" t="s">
        <v>2878</v>
      </c>
      <c r="G41" s="2524"/>
    </row>
    <row r="42" spans="1:7">
      <c r="A42" s="3275"/>
      <c r="B42" s="3279"/>
      <c r="C42" s="2525" t="s">
        <v>2867</v>
      </c>
      <c r="D42" s="2526"/>
      <c r="E42" s="514">
        <v>1</v>
      </c>
      <c r="F42" s="2524" t="s">
        <v>2879</v>
      </c>
      <c r="G42" s="2524"/>
    </row>
    <row r="43" spans="1:7">
      <c r="A43" s="3275"/>
      <c r="B43" s="3280"/>
      <c r="C43" s="2525" t="s">
        <v>2868</v>
      </c>
      <c r="D43" s="2526"/>
      <c r="E43" s="514">
        <v>1.5</v>
      </c>
      <c r="F43" s="2524" t="s">
        <v>2880</v>
      </c>
      <c r="G43" s="2524"/>
    </row>
    <row r="44" spans="1:7">
      <c r="A44" s="3275"/>
      <c r="B44" s="517" t="s">
        <v>2891</v>
      </c>
      <c r="C44" s="2525" t="s">
        <v>2889</v>
      </c>
      <c r="D44" s="2526"/>
      <c r="E44" s="514">
        <v>2</v>
      </c>
      <c r="F44" s="2524" t="s">
        <v>2881</v>
      </c>
      <c r="G44" s="2524"/>
    </row>
    <row r="45" spans="1:7">
      <c r="A45" s="3275"/>
      <c r="B45" s="3278" t="s">
        <v>2892</v>
      </c>
      <c r="C45" s="2525" t="s">
        <v>2869</v>
      </c>
      <c r="D45" s="2526"/>
      <c r="E45" s="514">
        <v>1</v>
      </c>
      <c r="F45" s="2524" t="s">
        <v>2882</v>
      </c>
      <c r="G45" s="2524"/>
    </row>
    <row r="46" spans="1:7">
      <c r="A46" s="3275"/>
      <c r="B46" s="3279"/>
      <c r="C46" s="2525" t="s">
        <v>2870</v>
      </c>
      <c r="D46" s="2526"/>
      <c r="E46" s="514">
        <v>1</v>
      </c>
      <c r="F46" s="2524" t="s">
        <v>2883</v>
      </c>
      <c r="G46" s="2524"/>
    </row>
    <row r="47" spans="1:7">
      <c r="A47" s="3275"/>
      <c r="B47" s="3279"/>
      <c r="C47" s="2525" t="s">
        <v>2871</v>
      </c>
      <c r="D47" s="2526"/>
      <c r="E47" s="514">
        <v>1</v>
      </c>
      <c r="F47" s="2524" t="s">
        <v>2884</v>
      </c>
      <c r="G47" s="2524"/>
    </row>
    <row r="48" spans="1:7">
      <c r="A48" s="3275"/>
      <c r="B48" s="3279"/>
      <c r="C48" s="2525" t="s">
        <v>2872</v>
      </c>
      <c r="D48" s="2526"/>
      <c r="E48" s="514">
        <v>1</v>
      </c>
      <c r="F48" s="2524" t="s">
        <v>2885</v>
      </c>
      <c r="G48" s="2524"/>
    </row>
    <row r="49" spans="1:7">
      <c r="A49" s="3275"/>
      <c r="B49" s="3279"/>
      <c r="C49" s="2525" t="s">
        <v>2873</v>
      </c>
      <c r="D49" s="2526"/>
      <c r="E49" s="514">
        <v>1</v>
      </c>
      <c r="F49" s="2524" t="s">
        <v>2886</v>
      </c>
      <c r="G49" s="2524"/>
    </row>
    <row r="50" spans="1:7">
      <c r="A50" s="3275"/>
      <c r="B50" s="3279"/>
      <c r="C50" s="2525" t="s">
        <v>2874</v>
      </c>
      <c r="D50" s="2526"/>
      <c r="E50" s="514">
        <v>1</v>
      </c>
      <c r="F50" s="2524" t="s">
        <v>2887</v>
      </c>
      <c r="G50" s="2524"/>
    </row>
    <row r="51" spans="1:7" ht="14.25" thickBot="1">
      <c r="A51" s="3276"/>
      <c r="B51" s="3285"/>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78" t="s">
        <v>459</v>
      </c>
      <c r="C73" s="508" t="s">
        <v>460</v>
      </c>
      <c r="D73" s="508" t="s">
        <v>461</v>
      </c>
      <c r="E73" s="517">
        <v>0.2</v>
      </c>
      <c r="F73" s="517">
        <v>25</v>
      </c>
    </row>
    <row r="74" spans="1:7" ht="24">
      <c r="A74" s="517">
        <v>2</v>
      </c>
      <c r="B74" s="3279"/>
      <c r="C74" s="508" t="s">
        <v>2719</v>
      </c>
      <c r="D74" s="508" t="s">
        <v>2720</v>
      </c>
      <c r="E74" s="517">
        <v>0.2</v>
      </c>
      <c r="F74" s="517">
        <v>25</v>
      </c>
    </row>
    <row r="75" spans="1:7" ht="24">
      <c r="A75" s="517">
        <v>3</v>
      </c>
      <c r="B75" s="3279"/>
      <c r="C75" s="508" t="s">
        <v>2721</v>
      </c>
      <c r="D75" s="508" t="s">
        <v>2722</v>
      </c>
      <c r="E75" s="517">
        <v>0.2</v>
      </c>
      <c r="F75" s="517">
        <v>25</v>
      </c>
    </row>
    <row r="76" spans="1:7">
      <c r="A76" s="517">
        <v>4</v>
      </c>
      <c r="B76" s="3279"/>
      <c r="C76" s="508" t="s">
        <v>2723</v>
      </c>
      <c r="D76" s="508" t="s">
        <v>2724</v>
      </c>
      <c r="E76" s="517">
        <v>0.15</v>
      </c>
      <c r="F76" s="517">
        <v>20</v>
      </c>
    </row>
    <row r="77" spans="1:7" ht="24">
      <c r="A77" s="517">
        <v>5</v>
      </c>
      <c r="B77" s="3279"/>
      <c r="C77" s="508" t="s">
        <v>2725</v>
      </c>
      <c r="D77" s="508" t="s">
        <v>2726</v>
      </c>
      <c r="E77" s="517">
        <v>0.15</v>
      </c>
      <c r="F77" s="517">
        <v>20</v>
      </c>
    </row>
    <row r="78" spans="1:7" ht="24">
      <c r="A78" s="517">
        <v>6</v>
      </c>
      <c r="B78" s="3279"/>
      <c r="C78" s="508" t="s">
        <v>2727</v>
      </c>
      <c r="D78" s="508" t="s">
        <v>2728</v>
      </c>
      <c r="E78" s="517">
        <v>0.15</v>
      </c>
      <c r="F78" s="517">
        <v>20</v>
      </c>
    </row>
    <row r="79" spans="1:7" ht="24">
      <c r="A79" s="517">
        <v>7</v>
      </c>
      <c r="B79" s="3279"/>
      <c r="C79" s="508" t="s">
        <v>2729</v>
      </c>
      <c r="D79" s="508" t="s">
        <v>2730</v>
      </c>
      <c r="E79" s="517">
        <v>0.15</v>
      </c>
      <c r="F79" s="517">
        <v>20</v>
      </c>
    </row>
    <row r="80" spans="1:7" ht="24">
      <c r="A80" s="517">
        <v>8</v>
      </c>
      <c r="B80" s="3279"/>
      <c r="C80" s="508" t="s">
        <v>2731</v>
      </c>
      <c r="D80" s="508" t="s">
        <v>2732</v>
      </c>
      <c r="E80" s="517">
        <v>0.1</v>
      </c>
      <c r="F80" s="517">
        <v>15</v>
      </c>
    </row>
    <row r="81" spans="1:6" ht="24">
      <c r="A81" s="517">
        <v>9</v>
      </c>
      <c r="B81" s="3279"/>
      <c r="C81" s="508" t="s">
        <v>2733</v>
      </c>
      <c r="D81" s="508" t="s">
        <v>2734</v>
      </c>
      <c r="E81" s="517">
        <v>0.1</v>
      </c>
      <c r="F81" s="517">
        <v>15</v>
      </c>
    </row>
    <row r="82" spans="1:6" ht="24">
      <c r="A82" s="517">
        <v>10</v>
      </c>
      <c r="B82" s="3279"/>
      <c r="C82" s="508" t="s">
        <v>2735</v>
      </c>
      <c r="D82" s="508" t="s">
        <v>2736</v>
      </c>
      <c r="E82" s="517">
        <v>0.1</v>
      </c>
      <c r="F82" s="517">
        <v>15</v>
      </c>
    </row>
    <row r="83" spans="1:6" ht="24">
      <c r="A83" s="517">
        <v>11</v>
      </c>
      <c r="B83" s="3279"/>
      <c r="C83" s="508" t="s">
        <v>2737</v>
      </c>
      <c r="D83" s="508" t="s">
        <v>2738</v>
      </c>
      <c r="E83" s="517">
        <v>0.1</v>
      </c>
      <c r="F83" s="517">
        <v>15</v>
      </c>
    </row>
    <row r="84" spans="1:6" ht="24">
      <c r="A84" s="517">
        <v>12</v>
      </c>
      <c r="B84" s="3279"/>
      <c r="C84" s="508" t="s">
        <v>2739</v>
      </c>
      <c r="D84" s="508" t="s">
        <v>2740</v>
      </c>
      <c r="E84" s="517">
        <v>0.1</v>
      </c>
      <c r="F84" s="517">
        <v>15</v>
      </c>
    </row>
    <row r="85" spans="1:6">
      <c r="A85" s="517">
        <v>13</v>
      </c>
      <c r="B85" s="3279"/>
      <c r="C85" s="508" t="s">
        <v>2741</v>
      </c>
      <c r="D85" s="508" t="s">
        <v>2742</v>
      </c>
      <c r="E85" s="517">
        <v>0.1</v>
      </c>
      <c r="F85" s="517">
        <v>15</v>
      </c>
    </row>
    <row r="86" spans="1:6">
      <c r="A86" s="517">
        <v>14</v>
      </c>
      <c r="B86" s="3279"/>
      <c r="C86" s="508" t="s">
        <v>2743</v>
      </c>
      <c r="D86" s="508" t="s">
        <v>2744</v>
      </c>
      <c r="E86" s="517">
        <v>0.1</v>
      </c>
      <c r="F86" s="517">
        <v>15</v>
      </c>
    </row>
    <row r="87" spans="1:6">
      <c r="A87" s="517">
        <v>15</v>
      </c>
      <c r="B87" s="3279"/>
      <c r="C87" s="508" t="s">
        <v>2745</v>
      </c>
      <c r="D87" s="508" t="s">
        <v>2746</v>
      </c>
      <c r="E87" s="517">
        <v>0.1</v>
      </c>
      <c r="F87" s="517">
        <v>15</v>
      </c>
    </row>
    <row r="88" spans="1:6" ht="24">
      <c r="A88" s="517">
        <v>16</v>
      </c>
      <c r="B88" s="3279"/>
      <c r="C88" s="508" t="s">
        <v>2747</v>
      </c>
      <c r="D88" s="508" t="s">
        <v>2748</v>
      </c>
      <c r="E88" s="517">
        <v>0.1</v>
      </c>
      <c r="F88" s="517">
        <v>15</v>
      </c>
    </row>
    <row r="89" spans="1:6" ht="24">
      <c r="A89" s="517">
        <v>17</v>
      </c>
      <c r="B89" s="3280"/>
      <c r="C89" s="508" t="s">
        <v>2749</v>
      </c>
      <c r="D89" s="508" t="s">
        <v>2750</v>
      </c>
      <c r="E89" s="517">
        <v>0.1</v>
      </c>
      <c r="F89" s="517">
        <v>15</v>
      </c>
    </row>
    <row r="90" spans="1:6">
      <c r="A90" s="517">
        <v>18</v>
      </c>
      <c r="B90" s="3278" t="s">
        <v>462</v>
      </c>
      <c r="C90" s="508" t="s">
        <v>463</v>
      </c>
      <c r="D90" s="508" t="s">
        <v>464</v>
      </c>
      <c r="E90" s="517">
        <v>0.2</v>
      </c>
      <c r="F90" s="517">
        <v>25</v>
      </c>
    </row>
    <row r="91" spans="1:6" ht="24">
      <c r="A91" s="517">
        <v>19</v>
      </c>
      <c r="B91" s="3279"/>
      <c r="C91" s="508" t="s">
        <v>2751</v>
      </c>
      <c r="D91" s="508" t="s">
        <v>467</v>
      </c>
      <c r="E91" s="517">
        <v>0.2</v>
      </c>
      <c r="F91" s="517">
        <v>25</v>
      </c>
    </row>
    <row r="92" spans="1:6">
      <c r="A92" s="517">
        <v>20</v>
      </c>
      <c r="B92" s="3279"/>
      <c r="C92" s="508" t="s">
        <v>465</v>
      </c>
      <c r="D92" s="508" t="s">
        <v>466</v>
      </c>
      <c r="E92" s="517">
        <v>0.15</v>
      </c>
      <c r="F92" s="517">
        <v>20</v>
      </c>
    </row>
    <row r="93" spans="1:6">
      <c r="A93" s="517">
        <v>21</v>
      </c>
      <c r="B93" s="3279"/>
      <c r="C93" s="508" t="s">
        <v>2752</v>
      </c>
      <c r="D93" s="508" t="s">
        <v>468</v>
      </c>
      <c r="E93" s="517">
        <v>0.15</v>
      </c>
      <c r="F93" s="517">
        <v>20</v>
      </c>
    </row>
    <row r="94" spans="1:6">
      <c r="A94" s="517">
        <v>22</v>
      </c>
      <c r="B94" s="3279"/>
      <c r="C94" s="508" t="s">
        <v>2754</v>
      </c>
      <c r="D94" s="508" t="s">
        <v>2755</v>
      </c>
      <c r="E94" s="517">
        <v>0.15</v>
      </c>
      <c r="F94" s="517">
        <v>20</v>
      </c>
    </row>
    <row r="95" spans="1:6" ht="36">
      <c r="A95" s="517">
        <v>23</v>
      </c>
      <c r="B95" s="3279"/>
      <c r="C95" s="508" t="s">
        <v>2756</v>
      </c>
      <c r="D95" s="508" t="s">
        <v>2757</v>
      </c>
      <c r="E95" s="517">
        <v>0.15</v>
      </c>
      <c r="F95" s="517">
        <v>20</v>
      </c>
    </row>
    <row r="96" spans="1:6">
      <c r="A96" s="517">
        <v>24</v>
      </c>
      <c r="B96" s="3279"/>
      <c r="C96" s="508" t="s">
        <v>2758</v>
      </c>
      <c r="D96" s="508" t="s">
        <v>2759</v>
      </c>
      <c r="E96" s="517">
        <v>0.1</v>
      </c>
      <c r="F96" s="517">
        <v>15</v>
      </c>
    </row>
    <row r="97" spans="1:6">
      <c r="A97" s="517">
        <v>25</v>
      </c>
      <c r="B97" s="3279"/>
      <c r="C97" s="508" t="s">
        <v>2753</v>
      </c>
      <c r="D97" s="508" t="s">
        <v>2760</v>
      </c>
      <c r="E97" s="517">
        <v>0.1</v>
      </c>
      <c r="F97" s="517">
        <v>15</v>
      </c>
    </row>
    <row r="98" spans="1:6" ht="24">
      <c r="A98" s="517">
        <v>26</v>
      </c>
      <c r="B98" s="3279"/>
      <c r="C98" s="508" t="s">
        <v>2761</v>
      </c>
      <c r="D98" s="508" t="s">
        <v>2762</v>
      </c>
      <c r="E98" s="517">
        <v>0.1</v>
      </c>
      <c r="F98" s="517">
        <v>15</v>
      </c>
    </row>
    <row r="99" spans="1:6" ht="24">
      <c r="A99" s="517">
        <v>27</v>
      </c>
      <c r="B99" s="3279"/>
      <c r="C99" s="508" t="s">
        <v>2763</v>
      </c>
      <c r="D99" s="508" t="s">
        <v>2764</v>
      </c>
      <c r="E99" s="517">
        <v>0.1</v>
      </c>
      <c r="F99" s="517">
        <v>15</v>
      </c>
    </row>
    <row r="100" spans="1:6">
      <c r="A100" s="517">
        <v>28</v>
      </c>
      <c r="B100" s="3279"/>
      <c r="C100" s="508" t="s">
        <v>2765</v>
      </c>
      <c r="D100" s="508" t="s">
        <v>2766</v>
      </c>
      <c r="E100" s="517">
        <v>0.1</v>
      </c>
      <c r="F100" s="517">
        <v>15</v>
      </c>
    </row>
    <row r="101" spans="1:6">
      <c r="A101" s="517">
        <v>29</v>
      </c>
      <c r="B101" s="3279"/>
      <c r="C101" s="508" t="s">
        <v>2767</v>
      </c>
      <c r="D101" s="508" t="s">
        <v>2768</v>
      </c>
      <c r="E101" s="517">
        <v>0.1</v>
      </c>
      <c r="F101" s="517">
        <v>15</v>
      </c>
    </row>
    <row r="102" spans="1:6">
      <c r="A102" s="517">
        <v>30</v>
      </c>
      <c r="B102" s="3279"/>
      <c r="C102" s="508" t="s">
        <v>2769</v>
      </c>
      <c r="D102" s="508" t="s">
        <v>2770</v>
      </c>
      <c r="E102" s="517">
        <v>0.1</v>
      </c>
      <c r="F102" s="517">
        <v>15</v>
      </c>
    </row>
    <row r="103" spans="1:6" ht="24">
      <c r="A103" s="517">
        <v>31</v>
      </c>
      <c r="B103" s="3279"/>
      <c r="C103" s="508" t="s">
        <v>2771</v>
      </c>
      <c r="D103" s="508" t="s">
        <v>2772</v>
      </c>
      <c r="E103" s="517">
        <v>0.1</v>
      </c>
      <c r="F103" s="517">
        <v>15</v>
      </c>
    </row>
    <row r="104" spans="1:6" ht="24">
      <c r="A104" s="517">
        <v>32</v>
      </c>
      <c r="B104" s="3279"/>
      <c r="C104" s="508" t="s">
        <v>2773</v>
      </c>
      <c r="D104" s="508" t="s">
        <v>2774</v>
      </c>
      <c r="E104" s="517">
        <v>0.1</v>
      </c>
      <c r="F104" s="517">
        <v>15</v>
      </c>
    </row>
    <row r="105" spans="1:6" ht="24">
      <c r="A105" s="517">
        <v>33</v>
      </c>
      <c r="B105" s="3279"/>
      <c r="C105" s="508" t="s">
        <v>2775</v>
      </c>
      <c r="D105" s="508" t="s">
        <v>2776</v>
      </c>
      <c r="E105" s="517">
        <v>0.1</v>
      </c>
      <c r="F105" s="517">
        <v>15</v>
      </c>
    </row>
    <row r="106" spans="1:6" ht="24">
      <c r="A106" s="517">
        <v>34</v>
      </c>
      <c r="B106" s="3280"/>
      <c r="C106" s="508" t="s">
        <v>2777</v>
      </c>
      <c r="D106" s="508" t="s">
        <v>2778</v>
      </c>
      <c r="E106" s="517">
        <v>0.1</v>
      </c>
      <c r="F106" s="517">
        <v>15</v>
      </c>
    </row>
    <row r="107" spans="1:6" ht="24">
      <c r="A107" s="517">
        <v>35</v>
      </c>
      <c r="B107" s="3278" t="s">
        <v>469</v>
      </c>
      <c r="C107" s="517" t="s">
        <v>470</v>
      </c>
      <c r="D107" s="508" t="s">
        <v>2779</v>
      </c>
      <c r="E107" s="517">
        <v>0.15</v>
      </c>
      <c r="F107" s="517">
        <v>20</v>
      </c>
    </row>
    <row r="108" spans="1:6">
      <c r="A108" s="517">
        <v>36</v>
      </c>
      <c r="B108" s="3279"/>
      <c r="C108" s="517" t="s">
        <v>2781</v>
      </c>
      <c r="D108" s="508" t="s">
        <v>2782</v>
      </c>
      <c r="E108" s="517">
        <v>0.15</v>
      </c>
      <c r="F108" s="517">
        <v>20</v>
      </c>
    </row>
    <row r="109" spans="1:6">
      <c r="A109" s="517">
        <v>37</v>
      </c>
      <c r="B109" s="3279"/>
      <c r="C109" s="517" t="s">
        <v>2780</v>
      </c>
      <c r="D109" s="508" t="s">
        <v>2787</v>
      </c>
      <c r="E109" s="517">
        <v>0.15</v>
      </c>
      <c r="F109" s="517">
        <v>20</v>
      </c>
    </row>
    <row r="110" spans="1:6">
      <c r="A110" s="517">
        <v>38</v>
      </c>
      <c r="B110" s="3279"/>
      <c r="C110" s="517" t="s">
        <v>2783</v>
      </c>
      <c r="D110" s="508" t="s">
        <v>2788</v>
      </c>
      <c r="E110" s="517">
        <v>0.1</v>
      </c>
      <c r="F110" s="517">
        <v>15</v>
      </c>
    </row>
    <row r="111" spans="1:6" ht="24">
      <c r="A111" s="517">
        <v>39</v>
      </c>
      <c r="B111" s="3279"/>
      <c r="C111" s="517" t="s">
        <v>2784</v>
      </c>
      <c r="D111" s="508" t="s">
        <v>2785</v>
      </c>
      <c r="E111" s="517">
        <v>0.1</v>
      </c>
      <c r="F111" s="517">
        <v>15</v>
      </c>
    </row>
    <row r="112" spans="1:6" ht="24">
      <c r="A112" s="517">
        <v>40</v>
      </c>
      <c r="B112" s="3280"/>
      <c r="C112" s="517" t="s">
        <v>2786</v>
      </c>
      <c r="D112" s="508" t="s">
        <v>2789</v>
      </c>
      <c r="E112" s="517">
        <v>0.1</v>
      </c>
      <c r="F112" s="517">
        <v>15</v>
      </c>
    </row>
    <row r="113" spans="1:6">
      <c r="A113" s="517">
        <v>41</v>
      </c>
      <c r="B113" s="3277" t="s">
        <v>471</v>
      </c>
      <c r="C113" s="517" t="s">
        <v>472</v>
      </c>
      <c r="D113" s="508" t="s">
        <v>473</v>
      </c>
      <c r="E113" s="517">
        <v>0.1</v>
      </c>
      <c r="F113" s="517">
        <v>15</v>
      </c>
    </row>
    <row r="114" spans="1:6">
      <c r="A114" s="517">
        <v>42</v>
      </c>
      <c r="B114" s="3277"/>
      <c r="C114" s="517" t="s">
        <v>474</v>
      </c>
      <c r="D114" s="508" t="s">
        <v>475</v>
      </c>
      <c r="E114" s="517">
        <v>0.1</v>
      </c>
      <c r="F114" s="517">
        <v>15</v>
      </c>
    </row>
    <row r="115" spans="1:6" ht="24">
      <c r="A115" s="517">
        <v>43</v>
      </c>
      <c r="B115" s="3277"/>
      <c r="C115" s="517" t="s">
        <v>2790</v>
      </c>
      <c r="D115" s="508" t="s">
        <v>2791</v>
      </c>
      <c r="E115" s="517">
        <v>0.1</v>
      </c>
      <c r="F115" s="517">
        <v>15</v>
      </c>
    </row>
    <row r="116" spans="1:6">
      <c r="A116" s="517">
        <v>44</v>
      </c>
      <c r="B116" s="3278" t="s">
        <v>476</v>
      </c>
      <c r="C116" s="517" t="s">
        <v>2792</v>
      </c>
      <c r="D116" s="508" t="s">
        <v>2793</v>
      </c>
      <c r="E116" s="517">
        <v>0.1</v>
      </c>
      <c r="F116" s="517">
        <v>15</v>
      </c>
    </row>
    <row r="117" spans="1:6" ht="24">
      <c r="A117" s="517">
        <v>45</v>
      </c>
      <c r="B117" s="3280"/>
      <c r="C117" s="508" t="s">
        <v>2794</v>
      </c>
      <c r="D117" s="508" t="s">
        <v>2795</v>
      </c>
      <c r="E117" s="517">
        <v>0.1</v>
      </c>
      <c r="F117" s="517">
        <v>15</v>
      </c>
    </row>
    <row r="118" spans="1:6" ht="24">
      <c r="A118" s="517">
        <v>46</v>
      </c>
      <c r="B118" s="3278" t="s">
        <v>477</v>
      </c>
      <c r="C118" s="517" t="s">
        <v>2798</v>
      </c>
      <c r="D118" s="508" t="s">
        <v>2796</v>
      </c>
      <c r="E118" s="517">
        <v>0.1</v>
      </c>
      <c r="F118" s="517">
        <v>15</v>
      </c>
    </row>
    <row r="119" spans="1:6" ht="24">
      <c r="A119" s="517">
        <v>47</v>
      </c>
      <c r="B119" s="3280"/>
      <c r="C119" s="517" t="s">
        <v>2797</v>
      </c>
      <c r="D119" s="508" t="s">
        <v>2799</v>
      </c>
      <c r="E119" s="517">
        <v>0.1</v>
      </c>
      <c r="F119" s="517">
        <v>15</v>
      </c>
    </row>
    <row r="120" spans="1:6">
      <c r="A120" s="517">
        <v>48</v>
      </c>
      <c r="B120" s="3278" t="s">
        <v>478</v>
      </c>
      <c r="C120" s="517" t="s">
        <v>479</v>
      </c>
      <c r="D120" s="508" t="s">
        <v>480</v>
      </c>
      <c r="E120" s="517">
        <v>0.1</v>
      </c>
      <c r="F120" s="517">
        <v>15</v>
      </c>
    </row>
    <row r="121" spans="1:6">
      <c r="A121" s="517">
        <v>49</v>
      </c>
      <c r="B121" s="3280"/>
      <c r="C121" s="517" t="s">
        <v>2800</v>
      </c>
      <c r="D121" s="508" t="s">
        <v>2801</v>
      </c>
      <c r="E121" s="517">
        <v>0.1</v>
      </c>
      <c r="F121" s="517">
        <v>15</v>
      </c>
    </row>
    <row r="122" spans="1:6" ht="24">
      <c r="A122" s="517">
        <v>50</v>
      </c>
      <c r="B122" s="3277" t="s">
        <v>481</v>
      </c>
      <c r="C122" s="517" t="s">
        <v>482</v>
      </c>
      <c r="D122" s="508" t="s">
        <v>483</v>
      </c>
      <c r="E122" s="517">
        <v>0.1</v>
      </c>
      <c r="F122" s="517">
        <v>15</v>
      </c>
    </row>
    <row r="123" spans="1:6" ht="24">
      <c r="A123" s="517">
        <v>51</v>
      </c>
      <c r="B123" s="3277"/>
      <c r="C123" s="517" t="s">
        <v>484</v>
      </c>
      <c r="D123" s="508" t="s">
        <v>485</v>
      </c>
      <c r="E123" s="517">
        <v>0.1</v>
      </c>
      <c r="F123" s="517">
        <v>15</v>
      </c>
    </row>
    <row r="124" spans="1:6" ht="24">
      <c r="A124" s="517">
        <v>52</v>
      </c>
      <c r="B124" s="3277" t="s">
        <v>486</v>
      </c>
      <c r="C124" s="517" t="s">
        <v>487</v>
      </c>
      <c r="D124" s="508" t="s">
        <v>2802</v>
      </c>
      <c r="E124" s="517">
        <v>0.1</v>
      </c>
      <c r="F124" s="517">
        <v>15</v>
      </c>
    </row>
    <row r="125" spans="1:6" ht="24">
      <c r="A125" s="517">
        <v>53</v>
      </c>
      <c r="B125" s="3277"/>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77" t="s">
        <v>494</v>
      </c>
      <c r="C127" s="517" t="s">
        <v>497</v>
      </c>
      <c r="D127" s="508" t="s">
        <v>498</v>
      </c>
      <c r="E127" s="517">
        <v>0.1</v>
      </c>
      <c r="F127" s="517">
        <v>15</v>
      </c>
    </row>
    <row r="128" spans="1:6">
      <c r="A128" s="517">
        <v>56</v>
      </c>
      <c r="B128" s="3277"/>
      <c r="C128" s="517" t="s">
        <v>499</v>
      </c>
      <c r="D128" s="508" t="s">
        <v>500</v>
      </c>
      <c r="E128" s="517">
        <v>0.1</v>
      </c>
      <c r="F128" s="517">
        <v>15</v>
      </c>
    </row>
    <row r="129" spans="1:6" ht="24">
      <c r="A129" s="517">
        <v>57</v>
      </c>
      <c r="B129" s="3277"/>
      <c r="C129" s="517" t="s">
        <v>495</v>
      </c>
      <c r="D129" s="508" t="s">
        <v>496</v>
      </c>
      <c r="E129" s="517">
        <v>0.1</v>
      </c>
      <c r="F129" s="517">
        <v>15</v>
      </c>
    </row>
    <row r="130" spans="1:6" ht="24">
      <c r="A130" s="517">
        <v>58</v>
      </c>
      <c r="B130" s="3277" t="s">
        <v>493</v>
      </c>
      <c r="C130" s="517" t="s">
        <v>2803</v>
      </c>
      <c r="D130" s="508" t="s">
        <v>2804</v>
      </c>
      <c r="E130" s="517">
        <v>0.1</v>
      </c>
      <c r="F130" s="517">
        <v>15</v>
      </c>
    </row>
    <row r="131" spans="1:6">
      <c r="A131" s="517">
        <v>59</v>
      </c>
      <c r="B131" s="3277"/>
      <c r="C131" s="517" t="s">
        <v>2805</v>
      </c>
      <c r="D131" s="508" t="s">
        <v>2806</v>
      </c>
      <c r="E131" s="517">
        <v>0.1</v>
      </c>
      <c r="F131" s="517">
        <v>15</v>
      </c>
    </row>
    <row r="132" spans="1:6">
      <c r="A132" s="517">
        <v>60</v>
      </c>
      <c r="B132" s="3278" t="s">
        <v>504</v>
      </c>
      <c r="C132" s="517" t="s">
        <v>505</v>
      </c>
      <c r="D132" s="508" t="s">
        <v>2809</v>
      </c>
      <c r="E132" s="517">
        <v>0.1</v>
      </c>
      <c r="F132" s="517">
        <v>15</v>
      </c>
    </row>
    <row r="133" spans="1:6">
      <c r="A133" s="517">
        <v>61</v>
      </c>
      <c r="B133" s="3280"/>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77" t="s">
        <v>506</v>
      </c>
      <c r="C135" s="517" t="s">
        <v>507</v>
      </c>
      <c r="D135" s="508" t="s">
        <v>2811</v>
      </c>
      <c r="E135" s="517">
        <v>0.1</v>
      </c>
      <c r="F135" s="517">
        <v>15</v>
      </c>
    </row>
    <row r="136" spans="1:6">
      <c r="A136" s="517">
        <v>64</v>
      </c>
      <c r="B136" s="3277"/>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332</v>
      </c>
      <c r="C2" s="2543" t="s">
        <v>2332</v>
      </c>
      <c r="D2" s="2543" t="s">
        <v>2333</v>
      </c>
      <c r="E2" s="2544">
        <f ca="1">SUMIF(E6:E13,"&lt;&gt;#ref!",E6:E13)</f>
        <v>377.44</v>
      </c>
      <c r="F2" s="2542"/>
      <c r="G2" s="2542"/>
      <c r="H2" s="2542"/>
      <c r="I2" s="2542"/>
      <c r="J2" s="2542"/>
      <c r="K2" s="2542"/>
      <c r="L2" s="2542"/>
      <c r="M2" s="2542"/>
      <c r="N2" s="2542"/>
      <c r="O2" s="2542"/>
      <c r="P2" s="2542"/>
    </row>
    <row r="3" spans="1:16" ht="15.75">
      <c r="A3" s="2543" t="s">
        <v>2334</v>
      </c>
      <c r="B3" s="1704">
        <f ca="1">ROUND(B2*10000/E2,0)</f>
        <v>8796</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332</v>
      </c>
      <c r="C6" s="2543" t="s">
        <v>2332</v>
      </c>
      <c r="D6" s="2542"/>
      <c r="E6" s="2544">
        <f ca="1">SUMIF(INDIRECT("'"&amp;A6&amp;"'"&amp;"!C:C"),"建筑面积",INDIRECT("'"&amp;A6&amp;"'"&amp;"!D:D"))</f>
        <v>377.44</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1" t="s">
        <v>670</v>
      </c>
      <c r="C1" s="3291"/>
      <c r="D1" s="3291"/>
      <c r="E1" s="3291"/>
      <c r="F1" s="3291"/>
      <c r="G1" s="3291"/>
      <c r="H1" s="3290" t="s">
        <v>671</v>
      </c>
      <c r="I1" s="3290"/>
      <c r="J1" s="3290"/>
      <c r="K1" s="3290"/>
      <c r="L1" s="3290"/>
      <c r="M1" s="3290"/>
      <c r="N1" s="2552"/>
      <c r="O1" s="3290" t="s">
        <v>672</v>
      </c>
      <c r="P1" s="3290"/>
      <c r="Q1" s="3290"/>
      <c r="R1" s="3290"/>
      <c r="S1" s="2552"/>
      <c r="T1" s="3290" t="s">
        <v>673</v>
      </c>
      <c r="U1" s="3290"/>
      <c r="V1" s="3290"/>
      <c r="W1" s="3290"/>
      <c r="X1" s="2552"/>
      <c r="Y1" s="3289" t="s">
        <v>674</v>
      </c>
      <c r="Z1" s="3290"/>
      <c r="AA1" s="3290"/>
      <c r="AB1" s="3290"/>
      <c r="AC1" s="3290"/>
      <c r="AD1" s="3290"/>
      <c r="AE1" s="2552"/>
      <c r="AF1" s="3289" t="s">
        <v>675</v>
      </c>
      <c r="AG1" s="3290"/>
      <c r="AH1" s="3290"/>
      <c r="AI1" s="3290"/>
      <c r="AJ1" s="3290"/>
      <c r="AK1" s="3290"/>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55">
        <f t="shared" ref="B5" si="1">B6*(1+O5)</f>
        <v>519.39640548169621</v>
      </c>
      <c r="C5" s="2855">
        <f t="shared" ref="C5" si="2">C6*(1+P5)</f>
        <v>354.63833872448288</v>
      </c>
      <c r="D5" s="2855">
        <f t="shared" ref="D5" si="3">C5</f>
        <v>354.63833872448288</v>
      </c>
      <c r="E5" s="2855">
        <f>D5</f>
        <v>354.63833872448288</v>
      </c>
      <c r="F5" s="2855">
        <f t="shared" ref="F5" si="4">F6*(1+Q5)</f>
        <v>752.17356893558372</v>
      </c>
      <c r="G5" s="2855">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56">
        <f t="shared" ref="B6" si="12">B7*(1+O6)</f>
        <v>519.39640548169621</v>
      </c>
      <c r="C6" s="2856">
        <f t="shared" ref="C6" si="13">C7*(1+P6)</f>
        <v>354.63833872448288</v>
      </c>
      <c r="D6" s="2856">
        <f t="shared" ref="D6" si="14">C6</f>
        <v>354.63833872448288</v>
      </c>
      <c r="E6" s="2856">
        <f t="shared" ref="E6:E13" si="15">B6</f>
        <v>519.39640548169621</v>
      </c>
      <c r="F6" s="2856">
        <f t="shared" ref="F6" si="16">F7*(1+Q6)</f>
        <v>752.17356893558372</v>
      </c>
      <c r="G6" s="2856">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55">
        <f t="shared" ref="B7" si="25">B8*(1+O7)</f>
        <v>519.39640548169621</v>
      </c>
      <c r="C7" s="2855">
        <f t="shared" ref="C7" si="26">C8*(1+P7)</f>
        <v>354.63833872448288</v>
      </c>
      <c r="D7" s="2855">
        <f t="shared" ref="D7" si="27">C7</f>
        <v>354.63833872448288</v>
      </c>
      <c r="E7" s="2855">
        <f t="shared" si="15"/>
        <v>519.39640548169621</v>
      </c>
      <c r="F7" s="2855">
        <f t="shared" ref="F7" si="28">F8*(1+Q7)</f>
        <v>752.17356893558372</v>
      </c>
      <c r="G7" s="2855">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57">
        <f t="shared" ref="B8" si="35">B9*(1+O8)</f>
        <v>519.39640548169621</v>
      </c>
      <c r="C8" s="2857">
        <f t="shared" ref="C8" si="36">C9*(1+P8)</f>
        <v>354.63833872448288</v>
      </c>
      <c r="D8" s="2857">
        <f t="shared" ref="D8" si="37">C8</f>
        <v>354.63833872448288</v>
      </c>
      <c r="E8" s="2857">
        <f t="shared" si="15"/>
        <v>519.39640548169621</v>
      </c>
      <c r="F8" s="2857">
        <f t="shared" ref="F8" si="38">F9*(1+Q8)</f>
        <v>752.17356893558372</v>
      </c>
      <c r="G8" s="2857">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3094</v>
      </c>
      <c r="B9" s="2855">
        <f t="shared" ref="B9" si="45">B10*(1+O9)</f>
        <v>514.61052757524635</v>
      </c>
      <c r="C9" s="2855">
        <f t="shared" ref="C9" si="46">C10*(1+P9)</f>
        <v>354.10717795754653</v>
      </c>
      <c r="D9" s="2855">
        <f t="shared" ref="D9" si="47">C9</f>
        <v>354.10717795754653</v>
      </c>
      <c r="E9" s="2855">
        <f t="shared" si="15"/>
        <v>514.61052757524635</v>
      </c>
      <c r="F9" s="2855">
        <f t="shared" ref="F9" si="48">F10*(1+Q9)</f>
        <v>744.35781191052331</v>
      </c>
      <c r="G9" s="2855">
        <f t="shared" ref="G9" si="49">G10*(1+R9)</f>
        <v>338.03284441166971</v>
      </c>
      <c r="H9" s="2975">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55">
        <f t="shared" ref="B10" si="55">B11*(1+O10)</f>
        <v>510.07089659554606</v>
      </c>
      <c r="C10" s="2855">
        <f t="shared" ref="C10" si="56">C11*(1+P10)</f>
        <v>352.55593185737411</v>
      </c>
      <c r="D10" s="2855">
        <f t="shared" ref="D10" si="57">C10</f>
        <v>352.55593185737411</v>
      </c>
      <c r="E10" s="2855">
        <f t="shared" si="15"/>
        <v>510.07089659554606</v>
      </c>
      <c r="F10" s="2855">
        <f t="shared" ref="F10" si="58">F11*(1+Q10)</f>
        <v>737.27992463403655</v>
      </c>
      <c r="G10" s="2855">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55">
        <f t="shared" ref="B11" si="63">B12*(1+O11)</f>
        <v>504.87072809615569</v>
      </c>
      <c r="C11" s="2855">
        <f t="shared" ref="C11" si="64">C12*(1+P11)</f>
        <v>351.71182348101968</v>
      </c>
      <c r="D11" s="2855">
        <f t="shared" ref="D11" si="65">C11</f>
        <v>351.71182348101968</v>
      </c>
      <c r="E11" s="2855">
        <f t="shared" si="15"/>
        <v>504.87072809615569</v>
      </c>
      <c r="F11" s="2855">
        <f t="shared" ref="F11" si="66">F12*(1+Q11)</f>
        <v>728.75350858360832</v>
      </c>
      <c r="G11" s="2855">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55">
        <f t="shared" ref="B12" si="68">B13*(1+O12)</f>
        <v>502.50893609650217</v>
      </c>
      <c r="C12" s="2855">
        <f t="shared" ref="C12" si="69">C13*(1+P12)</f>
        <v>350.27569313914915</v>
      </c>
      <c r="D12" s="2855">
        <f t="shared" ref="D12" si="70">C12</f>
        <v>350.27569313914915</v>
      </c>
      <c r="E12" s="2855">
        <f t="shared" si="15"/>
        <v>502.50893609650217</v>
      </c>
      <c r="F12" s="2855">
        <f t="shared" ref="F12" si="71">F13*(1+Q12)</f>
        <v>725.27220201394141</v>
      </c>
      <c r="G12" s="2855">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58">
        <f t="shared" ref="B13" si="73">B14*(1+O13)</f>
        <v>497.92799851020823</v>
      </c>
      <c r="C13" s="2858">
        <f t="shared" ref="C13" si="74">C14*(1+P13)</f>
        <v>347.77173663537445</v>
      </c>
      <c r="D13" s="2858">
        <f t="shared" ref="D13" si="75">C13</f>
        <v>347.77173663537445</v>
      </c>
      <c r="E13" s="2858">
        <f t="shared" si="15"/>
        <v>497.92799851020823</v>
      </c>
      <c r="F13" s="2858">
        <f t="shared" ref="F13" si="76">F14*(1+Q13)</f>
        <v>718.44695593258189</v>
      </c>
      <c r="G13" s="2858">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59">
        <f t="shared" ref="B14" si="81">B15*(1+O14)</f>
        <v>493.14449689037161</v>
      </c>
      <c r="C14" s="2859">
        <f t="shared" ref="C14" si="82">C15*(1+P14)</f>
        <v>347.21619073020611</v>
      </c>
      <c r="D14" s="2859">
        <f t="shared" ref="D14" si="83">C14</f>
        <v>347.21619073020611</v>
      </c>
      <c r="E14" s="2859"/>
      <c r="F14" s="2859">
        <f t="shared" ref="F14" si="84">F15*(1+Q14)</f>
        <v>710.55974278763904</v>
      </c>
      <c r="G14" s="2859">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55">
        <f t="shared" ref="B15" si="90">B16*(1+O15)</f>
        <v>483.1434279321756</v>
      </c>
      <c r="C15" s="2855">
        <f t="shared" ref="C15" si="91">C16*(1+P15)</f>
        <v>345.93622669144776</v>
      </c>
      <c r="D15" s="2855">
        <f t="shared" ref="D15" si="92">C15</f>
        <v>345.93622669144776</v>
      </c>
      <c r="E15" s="2855"/>
      <c r="F15" s="2855">
        <f t="shared" ref="F15" si="93">F16*(1+Q15)</f>
        <v>694.24498562544113</v>
      </c>
      <c r="G15" s="2855">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55">
        <f t="shared" ref="B16" si="99">B17*(1+O16)</f>
        <v>481.4103506697644</v>
      </c>
      <c r="C16" s="2855">
        <f t="shared" ref="C16" si="100">C17*(1+P16)</f>
        <v>347.29066026648707</v>
      </c>
      <c r="D16" s="2855">
        <f t="shared" ref="D16" si="101">C16</f>
        <v>347.29066026648707</v>
      </c>
      <c r="E16" s="2855"/>
      <c r="F16" s="2855">
        <f t="shared" ref="F16" si="102">F17*(1+Q16)</f>
        <v>690.85977273901995</v>
      </c>
      <c r="G16" s="2855">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55">
        <f t="shared" ref="B17" si="108">B18*(1+O17)</f>
        <v>479.92259063878413</v>
      </c>
      <c r="C17" s="2855">
        <f t="shared" ref="C17" si="109">C18*(1+P17)</f>
        <v>350.02082268341775</v>
      </c>
      <c r="D17" s="2855">
        <f t="shared" ref="D17" si="110">C17</f>
        <v>350.02082268341775</v>
      </c>
      <c r="E17" s="2855"/>
      <c r="F17" s="2855">
        <f t="shared" ref="F17" si="111">F18*(1+Q17)</f>
        <v>687.42265944181099</v>
      </c>
      <c r="G17" s="2855">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56">
        <f t="shared" ref="B18" si="120">B19*(1+O18)</f>
        <v>479.34737379023579</v>
      </c>
      <c r="C18" s="2856">
        <f t="shared" ref="C18" si="121">C19*(1+P18)</f>
        <v>351.4265287986122</v>
      </c>
      <c r="D18" s="2856">
        <f t="shared" ref="D18" si="122">C18</f>
        <v>351.4265287986122</v>
      </c>
      <c r="E18" s="2856"/>
      <c r="F18" s="2856">
        <f t="shared" ref="F18" si="123">F19*(1+Q18)</f>
        <v>685.98209703803116</v>
      </c>
      <c r="G18" s="2856">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55">
        <f t="shared" ref="B19" si="129">B20*(1+O19)</f>
        <v>477.19997390765138</v>
      </c>
      <c r="C19" s="2855">
        <f t="shared" ref="C19" si="130">C20*(1+P19)</f>
        <v>351.84874729536665</v>
      </c>
      <c r="D19" s="2855">
        <f t="shared" ref="D19" si="131">C19</f>
        <v>351.84874729536665</v>
      </c>
      <c r="E19" s="2855"/>
      <c r="F19" s="2855">
        <f t="shared" ref="F19" si="132">F20*(1+Q19)</f>
        <v>682.29768951465201</v>
      </c>
      <c r="G19" s="2855">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55">
        <f t="shared" ref="B20" si="137">B21*(1+O20)</f>
        <v>474.30670301923408</v>
      </c>
      <c r="C20" s="2855">
        <f t="shared" ref="C20" si="138">C21*(1+P20)</f>
        <v>349.50705005996491</v>
      </c>
      <c r="D20" s="2855">
        <f t="shared" ref="D20" si="139">C20</f>
        <v>349.50705005996491</v>
      </c>
      <c r="E20" s="2855"/>
      <c r="F20" s="2855">
        <f t="shared" ref="F20" si="140">F21*(1+Q20)</f>
        <v>678.22831959706957</v>
      </c>
      <c r="G20" s="2855">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55">
        <f t="shared" ref="B21" si="145">B22*(1+O21)</f>
        <v>467.15916775261894</v>
      </c>
      <c r="C21" s="2855">
        <f t="shared" ref="C21" si="146">C22*(1+P21)</f>
        <v>346.01232557169084</v>
      </c>
      <c r="D21" s="2855">
        <f t="shared" ref="D21" si="147">C21</f>
        <v>346.01232557169084</v>
      </c>
      <c r="E21" s="2855"/>
      <c r="F21" s="2855">
        <f t="shared" ref="F21" si="148">F22*(1+Q21)</f>
        <v>667.41617752122568</v>
      </c>
      <c r="G21" s="2855">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56">
        <f t="shared" ref="B22" si="156">B23*(1+O22)</f>
        <v>464.37293017158942</v>
      </c>
      <c r="C22" s="2856">
        <f t="shared" ref="C22" si="157">C23*(1+P22)</f>
        <v>344.73679941385956</v>
      </c>
      <c r="D22" s="2856">
        <f t="shared" ref="D22" si="158">C22</f>
        <v>344.73679941385956</v>
      </c>
      <c r="E22" s="2856"/>
      <c r="F22" s="2856">
        <f t="shared" ref="F22" si="159">F23*(1+Q22)</f>
        <v>663.2377795103107</v>
      </c>
      <c r="G22" s="2856">
        <f t="shared" ref="G22" si="160">G23*(1+R22)</f>
        <v>304.75936311478398</v>
      </c>
      <c r="H22" s="3287">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56">
        <f t="shared" ref="B23" si="164">B24*(1+O23)</f>
        <v>459.95733971036987</v>
      </c>
      <c r="C23" s="2856">
        <f t="shared" ref="C23" si="165">C24*(1+P23)</f>
        <v>341.22221064422405</v>
      </c>
      <c r="D23" s="2856">
        <f t="shared" ref="D23" si="166">C23</f>
        <v>341.22221064422405</v>
      </c>
      <c r="E23" s="2856"/>
      <c r="F23" s="2856">
        <f t="shared" ref="F23" si="167">F24*(1+Q23)</f>
        <v>657.19161663724799</v>
      </c>
      <c r="G23" s="2856">
        <f t="shared" ref="G23" si="168">G24*(1+R23)</f>
        <v>300.87803644464805</v>
      </c>
      <c r="H23" s="3287"/>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56">
        <f t="shared" ref="B24" si="172">B25*(1+O24)</f>
        <v>453.11529869999993</v>
      </c>
      <c r="C24" s="2856">
        <f t="shared" ref="C24" si="173">C25*(1+P24)</f>
        <v>336.47787264000004</v>
      </c>
      <c r="D24" s="2856">
        <f t="shared" ref="D24" si="174">C24</f>
        <v>336.47787264000004</v>
      </c>
      <c r="E24" s="2856"/>
      <c r="F24" s="2856">
        <f t="shared" ref="F24" si="175">F25*(1+Q24)</f>
        <v>647.35186823999993</v>
      </c>
      <c r="G24" s="2856">
        <f t="shared" ref="G24" si="176">G25*(1+R24)</f>
        <v>295.73229452000004</v>
      </c>
      <c r="H24" s="3287"/>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56">
        <f t="shared" ref="B25" si="181">B26*(1+O25)</f>
        <v>446.46299999999997</v>
      </c>
      <c r="C25" s="2856">
        <f t="shared" ref="C25" si="182">C26*(1+P25)</f>
        <v>333.27840000000003</v>
      </c>
      <c r="D25" s="2856">
        <f t="shared" ref="D25" si="183">C25</f>
        <v>333.27840000000003</v>
      </c>
      <c r="E25" s="2856"/>
      <c r="F25" s="2856">
        <f t="shared" ref="F25" si="184">F26*(1+Q25)</f>
        <v>637.28279999999995</v>
      </c>
      <c r="G25" s="2856">
        <f t="shared" ref="G25" si="185">G26*(1+R25)</f>
        <v>288.68830000000003</v>
      </c>
      <c r="H25" s="3296"/>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56">
        <v>439</v>
      </c>
      <c r="C26" s="2856">
        <v>327</v>
      </c>
      <c r="D26" s="2856">
        <f>C26</f>
        <v>327</v>
      </c>
      <c r="E26" s="2856"/>
      <c r="F26" s="2856">
        <v>627</v>
      </c>
      <c r="G26" s="2856">
        <v>283</v>
      </c>
      <c r="H26" s="3292">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56">
        <f t="shared" ref="B27:B28" si="196">B28*(1+O27)</f>
        <v>431.80730811680002</v>
      </c>
      <c r="C27" s="2856">
        <f t="shared" ref="C27:C28" si="197">C28*(1+P27)</f>
        <v>320.57880516480003</v>
      </c>
      <c r="D27" s="2856">
        <f t="shared" ref="D27:D28" si="198">C27</f>
        <v>320.57880516480003</v>
      </c>
      <c r="E27" s="2856"/>
      <c r="F27" s="2856">
        <f t="shared" ref="F27:F28" si="199">F28*(1+Q27)</f>
        <v>615.96110553196797</v>
      </c>
      <c r="G27" s="2856">
        <f t="shared" ref="G27:G28" si="200">G28*(1+R27)</f>
        <v>279.46777300108801</v>
      </c>
      <c r="H27" s="3287"/>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56">
        <f t="shared" si="196"/>
        <v>419.31181600000002</v>
      </c>
      <c r="C28" s="2856">
        <f t="shared" si="197"/>
        <v>313.95436800000004</v>
      </c>
      <c r="D28" s="2856">
        <f t="shared" si="198"/>
        <v>313.95436800000004</v>
      </c>
      <c r="E28" s="2856"/>
      <c r="F28" s="2856">
        <f t="shared" si="199"/>
        <v>596.63028431999999</v>
      </c>
      <c r="G28" s="2856">
        <f t="shared" si="200"/>
        <v>274.74220703999998</v>
      </c>
      <c r="H28" s="3287"/>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56">
        <f>B30*(1+O29)</f>
        <v>405.524</v>
      </c>
      <c r="C29" s="2856">
        <f>C30*(1+P29)</f>
        <v>307.79840000000002</v>
      </c>
      <c r="D29" s="2856">
        <f>C29</f>
        <v>307.79840000000002</v>
      </c>
      <c r="E29" s="2856"/>
      <c r="F29" s="2856">
        <f>F30*(1+Q29)</f>
        <v>574.67759999999998</v>
      </c>
      <c r="G29" s="2856">
        <f>G30*(1+R29)</f>
        <v>270.20280000000002</v>
      </c>
      <c r="H29" s="3296"/>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56">
        <v>392</v>
      </c>
      <c r="C30" s="2856">
        <v>302</v>
      </c>
      <c r="D30" s="2856">
        <f>C30</f>
        <v>302</v>
      </c>
      <c r="E30" s="2856"/>
      <c r="F30" s="2856">
        <v>553</v>
      </c>
      <c r="G30" s="2856">
        <v>266</v>
      </c>
      <c r="H30" s="3292">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56">
        <f t="shared" ref="B31:C33" si="209">B30/(1+O30)</f>
        <v>374.90436113236416</v>
      </c>
      <c r="C31" s="2856">
        <f t="shared" si="209"/>
        <v>295.64366128242779</v>
      </c>
      <c r="D31" s="2856">
        <f t="shared" ref="D31:D90" si="210">C31</f>
        <v>295.64366128242779</v>
      </c>
      <c r="E31" s="2856"/>
      <c r="F31" s="2856">
        <f t="shared" ref="F31:G33" si="211">F30/(1+Q30)</f>
        <v>525.06646410938095</v>
      </c>
      <c r="G31" s="2856">
        <f t="shared" si="211"/>
        <v>261.88835286009646</v>
      </c>
      <c r="H31" s="3287"/>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56">
        <f t="shared" si="209"/>
        <v>360.06949782209392</v>
      </c>
      <c r="C32" s="2856">
        <f t="shared" si="209"/>
        <v>289.84672674747821</v>
      </c>
      <c r="D32" s="2856">
        <f t="shared" si="210"/>
        <v>289.84672674747821</v>
      </c>
      <c r="E32" s="2856"/>
      <c r="F32" s="2856">
        <f t="shared" si="211"/>
        <v>501.06543001181495</v>
      </c>
      <c r="G32" s="2856">
        <f t="shared" si="211"/>
        <v>256.82882500744967</v>
      </c>
      <c r="H32" s="3287"/>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56">
        <f t="shared" si="209"/>
        <v>346.720748986128</v>
      </c>
      <c r="C33" s="2856">
        <f t="shared" si="209"/>
        <v>284.30282172386285</v>
      </c>
      <c r="D33" s="2856">
        <f t="shared" si="210"/>
        <v>284.30282172386285</v>
      </c>
      <c r="E33" s="2856"/>
      <c r="F33" s="2856">
        <f t="shared" si="211"/>
        <v>479.58023546306947</v>
      </c>
      <c r="G33" s="2856">
        <f t="shared" si="211"/>
        <v>253.25788877571213</v>
      </c>
      <c r="H33" s="3288"/>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56">
        <v>333</v>
      </c>
      <c r="C34" s="2856">
        <v>277</v>
      </c>
      <c r="D34" s="2856">
        <f t="shared" si="210"/>
        <v>277</v>
      </c>
      <c r="E34" s="2856"/>
      <c r="F34" s="2856">
        <v>459</v>
      </c>
      <c r="G34" s="2856">
        <v>249</v>
      </c>
      <c r="H34" s="3286">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56">
        <f t="shared" ref="B35:C37" si="213">B34/(1+O34)</f>
        <v>327.65915576109415</v>
      </c>
      <c r="C35" s="2856">
        <f t="shared" si="213"/>
        <v>273.95905449510434</v>
      </c>
      <c r="D35" s="2856">
        <f t="shared" si="210"/>
        <v>273.95905449510434</v>
      </c>
      <c r="E35" s="2856"/>
      <c r="F35" s="2856">
        <f t="shared" ref="F35:G37" si="214">F34/(1+Q34)</f>
        <v>451.01699911565294</v>
      </c>
      <c r="G35" s="2856">
        <f t="shared" si="214"/>
        <v>244.38119540681129</v>
      </c>
      <c r="H35" s="3287"/>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56">
        <f t="shared" si="213"/>
        <v>322.34053690220776</v>
      </c>
      <c r="C36" s="2856">
        <f t="shared" si="213"/>
        <v>271.46160770422546</v>
      </c>
      <c r="D36" s="2856">
        <f t="shared" si="210"/>
        <v>271.46160770422546</v>
      </c>
      <c r="E36" s="2856"/>
      <c r="F36" s="2856">
        <f t="shared" si="214"/>
        <v>442.69434542172456</v>
      </c>
      <c r="G36" s="2856">
        <f t="shared" si="214"/>
        <v>241.34030753190925</v>
      </c>
      <c r="H36" s="3287"/>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56">
        <f t="shared" si="213"/>
        <v>319.87748030386797</v>
      </c>
      <c r="C37" s="2856">
        <f t="shared" si="213"/>
        <v>269.60135833173649</v>
      </c>
      <c r="D37" s="2856">
        <f t="shared" si="210"/>
        <v>269.60135833173649</v>
      </c>
      <c r="E37" s="2856"/>
      <c r="F37" s="2856">
        <f t="shared" si="214"/>
        <v>439.18089823583784</v>
      </c>
      <c r="G37" s="2856">
        <f t="shared" si="214"/>
        <v>239.23503918706311</v>
      </c>
      <c r="H37" s="3288"/>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56">
        <v>318</v>
      </c>
      <c r="C38" s="2856">
        <v>268</v>
      </c>
      <c r="D38" s="2856">
        <f t="shared" si="210"/>
        <v>268</v>
      </c>
      <c r="E38" s="2856"/>
      <c r="F38" s="2856">
        <v>437</v>
      </c>
      <c r="G38" s="2856">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56">
        <f t="shared" ref="B39:C41" si="215">B38/(1+O38)</f>
        <v>317.33359944117353</v>
      </c>
      <c r="C39" s="2856">
        <f t="shared" si="215"/>
        <v>266.90568668459315</v>
      </c>
      <c r="D39" s="2856">
        <f t="shared" si="210"/>
        <v>266.90568668459315</v>
      </c>
      <c r="E39" s="2856"/>
      <c r="F39" s="2856">
        <f t="shared" ref="F39:G41" si="216">F38/(1+Q38)</f>
        <v>436.47622852576905</v>
      </c>
      <c r="G39" s="2856">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56">
        <f t="shared" si="215"/>
        <v>314.72141172386546</v>
      </c>
      <c r="C40" s="2856">
        <f t="shared" si="215"/>
        <v>263.03901319069001</v>
      </c>
      <c r="D40" s="2856">
        <f t="shared" si="210"/>
        <v>263.03901319069001</v>
      </c>
      <c r="E40" s="2856"/>
      <c r="F40" s="2856">
        <f t="shared" si="216"/>
        <v>433.65745506782821</v>
      </c>
      <c r="G40" s="2856">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56">
        <f t="shared" si="215"/>
        <v>307.34512863658733</v>
      </c>
      <c r="C41" s="2856">
        <f t="shared" si="215"/>
        <v>257.80556031626975</v>
      </c>
      <c r="D41" s="2856">
        <f t="shared" si="210"/>
        <v>257.80556031626975</v>
      </c>
      <c r="E41" s="2856"/>
      <c r="F41" s="2856">
        <f t="shared" si="216"/>
        <v>422.70928459677179</v>
      </c>
      <c r="G41" s="2856">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3">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294"/>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294"/>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295"/>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86">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87"/>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87"/>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88"/>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86">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87">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87">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88">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86">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87">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87">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88">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86">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87">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87">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88">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86">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87">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87">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88">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86">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87">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87">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88">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86">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87">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87">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88">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86">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87">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87">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88">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86">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87">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87">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88">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86">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87">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87">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88">
        <v>2003</v>
      </c>
      <c r="I85" s="2633">
        <v>1</v>
      </c>
    </row>
    <row r="86" spans="1:31" ht="13.5" hidden="1" thickBot="1">
      <c r="A86" s="2574" t="s">
        <v>726</v>
      </c>
      <c r="B86" s="2611">
        <v>106</v>
      </c>
      <c r="C86" s="2611">
        <v>107</v>
      </c>
      <c r="D86" s="2611">
        <f t="shared" si="210"/>
        <v>107</v>
      </c>
      <c r="E86" s="2611"/>
      <c r="F86" s="2611">
        <v>105</v>
      </c>
      <c r="G86" s="2612">
        <v>102</v>
      </c>
      <c r="H86" s="3286">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87">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87">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88">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0" t="s">
        <v>2342</v>
      </c>
      <c r="D1" s="3301"/>
      <c r="E1" s="3301"/>
      <c r="F1" s="3301"/>
      <c r="G1" s="3301"/>
      <c r="H1" s="3301"/>
      <c r="I1" s="3301"/>
      <c r="J1" s="3301"/>
      <c r="K1" s="3301"/>
      <c r="L1" s="3301"/>
      <c r="M1" s="3301"/>
      <c r="N1" s="3301"/>
      <c r="O1" s="3301"/>
      <c r="P1" s="3301"/>
      <c r="Q1" s="3301"/>
      <c r="R1" s="3301"/>
      <c r="S1" s="3302"/>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297" t="s">
        <v>30</v>
      </c>
      <c r="D22" s="3298"/>
      <c r="E22" s="3298"/>
      <c r="F22" s="3298"/>
      <c r="G22" s="3298"/>
      <c r="H22" s="3298"/>
      <c r="I22" s="3298"/>
      <c r="J22" s="3298"/>
      <c r="K22" s="3298"/>
      <c r="L22" s="3298"/>
      <c r="M22" s="3298"/>
      <c r="N22" s="3298"/>
      <c r="O22" s="3298"/>
      <c r="P22" s="3298"/>
      <c r="Q22" s="3299"/>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1"/>
      <c r="C1" s="1133"/>
      <c r="D1" s="1133"/>
      <c r="E1" s="1133"/>
      <c r="F1" s="1133"/>
      <c r="G1" s="1138"/>
    </row>
    <row r="2" spans="1:7" s="1135" customFormat="1" ht="18" customHeight="1">
      <c r="A2" s="1136" t="s">
        <v>60</v>
      </c>
      <c r="B2" s="1137" t="e">
        <f ca="1">C52</f>
        <v>#VALUE!</v>
      </c>
      <c r="C2" s="2832" t="s">
        <v>109</v>
      </c>
      <c r="D2" s="1138"/>
      <c r="E2" s="1138"/>
      <c r="F2" s="1138"/>
      <c r="G2" s="1138"/>
    </row>
    <row r="3" spans="1:7" s="1135" customFormat="1" ht="18" customHeight="1" thickBot="1">
      <c r="A3" s="1143" t="s">
        <v>61</v>
      </c>
      <c r="B3" s="1144" t="e">
        <f ca="1">ROUND(B2*10000/'数据-汇总表'!E3,0)</f>
        <v>#VALUE!</v>
      </c>
      <c r="C3" s="2832"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3"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4" t="s">
        <v>635</v>
      </c>
      <c r="B19" s="1150" t="s">
        <v>87</v>
      </c>
      <c r="C19" s="1151">
        <f>IF(G19="已包含在土地取得成本中","0",ROUND(D19*E19/10000,0))</f>
        <v>0</v>
      </c>
      <c r="D19" s="1151">
        <f>'数据-汇总表'!E3</f>
        <v>0</v>
      </c>
      <c r="E19" s="1151">
        <f>'数据-取费表'!B31</f>
        <v>0</v>
      </c>
      <c r="F19" s="1173"/>
      <c r="G19" s="2833" t="s">
        <v>654</v>
      </c>
    </row>
    <row r="20" spans="1:7" s="1153" customFormat="1" ht="13.5" customHeight="1">
      <c r="A20" s="2834" t="s">
        <v>637</v>
      </c>
      <c r="B20" s="1150" t="s">
        <v>80</v>
      </c>
      <c r="C20" s="1174">
        <f>ROUND((C5+C19)*F20,0)</f>
        <v>0</v>
      </c>
      <c r="D20" s="1174"/>
      <c r="E20" s="1174"/>
      <c r="F20" s="1173">
        <f>'数据-取费表'!B37</f>
        <v>0</v>
      </c>
      <c r="G20" s="2835" t="s">
        <v>648</v>
      </c>
    </row>
    <row r="21" spans="1:7" s="1153" customFormat="1" ht="13.5" customHeight="1">
      <c r="A21" s="2834" t="s">
        <v>639</v>
      </c>
      <c r="B21" s="1150" t="s">
        <v>81</v>
      </c>
      <c r="C21" s="1176">
        <f>F21</f>
        <v>0</v>
      </c>
      <c r="D21" s="1177" t="s">
        <v>102</v>
      </c>
      <c r="E21" s="1174"/>
      <c r="F21" s="1173">
        <f>'数据-取费表'!B38</f>
        <v>0</v>
      </c>
      <c r="G21" s="1175" t="s">
        <v>82</v>
      </c>
    </row>
    <row r="22" spans="1:7" s="1153" customFormat="1" ht="13.5" customHeight="1">
      <c r="A22" s="2834" t="s">
        <v>549</v>
      </c>
      <c r="B22" s="1150" t="s">
        <v>83</v>
      </c>
      <c r="C22" s="1174" t="e">
        <f ca="1">ROUND(SUM(C23:C25),0)</f>
        <v>#VALUE!</v>
      </c>
      <c r="D22" s="1176" t="e">
        <f ca="1">C26</f>
        <v>#VALUE!</v>
      </c>
      <c r="E22" s="1177" t="s">
        <v>102</v>
      </c>
      <c r="F22" s="1178" t="e">
        <f ca="1">'数据-取费表'!B40</f>
        <v>#VALUE!</v>
      </c>
      <c r="G22" s="2835"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4"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4"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4" t="s">
        <v>546</v>
      </c>
      <c r="B39" s="1150" t="s">
        <v>80</v>
      </c>
      <c r="C39" s="1174">
        <f>ROUND(C33*F20,0)</f>
        <v>0</v>
      </c>
      <c r="D39" s="1174"/>
      <c r="E39" s="1174"/>
      <c r="F39" s="1173"/>
      <c r="G39" s="2835" t="s">
        <v>651</v>
      </c>
    </row>
    <row r="40" spans="1:7" s="1153" customFormat="1" ht="13.5" customHeight="1">
      <c r="A40" s="2834" t="s">
        <v>547</v>
      </c>
      <c r="B40" s="1150" t="s">
        <v>81</v>
      </c>
      <c r="C40" s="1176">
        <f>F21</f>
        <v>0</v>
      </c>
      <c r="D40" s="1177" t="s">
        <v>105</v>
      </c>
      <c r="E40" s="1174"/>
      <c r="F40" s="1173"/>
      <c r="G40" s="1175" t="s">
        <v>96</v>
      </c>
    </row>
    <row r="41" spans="1:7" s="1153" customFormat="1" ht="13.5" customHeight="1">
      <c r="A41" s="2834" t="s">
        <v>548</v>
      </c>
      <c r="B41" s="1150" t="s">
        <v>83</v>
      </c>
      <c r="C41" s="1174" t="e">
        <f ca="1">ROUND(SUM(C42:C43),0)</f>
        <v>#VALUE!</v>
      </c>
      <c r="D41" s="1176" t="e">
        <f ca="1">C44</f>
        <v>#VALUE!</v>
      </c>
      <c r="E41" s="1177" t="s">
        <v>105</v>
      </c>
      <c r="F41" s="1178"/>
      <c r="G41" s="2835"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0" t="s">
        <v>97</v>
      </c>
    </row>
    <row r="43" spans="1:7" ht="13.5" customHeight="1">
      <c r="A43" s="1179" t="s">
        <v>555</v>
      </c>
      <c r="B43" s="1155" t="s">
        <v>644</v>
      </c>
      <c r="C43" s="1180" t="e">
        <f ca="1">ROUND(IF('数据-取费表'!B22&lt;=1,C39*F22*'数据-取费表'!B21/2,C39*(POWER((1+F22),'数据-取费表'!B21/2)-1)),0)</f>
        <v>#VALUE!</v>
      </c>
      <c r="D43" s="1180"/>
      <c r="E43" s="1180"/>
      <c r="F43" s="1181"/>
      <c r="G43" s="3161"/>
    </row>
    <row r="44" spans="1:7" ht="13.5" customHeight="1">
      <c r="A44" s="1179" t="s">
        <v>556</v>
      </c>
      <c r="B44" s="1155" t="s">
        <v>646</v>
      </c>
      <c r="C44" s="1180" t="e">
        <f ca="1">ROUND(IF('数据-取费表'!B22&lt;=1,C40*F22*'数据-取费表'!B21/2,C40*(POWER((1+F22),'数据-取费表'!B21/2)-1)),4)</f>
        <v>#VALUE!</v>
      </c>
      <c r="D44" s="1180"/>
      <c r="E44" s="1180"/>
      <c r="F44" s="1181"/>
      <c r="G44" s="3162"/>
    </row>
    <row r="45" spans="1:7" s="1153" customFormat="1" ht="13.5" customHeight="1">
      <c r="A45" s="2834"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4" t="s">
        <v>550</v>
      </c>
      <c r="B48" s="1150" t="s">
        <v>98</v>
      </c>
      <c r="C48" s="1176">
        <f>F30</f>
        <v>0</v>
      </c>
      <c r="D48" s="1177" t="s">
        <v>106</v>
      </c>
      <c r="E48" s="1174"/>
      <c r="F48" s="1178"/>
      <c r="G48" s="1175" t="s">
        <v>99</v>
      </c>
    </row>
    <row r="49" spans="1:7" ht="16.5" customHeight="1">
      <c r="A49" s="2834" t="s">
        <v>551</v>
      </c>
      <c r="B49" s="1150" t="s">
        <v>107</v>
      </c>
      <c r="C49" s="1174" t="e">
        <f ca="1">ROUND((C33+C39+C41+C45)/(1-C40-D41-D45-C48/(1+'数据-取费表'!B42)),0)</f>
        <v>#VALUE!</v>
      </c>
      <c r="D49" s="1174"/>
      <c r="E49" s="1174"/>
      <c r="F49" s="1187"/>
      <c r="G49" s="1175" t="s">
        <v>653</v>
      </c>
    </row>
    <row r="50" spans="1:7" s="1195" customFormat="1" ht="24">
      <c r="A50" s="2834" t="s">
        <v>552</v>
      </c>
      <c r="B50" s="1150" t="s">
        <v>100</v>
      </c>
      <c r="C50" s="1174"/>
      <c r="D50" s="1174"/>
      <c r="E50" s="1174"/>
      <c r="F50" s="1187" t="e">
        <f>IF('数据-取费表'!B24=0,'数据-取费表'!N16,1)</f>
        <v>#DIV/0!</v>
      </c>
      <c r="G50" s="1188" t="s">
        <v>101</v>
      </c>
    </row>
    <row r="51" spans="1:7" ht="16.5" customHeight="1">
      <c r="A51" s="2834"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2776"/>
      <c r="B4" s="2988" t="s">
        <v>1134</v>
      </c>
      <c r="C4" s="2988"/>
      <c r="D4" s="2988"/>
      <c r="E4" s="2776"/>
    </row>
    <row r="5" spans="1:5" ht="16.5" thickTop="1">
      <c r="A5" s="2774"/>
      <c r="B5" s="2986" t="s">
        <v>1126</v>
      </c>
      <c r="C5" s="2777" t="s">
        <v>1127</v>
      </c>
      <c r="D5" s="2778" t="e">
        <f ca="1">结果表!H101</f>
        <v>#REF!</v>
      </c>
      <c r="E5" s="2774"/>
    </row>
    <row r="6" spans="1:5" ht="15.75">
      <c r="A6" s="2774"/>
      <c r="B6" s="2986"/>
      <c r="C6" s="2777" t="s">
        <v>1128</v>
      </c>
      <c r="D6" s="2778" t="e">
        <f ca="1">NUMBERSTRING(INT(D5*10000),2)&amp;"元整"</f>
        <v>#REF!</v>
      </c>
      <c r="E6" s="2774"/>
    </row>
    <row r="7" spans="1:5" ht="15.75">
      <c r="A7" s="2774"/>
      <c r="B7" s="2991"/>
      <c r="C7" s="2779" t="s">
        <v>1129</v>
      </c>
      <c r="D7" s="2780" t="e">
        <f ca="1">结果表!H102</f>
        <v>#REF!</v>
      </c>
      <c r="E7" s="2774"/>
    </row>
    <row r="8" spans="1:5" ht="15.75">
      <c r="A8" s="2774"/>
      <c r="B8" s="2992" t="str">
        <f>结果表!E103</f>
        <v>2.估价师知悉的法定优先受偿款</v>
      </c>
      <c r="C8" s="2781" t="s">
        <v>1130</v>
      </c>
      <c r="D8" s="2780">
        <f>结果表!H103</f>
        <v>0</v>
      </c>
      <c r="E8" s="2774"/>
    </row>
    <row r="9" spans="1:5" ht="15.75">
      <c r="A9" s="2774"/>
      <c r="B9" s="2994"/>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85" t="str">
        <f>结果表!E107</f>
        <v>3.房地产抵押价值</v>
      </c>
      <c r="C13" s="2785" t="s">
        <v>1127</v>
      </c>
      <c r="D13" s="2786" t="e">
        <f ca="1">结果表!H107</f>
        <v>#REF!</v>
      </c>
      <c r="E13" s="2774"/>
    </row>
    <row r="14" spans="1:5" ht="15.75">
      <c r="A14" s="2774"/>
      <c r="B14" s="2986"/>
      <c r="C14" s="2777" t="s">
        <v>1128</v>
      </c>
      <c r="D14" s="2778" t="e">
        <f ca="1">NUMBERSTRING(INT(D13*10000),2)&amp;"元整"</f>
        <v>#REF!</v>
      </c>
      <c r="E14" s="2774"/>
    </row>
    <row r="15" spans="1:5" ht="15">
      <c r="A15" s="2774"/>
      <c r="B15" s="2991"/>
      <c r="C15" s="2779" t="s">
        <v>1138</v>
      </c>
      <c r="D15" s="2787" t="e">
        <f ca="1">结果表!H108</f>
        <v>#REF!</v>
      </c>
      <c r="E15" s="2774"/>
    </row>
    <row r="16" spans="1:5" ht="15">
      <c r="A16" s="2774"/>
      <c r="B16" s="2992" t="str">
        <f>结果表!E109</f>
        <v>——</v>
      </c>
      <c r="C16" s="2785" t="s">
        <v>1139</v>
      </c>
      <c r="D16" s="2788" t="str">
        <f>结果表!H109</f>
        <v>——</v>
      </c>
      <c r="E16" s="2774"/>
    </row>
    <row r="17" spans="1:5" ht="15.75">
      <c r="A17" s="2774"/>
      <c r="B17" s="2993"/>
      <c r="C17" s="2777" t="s">
        <v>1140</v>
      </c>
      <c r="D17" s="2778" t="e">
        <f>NUMBERSTRING(INT(D16*10000),2)&amp;"元整"</f>
        <v>#VALUE!</v>
      </c>
      <c r="E17" s="2774"/>
    </row>
    <row r="18" spans="1:5" ht="15">
      <c r="A18" s="2774"/>
      <c r="B18" s="2994"/>
      <c r="C18" s="2779" t="s">
        <v>1129</v>
      </c>
      <c r="D18" s="2787" t="str">
        <f>结果表!H110</f>
        <v>——</v>
      </c>
      <c r="E18" s="2774"/>
    </row>
    <row r="19" spans="1:5" ht="15.75">
      <c r="A19" s="2774"/>
      <c r="B19" s="2985" t="str">
        <f>结果表!E111</f>
        <v>——</v>
      </c>
      <c r="C19" s="2785" t="s">
        <v>1127</v>
      </c>
      <c r="D19" s="2780" t="str">
        <f>结果表!H111</f>
        <v>——</v>
      </c>
      <c r="E19" s="2774"/>
    </row>
    <row r="20" spans="1:5" ht="15.75">
      <c r="A20" s="2774"/>
      <c r="B20" s="2986"/>
      <c r="C20" s="2777" t="s">
        <v>1140</v>
      </c>
      <c r="D20" s="2778" t="e">
        <f>NUMBERSTRING(INT(D19*10000),2)&amp;"元整"</f>
        <v>#VALUE!</v>
      </c>
      <c r="E20" s="2774"/>
    </row>
    <row r="21" spans="1:5" ht="15.75" thickBot="1">
      <c r="A21" s="2774"/>
      <c r="B21" s="2987"/>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38">
        <f>基准地价修正!G23</f>
        <v>44796</v>
      </c>
      <c r="B1" s="2748" t="s">
        <v>3086</v>
      </c>
      <c r="C1" s="2749"/>
      <c r="D1" s="2749"/>
      <c r="E1" s="2749"/>
      <c r="F1" s="2749"/>
      <c r="G1" s="2749"/>
      <c r="H1" s="2749"/>
      <c r="I1" s="2749"/>
      <c r="J1" s="2552"/>
      <c r="K1" s="2749" t="s">
        <v>672</v>
      </c>
      <c r="L1" s="2749"/>
      <c r="M1" s="2749"/>
      <c r="N1" s="2749"/>
      <c r="O1" s="2749"/>
      <c r="P1" s="2749"/>
      <c r="Q1" s="2552"/>
      <c r="R1" s="3289" t="s">
        <v>674</v>
      </c>
      <c r="S1" s="3290"/>
      <c r="T1" s="3290"/>
      <c r="U1" s="3290"/>
      <c r="V1" s="3290"/>
      <c r="W1" s="3290"/>
      <c r="X1" s="2552"/>
      <c r="Y1" s="3289" t="s">
        <v>675</v>
      </c>
      <c r="Z1" s="3290"/>
      <c r="AA1" s="3290"/>
      <c r="AB1" s="3290"/>
      <c r="AC1" s="3290"/>
      <c r="AD1" s="3290"/>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54" customFormat="1" ht="12.75">
      <c r="A3" s="2842" t="s">
        <v>2372</v>
      </c>
      <c r="B3" s="2843"/>
      <c r="C3" s="2844"/>
      <c r="D3" s="2844">
        <f>ROUND(AVERAGEIF(D4:D13,"&lt;&gt;0"),2)</f>
        <v>0.87</v>
      </c>
      <c r="E3" s="2844">
        <f t="shared" ref="E3:H3" si="0">ROUND(AVERAGEIF(E4:E13,"&lt;&gt;0"),2)</f>
        <v>0.35</v>
      </c>
      <c r="F3" s="2844">
        <f t="shared" si="0"/>
        <v>0.14000000000000001</v>
      </c>
      <c r="G3" s="2844">
        <f t="shared" si="0"/>
        <v>0.95</v>
      </c>
      <c r="H3" s="2844">
        <f t="shared" si="0"/>
        <v>0.69</v>
      </c>
      <c r="I3" s="2844">
        <f>F3</f>
        <v>0.14000000000000001</v>
      </c>
      <c r="J3" s="2845"/>
      <c r="K3" s="2846">
        <f>ROUND(AVERAGEIF(K4:K13,"&lt;&gt;0"),4)</f>
        <v>8.6999999999999994E-3</v>
      </c>
      <c r="L3" s="2847">
        <f t="shared" ref="L3:O3" si="1">ROUND(AVERAGEIF(L4:L13,"&lt;&gt;0"),4)</f>
        <v>3.5000000000000001E-3</v>
      </c>
      <c r="M3" s="2847">
        <f t="shared" si="1"/>
        <v>1.4E-3</v>
      </c>
      <c r="N3" s="2847">
        <f t="shared" si="1"/>
        <v>9.4999999999999998E-3</v>
      </c>
      <c r="O3" s="2847">
        <f t="shared" si="1"/>
        <v>6.8999999999999999E-3</v>
      </c>
      <c r="P3" s="2847">
        <f>M3</f>
        <v>1.4E-3</v>
      </c>
      <c r="Q3" s="2845"/>
      <c r="R3" s="2848">
        <f>ROUND(SUMPRODUCT(PRODUCT(1+K4:K13)),4)</f>
        <v>1.0531999999999999</v>
      </c>
      <c r="S3" s="2849">
        <f t="shared" ref="S3:V3" si="2">ROUND(SUMPRODUCT(PRODUCT(1+L4:L13)),4)</f>
        <v>1.0214000000000001</v>
      </c>
      <c r="T3" s="2849">
        <f t="shared" si="2"/>
        <v>1.0085</v>
      </c>
      <c r="U3" s="2849">
        <f t="shared" si="2"/>
        <v>1.0586</v>
      </c>
      <c r="V3" s="2849">
        <f t="shared" si="2"/>
        <v>1.0419</v>
      </c>
      <c r="W3" s="2848">
        <f>T3</f>
        <v>1.0085</v>
      </c>
      <c r="X3" s="2845"/>
      <c r="Y3" s="2850">
        <f>ROUND(AVERAGEIF(Y5:Y13,"&lt;&gt;0"),4)</f>
        <v>8.8000000000000005E-3</v>
      </c>
      <c r="Z3" s="2851">
        <f t="shared" ref="Z3:AC3" si="3">ROUND(AVERAGEIF(Z5:Z13,"&lt;&gt;0"),4)</f>
        <v>3.5999999999999999E-3</v>
      </c>
      <c r="AA3" s="2852">
        <f t="shared" si="3"/>
        <v>6.9999999999999999E-4</v>
      </c>
      <c r="AB3" s="2850">
        <f t="shared" si="3"/>
        <v>9.7000000000000003E-3</v>
      </c>
      <c r="AC3" s="2853">
        <f t="shared" si="3"/>
        <v>6.0000000000000001E-3</v>
      </c>
      <c r="AD3" s="2850">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1" customFormat="1" ht="12.75">
      <c r="A6" s="2574" t="s">
        <v>3068</v>
      </c>
      <c r="B6" s="2841">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3096</v>
      </c>
      <c r="B9" s="2975">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89" t="s">
        <v>674</v>
      </c>
      <c r="S18" s="3290"/>
      <c r="T18" s="3290"/>
      <c r="U18" s="3290"/>
      <c r="V18" s="3290"/>
      <c r="W18" s="3290"/>
      <c r="X18" s="2552"/>
      <c r="Y18" s="3289" t="s">
        <v>675</v>
      </c>
      <c r="Z18" s="3290"/>
      <c r="AA18" s="3290"/>
      <c r="AB18" s="3290"/>
      <c r="AC18" s="3290"/>
      <c r="AD18" s="3290"/>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54" customFormat="1" ht="12.75">
      <c r="A20" s="2842" t="s">
        <v>2372</v>
      </c>
      <c r="B20" s="2843"/>
      <c r="C20" s="2844"/>
      <c r="D20" s="2844"/>
      <c r="E20" s="2844">
        <f t="shared" ref="E20:G20" si="25">ROUND(AVERAGEIF(E21:E30,"&lt;&gt;0"),2)</f>
        <v>0.41</v>
      </c>
      <c r="F20" s="2844">
        <f t="shared" si="25"/>
        <v>0.27</v>
      </c>
      <c r="G20" s="2844">
        <f t="shared" si="25"/>
        <v>0.79</v>
      </c>
      <c r="H20" s="2844"/>
      <c r="I20" s="2844">
        <f>F20</f>
        <v>0.27</v>
      </c>
      <c r="J20" s="2845"/>
      <c r="K20" s="2846"/>
      <c r="L20" s="2847">
        <f t="shared" ref="L20:N20" si="26">ROUND(AVERAGEIF(L21:L30,"&lt;&gt;0"),4)</f>
        <v>4.1000000000000003E-3</v>
      </c>
      <c r="M20" s="2847">
        <f t="shared" si="26"/>
        <v>2.7000000000000001E-3</v>
      </c>
      <c r="N20" s="2847">
        <f t="shared" si="26"/>
        <v>7.9000000000000008E-3</v>
      </c>
      <c r="O20" s="2847"/>
      <c r="P20" s="2847">
        <f>M20</f>
        <v>2.7000000000000001E-3</v>
      </c>
      <c r="Q20" s="2845"/>
      <c r="R20" s="2848"/>
      <c r="S20" s="2849">
        <f>ROUND(SUMPRODUCT(PRODUCT(1+L21:L30)),4)</f>
        <v>1.0246</v>
      </c>
      <c r="T20" s="2849">
        <f t="shared" ref="T20:U20" si="27">ROUND(SUMPRODUCT(PRODUCT(1+M21:M30)),4)</f>
        <v>1.0163</v>
      </c>
      <c r="U20" s="2849">
        <f t="shared" si="27"/>
        <v>1.0482</v>
      </c>
      <c r="V20" s="2849"/>
      <c r="W20" s="2848">
        <f>T20</f>
        <v>1.0163</v>
      </c>
      <c r="X20" s="2845"/>
      <c r="Y20" s="2850"/>
      <c r="Z20" s="2851">
        <f t="shared" ref="Z20:AB20" si="28">ROUND(AVERAGEIF(Z21:Z30,"&lt;&gt;0"),4)</f>
        <v>4.4999999999999997E-3</v>
      </c>
      <c r="AA20" s="2852">
        <f t="shared" si="28"/>
        <v>3.8999999999999998E-3</v>
      </c>
      <c r="AB20" s="2850">
        <f t="shared" si="28"/>
        <v>9.2999999999999992E-3</v>
      </c>
      <c r="AC20" s="2853"/>
      <c r="AD20" s="2850">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1" customFormat="1" ht="12.75">
      <c r="A23" s="2574" t="s">
        <v>3068</v>
      </c>
      <c r="B23" s="2841">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3094</v>
      </c>
      <c r="B26" s="2975">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3" t="s">
        <v>3039</v>
      </c>
      <c r="B1" s="3303"/>
      <c r="C1" s="3303"/>
      <c r="D1" s="3303"/>
      <c r="E1" s="3303"/>
      <c r="F1" s="3303"/>
      <c r="G1" s="3304"/>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05"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06"/>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07" t="s">
        <v>601</v>
      </c>
      <c r="B1" s="3307"/>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21" sqref="E2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679">
        <f>项目基本情况!D3</f>
        <v>44796</v>
      </c>
      <c r="D1" s="2678" t="s">
        <v>816</v>
      </c>
      <c r="E1" s="2679">
        <f>'数据-取费表'!B22</f>
        <v>0</v>
      </c>
      <c r="F1" s="2678" t="s">
        <v>817</v>
      </c>
      <c r="G1" s="2680" t="e">
        <f ca="1">INDIRECT("d"&amp;$K$1)/100</f>
        <v>#VALUE!</v>
      </c>
      <c r="H1" s="2678" t="s">
        <v>847</v>
      </c>
      <c r="I1" s="2680">
        <f ca="1">F4/100</f>
        <v>1.4999999999999999E-2</v>
      </c>
      <c r="J1" s="2681">
        <f>IF(C1&gt;C15,0,MATCH(C1,C$15:C$109,-1))+IF(SUMIF(C15:C109,C1,D15:D109)=0,13,12)</f>
        <v>13</v>
      </c>
      <c r="K1" s="2681">
        <f ca="1">MATCH(E1,C3:C7,1)+IF(SUMIF(C3:C7,E1,D3:D7)=0,2,1)</f>
        <v>2</v>
      </c>
      <c r="L1" s="2681">
        <f>IF(C1&gt;M15,0,MATCH(C1,M$15:M$102,-1))+IF(SUMIF(M15:M102,C1,N15:N102)=0,13,12)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3.65</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3.65</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3.65</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3.65</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4.3</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730">
        <v>44795</v>
      </c>
      <c r="D13" s="2730">
        <v>3.65</v>
      </c>
      <c r="E13" s="2730">
        <f t="shared" ref="E13:E15" si="0">D13</f>
        <v>3.65</v>
      </c>
      <c r="F13" s="2730">
        <f t="shared" ref="F13:F15" si="1">D13</f>
        <v>3.65</v>
      </c>
      <c r="G13" s="2730">
        <f t="shared" ref="G13:G15" si="2">D13</f>
        <v>3.65</v>
      </c>
      <c r="H13" s="2730">
        <v>4.3</v>
      </c>
      <c r="I13" s="2730"/>
      <c r="J13" s="2730"/>
      <c r="K13" s="2728"/>
      <c r="L13" s="2729" t="s">
        <v>845</v>
      </c>
      <c r="M13" s="2730">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29"/>
      <c r="C14" s="2733">
        <v>44701</v>
      </c>
      <c r="D14" s="2733">
        <v>3.7</v>
      </c>
      <c r="E14" s="2733">
        <v>3.7</v>
      </c>
      <c r="F14" s="2733">
        <v>3.7</v>
      </c>
      <c r="G14" s="2733">
        <v>3.7</v>
      </c>
      <c r="H14" s="2733">
        <v>4.45</v>
      </c>
      <c r="I14" s="2730"/>
      <c r="J14" s="2730"/>
      <c r="K14" s="2728"/>
      <c r="L14" s="2733"/>
      <c r="M14" s="2733">
        <v>42242</v>
      </c>
      <c r="N14" s="2733">
        <v>0.35</v>
      </c>
      <c r="O14" s="2733">
        <v>1.35</v>
      </c>
      <c r="P14" s="2733">
        <v>1.55</v>
      </c>
      <c r="Q14" s="2733">
        <v>1.75</v>
      </c>
      <c r="R14" s="2733">
        <v>2.35</v>
      </c>
      <c r="S14" s="2733">
        <v>3</v>
      </c>
      <c r="T14" s="2733"/>
      <c r="U14" s="2733"/>
      <c r="V14" s="2733"/>
      <c r="W14" s="2733"/>
      <c r="X14" s="2733"/>
      <c r="Y14" s="2733"/>
      <c r="Z14" s="2733"/>
    </row>
    <row r="15" spans="1:257" ht="14.25">
      <c r="A15" s="2728"/>
      <c r="B15" s="2729"/>
      <c r="C15" s="2733">
        <v>44581</v>
      </c>
      <c r="D15" s="2733">
        <v>3.7</v>
      </c>
      <c r="E15" s="2733">
        <f t="shared" ref="E15" si="3">D15</f>
        <v>3.7</v>
      </c>
      <c r="F15" s="2733">
        <f t="shared" ref="F15" si="4">D15</f>
        <v>3.7</v>
      </c>
      <c r="G15" s="2733">
        <f t="shared" ref="G15" si="5">D15</f>
        <v>3.7</v>
      </c>
      <c r="H15" s="2733">
        <v>4.5999999999999996</v>
      </c>
      <c r="I15" s="2730"/>
      <c r="J15" s="2730"/>
      <c r="K15" s="2728"/>
      <c r="L15" s="2733"/>
      <c r="M15" s="2733">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733">
        <v>44550</v>
      </c>
      <c r="D16" s="2733">
        <v>3.8</v>
      </c>
      <c r="E16" s="2733">
        <f>D16</f>
        <v>3.8</v>
      </c>
      <c r="F16" s="2733">
        <f>D16</f>
        <v>3.8</v>
      </c>
      <c r="G16" s="2733">
        <f>D16</f>
        <v>3.8</v>
      </c>
      <c r="H16" s="2733">
        <v>4.6500000000000004</v>
      </c>
      <c r="I16" s="2733"/>
      <c r="J16" s="2730"/>
      <c r="K16" s="2728"/>
      <c r="L16" s="2733"/>
      <c r="M16" s="2733">
        <v>42242</v>
      </c>
      <c r="N16" s="2733">
        <v>0.35</v>
      </c>
      <c r="O16" s="2733">
        <v>1.35</v>
      </c>
      <c r="P16" s="2733">
        <v>1.55</v>
      </c>
      <c r="Q16" s="2733">
        <v>1.75</v>
      </c>
      <c r="R16" s="2733">
        <v>2.35</v>
      </c>
      <c r="S16" s="2733">
        <v>3</v>
      </c>
      <c r="T16" s="2733"/>
      <c r="U16" s="2733"/>
      <c r="V16" s="2733"/>
      <c r="W16" s="2733"/>
      <c r="X16" s="2733"/>
      <c r="Y16" s="2733"/>
      <c r="Z16" s="2733"/>
    </row>
    <row r="17" spans="1:256" ht="14.25">
      <c r="A17" s="2728"/>
      <c r="B17" s="2733"/>
      <c r="C17" s="2733">
        <v>43941</v>
      </c>
      <c r="D17" s="2733">
        <v>3.85</v>
      </c>
      <c r="E17" s="2733">
        <v>3.85</v>
      </c>
      <c r="F17" s="2733">
        <v>3.85</v>
      </c>
      <c r="G17" s="2733">
        <v>3.85</v>
      </c>
      <c r="H17" s="2733">
        <v>4.6500000000000004</v>
      </c>
      <c r="I17" s="2733"/>
      <c r="J17" s="2733"/>
      <c r="L17" s="2733"/>
      <c r="M17" s="2733">
        <v>42183</v>
      </c>
      <c r="N17" s="2733">
        <v>0.35</v>
      </c>
      <c r="O17" s="2733">
        <v>1.6</v>
      </c>
      <c r="P17" s="2733">
        <v>1.8</v>
      </c>
      <c r="Q17" s="2733">
        <v>2</v>
      </c>
      <c r="R17" s="2733">
        <v>2.6</v>
      </c>
      <c r="S17" s="2733">
        <v>3.25</v>
      </c>
      <c r="T17" s="2733"/>
      <c r="U17" s="2733"/>
      <c r="V17" s="2733"/>
      <c r="W17" s="2733"/>
      <c r="X17" s="2733"/>
      <c r="Y17" s="2733"/>
      <c r="Z17" s="2733"/>
    </row>
    <row r="18" spans="1:256" ht="14.25">
      <c r="A18" s="2728"/>
      <c r="B18" s="2733"/>
      <c r="C18" s="2733">
        <v>43881</v>
      </c>
      <c r="D18" s="2733">
        <v>4.05</v>
      </c>
      <c r="E18" s="2733">
        <v>4.05</v>
      </c>
      <c r="F18" s="2733">
        <v>4.05</v>
      </c>
      <c r="G18" s="2733">
        <v>4.05</v>
      </c>
      <c r="H18" s="2733">
        <v>4.75</v>
      </c>
      <c r="I18" s="2733"/>
      <c r="J18" s="2733"/>
      <c r="L18" s="2733"/>
      <c r="M18" s="2733">
        <v>42135</v>
      </c>
      <c r="N18" s="2733">
        <v>0.35</v>
      </c>
      <c r="O18" s="2733">
        <v>1.85</v>
      </c>
      <c r="P18" s="2733">
        <v>2.0499999999999998</v>
      </c>
      <c r="Q18" s="2733">
        <v>2.25</v>
      </c>
      <c r="R18" s="2733">
        <v>2.85</v>
      </c>
      <c r="S18" s="2733">
        <v>3.5</v>
      </c>
      <c r="T18" s="2733"/>
      <c r="U18" s="2733"/>
      <c r="V18" s="2733"/>
      <c r="W18" s="2733"/>
      <c r="X18" s="2733"/>
      <c r="Y18" s="2733"/>
      <c r="Z18" s="2733"/>
    </row>
    <row r="19" spans="1:256" ht="14.25">
      <c r="A19" s="2728"/>
      <c r="B19" s="2733"/>
      <c r="C19" s="2733">
        <v>43789</v>
      </c>
      <c r="D19" s="2733">
        <v>4.1500000000000004</v>
      </c>
      <c r="E19" s="2733">
        <v>4.1500000000000004</v>
      </c>
      <c r="F19" s="2733">
        <v>4.1500000000000004</v>
      </c>
      <c r="G19" s="2733">
        <v>4.1500000000000004</v>
      </c>
      <c r="H19" s="2733">
        <v>4.8</v>
      </c>
      <c r="I19" s="2733"/>
      <c r="J19" s="2733"/>
      <c r="L19" s="2733"/>
      <c r="M19" s="2733">
        <v>42064</v>
      </c>
      <c r="N19" s="2733">
        <v>0.35</v>
      </c>
      <c r="O19" s="2733">
        <v>2.1</v>
      </c>
      <c r="P19" s="2733">
        <v>2.2999999999999998</v>
      </c>
      <c r="Q19" s="2733">
        <v>2.5</v>
      </c>
      <c r="R19" s="2733">
        <v>3.1</v>
      </c>
      <c r="S19" s="2733">
        <v>3.75</v>
      </c>
      <c r="T19" s="2733">
        <v>4.5</v>
      </c>
      <c r="U19" s="2733">
        <v>2.35</v>
      </c>
      <c r="V19" s="2733">
        <v>2.5499999999999998</v>
      </c>
      <c r="W19" s="2733">
        <v>2.75</v>
      </c>
      <c r="X19" s="2733"/>
      <c r="Y19" s="2733">
        <v>0.8</v>
      </c>
      <c r="Z19" s="2733">
        <v>1.35</v>
      </c>
    </row>
    <row r="20" spans="1:256" ht="15">
      <c r="A20" s="2728"/>
      <c r="B20" s="2733"/>
      <c r="C20" s="2733">
        <v>43728</v>
      </c>
      <c r="D20" s="2733">
        <v>4.2</v>
      </c>
      <c r="E20" s="2733">
        <v>4.2</v>
      </c>
      <c r="F20" s="2733">
        <v>4.2</v>
      </c>
      <c r="G20" s="2733">
        <v>4.2</v>
      </c>
      <c r="H20" s="2733">
        <v>4.8499999999999996</v>
      </c>
      <c r="I20" s="2733"/>
      <c r="J20" s="2733"/>
      <c r="L20" s="2734"/>
      <c r="M20" s="2734">
        <v>41965</v>
      </c>
      <c r="N20" s="2734">
        <v>0.35</v>
      </c>
      <c r="O20" s="2734">
        <v>2.35</v>
      </c>
      <c r="P20" s="2734">
        <v>2.5499999999999998</v>
      </c>
      <c r="Q20" s="2734">
        <v>2.75</v>
      </c>
      <c r="R20" s="2734">
        <v>3.35</v>
      </c>
      <c r="S20" s="2734">
        <v>4</v>
      </c>
      <c r="T20" s="2734">
        <v>4.75</v>
      </c>
      <c r="U20" s="2735">
        <v>2.35</v>
      </c>
      <c r="V20" s="2735">
        <v>2.5499999999999998</v>
      </c>
      <c r="W20" s="2735">
        <v>2.75</v>
      </c>
      <c r="X20" s="2734"/>
      <c r="Y20" s="2735">
        <v>0.8</v>
      </c>
      <c r="Z20" s="2735">
        <v>1.35</v>
      </c>
    </row>
    <row r="21" spans="1:256" s="2737" customFormat="1" ht="14.25">
      <c r="A21" s="2728"/>
      <c r="B21" s="2729" t="s">
        <v>2575</v>
      </c>
      <c r="C21" s="2736">
        <v>43697</v>
      </c>
      <c r="D21" s="2736">
        <v>4.25</v>
      </c>
      <c r="E21" s="2736">
        <v>4.25</v>
      </c>
      <c r="F21" s="2736">
        <v>4.25</v>
      </c>
      <c r="G21" s="2736">
        <v>4.25</v>
      </c>
      <c r="H21" s="2736">
        <v>4.8499999999999996</v>
      </c>
      <c r="I21" s="2736"/>
      <c r="J21" s="2736"/>
      <c r="K21" s="2688"/>
      <c r="L21" s="2733"/>
      <c r="M21" s="2733">
        <v>41096</v>
      </c>
      <c r="N21" s="2733">
        <v>0.35</v>
      </c>
      <c r="O21" s="2733">
        <v>2.6</v>
      </c>
      <c r="P21" s="2733">
        <v>2.8</v>
      </c>
      <c r="Q21" s="2733">
        <v>3</v>
      </c>
      <c r="R21" s="2733">
        <v>3.75</v>
      </c>
      <c r="S21" s="2733">
        <v>4.25</v>
      </c>
      <c r="T21" s="2733">
        <v>4.75</v>
      </c>
      <c r="U21" s="2733">
        <v>2.85</v>
      </c>
      <c r="V21" s="2733">
        <v>2.9</v>
      </c>
      <c r="W21" s="2733">
        <v>3</v>
      </c>
      <c r="X21" s="2733">
        <v>1.1499999999999999</v>
      </c>
      <c r="Y21" s="2733">
        <v>0.8</v>
      </c>
      <c r="Z21" s="2733">
        <v>1.35</v>
      </c>
      <c r="AA21" s="2727"/>
      <c r="AB21" s="2727"/>
      <c r="AC21" s="2727"/>
      <c r="AD21" s="2727"/>
      <c r="AE21" s="2727"/>
      <c r="AF21" s="2727"/>
      <c r="AG21" s="2727"/>
      <c r="AH21" s="2727"/>
      <c r="AI21" s="2727"/>
      <c r="AJ21" s="2727"/>
      <c r="AK21" s="2727"/>
      <c r="AL21" s="2727"/>
      <c r="AM21" s="2727"/>
      <c r="AN21" s="2727"/>
      <c r="AO21" s="2727"/>
      <c r="AP21" s="2727"/>
      <c r="AQ21" s="2727"/>
      <c r="AR21" s="2727"/>
      <c r="AS21" s="2727"/>
      <c r="AT21" s="2727"/>
      <c r="AU21" s="2727"/>
      <c r="AV21" s="2727"/>
      <c r="AW21" s="2727"/>
      <c r="AX21" s="2727"/>
      <c r="AY21" s="2727"/>
      <c r="AZ21" s="2727"/>
      <c r="BA21" s="2727"/>
      <c r="BB21" s="2727"/>
      <c r="BC21" s="2727"/>
      <c r="BD21" s="2727"/>
      <c r="BE21" s="2727"/>
      <c r="BF21" s="2727"/>
      <c r="BG21" s="2727"/>
      <c r="BH21" s="2727"/>
      <c r="BI21" s="2727"/>
      <c r="BJ21" s="2727"/>
      <c r="BK21" s="2727"/>
      <c r="BL21" s="2727"/>
      <c r="BM21" s="2727"/>
      <c r="BN21" s="2727"/>
      <c r="BO21" s="2727"/>
      <c r="BP21" s="2727"/>
      <c r="BQ21" s="2727"/>
      <c r="BR21" s="2727"/>
      <c r="BS21" s="2727"/>
      <c r="BT21" s="2727"/>
      <c r="BU21" s="2727"/>
      <c r="BV21" s="2727"/>
      <c r="BW21" s="2727"/>
      <c r="BX21" s="2727"/>
      <c r="BY21" s="2727"/>
      <c r="BZ21" s="2727"/>
      <c r="CA21" s="2727"/>
      <c r="CB21" s="2727"/>
      <c r="CC21" s="2727"/>
      <c r="CD21" s="2727"/>
      <c r="CE21" s="2727"/>
      <c r="CF21" s="2727"/>
      <c r="CG21" s="2727"/>
      <c r="CH21" s="2727"/>
      <c r="CI21" s="2727"/>
      <c r="CJ21" s="2727"/>
      <c r="CK21" s="2727"/>
      <c r="CL21" s="2727"/>
      <c r="CM21" s="2727"/>
      <c r="CN21" s="2727"/>
      <c r="CO21" s="2727"/>
      <c r="CP21" s="2727"/>
      <c r="CQ21" s="2727"/>
      <c r="CR21" s="2727"/>
      <c r="CS21" s="2727"/>
      <c r="CT21" s="2727"/>
      <c r="CU21" s="2727"/>
      <c r="CV21" s="2727"/>
      <c r="CW21" s="2727"/>
      <c r="CX21" s="2727"/>
      <c r="CY21" s="2727"/>
      <c r="CZ21" s="2727"/>
      <c r="DA21" s="2727"/>
      <c r="DB21" s="2727"/>
      <c r="DC21" s="2727"/>
      <c r="DD21" s="2727"/>
      <c r="DE21" s="2727"/>
      <c r="DF21" s="2727"/>
      <c r="DG21" s="2727"/>
      <c r="DH21" s="2727"/>
      <c r="DI21" s="2727"/>
      <c r="DJ21" s="2727"/>
      <c r="DK21" s="2727"/>
      <c r="DL21" s="2727"/>
      <c r="DM21" s="2727"/>
      <c r="DN21" s="2727"/>
      <c r="DO21" s="2727"/>
      <c r="DP21" s="2727"/>
      <c r="DQ21" s="2727"/>
      <c r="DR21" s="2727"/>
      <c r="DS21" s="2727"/>
      <c r="DT21" s="2727"/>
      <c r="DU21" s="2727"/>
      <c r="DV21" s="2727"/>
      <c r="DW21" s="2727"/>
      <c r="DX21" s="2727"/>
      <c r="DY21" s="2727"/>
      <c r="DZ21" s="2727"/>
      <c r="EA21" s="2727"/>
      <c r="EB21" s="2727"/>
      <c r="EC21" s="2727"/>
      <c r="ED21" s="2727"/>
      <c r="EE21" s="2727"/>
      <c r="EF21" s="2727"/>
      <c r="EG21" s="2727"/>
      <c r="EH21" s="2727"/>
      <c r="EI21" s="2727"/>
      <c r="EJ21" s="2727"/>
      <c r="EK21" s="2727"/>
      <c r="EL21" s="2727"/>
      <c r="EM21" s="2727"/>
      <c r="EN21" s="2727"/>
      <c r="EO21" s="2727"/>
      <c r="EP21" s="2727"/>
      <c r="EQ21" s="2727"/>
      <c r="ER21" s="2727"/>
      <c r="ES21" s="2727"/>
      <c r="ET21" s="2727"/>
      <c r="EU21" s="2727"/>
      <c r="EV21" s="2727"/>
      <c r="EW21" s="2727"/>
      <c r="EX21" s="2727"/>
      <c r="EY21" s="2727"/>
      <c r="EZ21" s="2727"/>
      <c r="FA21" s="2727"/>
      <c r="FB21" s="2727"/>
      <c r="FC21" s="2727"/>
      <c r="FD21" s="2727"/>
      <c r="FE21" s="2727"/>
      <c r="FF21" s="2727"/>
      <c r="FG21" s="2727"/>
      <c r="FH21" s="2727"/>
      <c r="FI21" s="2727"/>
      <c r="FJ21" s="2727"/>
      <c r="FK21" s="2727"/>
      <c r="FL21" s="2727"/>
      <c r="FM21" s="2727"/>
      <c r="FN21" s="2727"/>
      <c r="FO21" s="2727"/>
      <c r="FP21" s="2727"/>
      <c r="FQ21" s="2727"/>
      <c r="FR21" s="2727"/>
      <c r="FS21" s="2727"/>
      <c r="FT21" s="2727"/>
      <c r="FU21" s="2727"/>
      <c r="FV21" s="2727"/>
      <c r="FW21" s="2727"/>
      <c r="FX21" s="2727"/>
      <c r="FY21" s="2727"/>
      <c r="FZ21" s="2727"/>
      <c r="GA21" s="2727"/>
      <c r="GB21" s="2727"/>
      <c r="GC21" s="2727"/>
      <c r="GD21" s="2727"/>
      <c r="GE21" s="2727"/>
      <c r="GF21" s="2727"/>
      <c r="GG21" s="2727"/>
      <c r="GH21" s="2727"/>
      <c r="GI21" s="2727"/>
      <c r="GJ21" s="2727"/>
      <c r="GK21" s="2727"/>
      <c r="GL21" s="2727"/>
      <c r="GM21" s="2727"/>
      <c r="GN21" s="2727"/>
      <c r="GO21" s="2727"/>
      <c r="GP21" s="2727"/>
      <c r="GQ21" s="2727"/>
      <c r="GR21" s="2727"/>
      <c r="GS21" s="2727"/>
      <c r="GT21" s="2727"/>
      <c r="GU21" s="2727"/>
      <c r="GV21" s="2727"/>
      <c r="GW21" s="2727"/>
      <c r="GX21" s="2727"/>
      <c r="GY21" s="2727"/>
      <c r="GZ21" s="2727"/>
      <c r="HA21" s="2727"/>
      <c r="HB21" s="2727"/>
      <c r="HC21" s="2727"/>
      <c r="HD21" s="2727"/>
      <c r="HE21" s="2727"/>
      <c r="HF21" s="2727"/>
      <c r="HG21" s="2727"/>
      <c r="HH21" s="2727"/>
      <c r="HI21" s="2727"/>
      <c r="HJ21" s="2727"/>
      <c r="HK21" s="2727"/>
      <c r="HL21" s="2727"/>
      <c r="HM21" s="2727"/>
      <c r="HN21" s="2727"/>
      <c r="HO21" s="2727"/>
      <c r="HP21" s="2727"/>
      <c r="HQ21" s="2727"/>
      <c r="HR21" s="2727"/>
      <c r="HS21" s="2727"/>
      <c r="HT21" s="2727"/>
      <c r="HU21" s="2727"/>
      <c r="HV21" s="2727"/>
      <c r="HW21" s="2727"/>
      <c r="HX21" s="2727"/>
      <c r="HY21" s="2727"/>
      <c r="HZ21" s="2727"/>
      <c r="IA21" s="2727"/>
      <c r="IB21" s="2727"/>
      <c r="IC21" s="2727"/>
      <c r="ID21" s="2727"/>
      <c r="IE21" s="2727"/>
      <c r="IF21" s="2727"/>
      <c r="IG21" s="2727"/>
      <c r="IH21" s="2727"/>
      <c r="II21" s="2727"/>
      <c r="IJ21" s="2727"/>
      <c r="IK21" s="2727"/>
      <c r="IL21" s="2727"/>
      <c r="IM21" s="2727"/>
      <c r="IN21" s="2727"/>
      <c r="IO21" s="2727"/>
      <c r="IP21" s="2727"/>
      <c r="IQ21" s="2727"/>
      <c r="IR21" s="2727"/>
      <c r="IS21" s="2727"/>
      <c r="IT21" s="2727"/>
      <c r="IU21" s="2727"/>
      <c r="IV21" s="2727"/>
    </row>
    <row r="22" spans="1:256" ht="14.25">
      <c r="A22" s="2738"/>
      <c r="B22" s="2739"/>
      <c r="C22" s="2734">
        <v>42301</v>
      </c>
      <c r="D22" s="2734">
        <v>4.3499999999999996</v>
      </c>
      <c r="E22" s="2734">
        <v>4.3499999999999996</v>
      </c>
      <c r="F22" s="2734">
        <v>4.75</v>
      </c>
      <c r="G22" s="2734">
        <v>4.75</v>
      </c>
      <c r="H22" s="2734">
        <v>4.9000000000000004</v>
      </c>
      <c r="I22" s="2734"/>
      <c r="J22" s="2734"/>
      <c r="K22" s="2722"/>
      <c r="L22" s="2733"/>
      <c r="M22" s="2733">
        <v>41068</v>
      </c>
      <c r="N22" s="2733">
        <v>0.4</v>
      </c>
      <c r="O22" s="2733">
        <v>2.85</v>
      </c>
      <c r="P22" s="2733">
        <v>3.05</v>
      </c>
      <c r="Q22" s="2733">
        <v>3.25</v>
      </c>
      <c r="R22" s="2733">
        <v>4.0999999999999996</v>
      </c>
      <c r="S22" s="2733">
        <v>4.6500000000000004</v>
      </c>
      <c r="T22" s="2733">
        <v>5.0999999999999996</v>
      </c>
      <c r="U22" s="2733">
        <v>3.1</v>
      </c>
      <c r="V22" s="2733">
        <v>3.15</v>
      </c>
      <c r="W22" s="2733">
        <v>3.25</v>
      </c>
      <c r="X22" s="2733">
        <v>1.31</v>
      </c>
      <c r="Y22" s="2733">
        <v>0.94</v>
      </c>
      <c r="Z22" s="2733">
        <v>1.49</v>
      </c>
    </row>
    <row r="23" spans="1:256">
      <c r="B23" s="2733"/>
      <c r="C23" s="2733">
        <v>42242</v>
      </c>
      <c r="D23" s="2733">
        <v>4.5999999999999996</v>
      </c>
      <c r="E23" s="2733">
        <v>4.5999999999999996</v>
      </c>
      <c r="F23" s="2733">
        <v>5</v>
      </c>
      <c r="G23" s="2733">
        <v>5</v>
      </c>
      <c r="H23" s="2733">
        <v>5.15</v>
      </c>
      <c r="I23" s="2733">
        <v>2.75</v>
      </c>
      <c r="J23" s="2733">
        <v>3.25</v>
      </c>
      <c r="L23" s="2733"/>
      <c r="M23" s="2733">
        <v>40731</v>
      </c>
      <c r="N23" s="2733">
        <v>0.5</v>
      </c>
      <c r="O23" s="2733">
        <v>3.1</v>
      </c>
      <c r="P23" s="2733">
        <v>3.3</v>
      </c>
      <c r="Q23" s="2733">
        <v>3.5</v>
      </c>
      <c r="R23" s="2733">
        <v>4.4000000000000004</v>
      </c>
      <c r="S23" s="2733">
        <v>5</v>
      </c>
      <c r="T23" s="2733">
        <v>5.5</v>
      </c>
      <c r="U23" s="2733">
        <v>3.1</v>
      </c>
      <c r="V23" s="2733">
        <v>3.3</v>
      </c>
      <c r="W23" s="2733">
        <v>3.5</v>
      </c>
      <c r="X23" s="2733">
        <v>1.31</v>
      </c>
      <c r="Y23" s="2733">
        <v>0.95</v>
      </c>
      <c r="Z23" s="2733">
        <v>1.49</v>
      </c>
    </row>
    <row r="24" spans="1:256">
      <c r="B24" s="2733"/>
      <c r="C24" s="2733">
        <v>42183</v>
      </c>
      <c r="D24" s="2733">
        <v>4.8499999999999996</v>
      </c>
      <c r="E24" s="2733">
        <v>4.8499999999999996</v>
      </c>
      <c r="F24" s="2733">
        <v>5.25</v>
      </c>
      <c r="G24" s="2733">
        <v>5.25</v>
      </c>
      <c r="H24" s="2733">
        <v>5.4</v>
      </c>
      <c r="I24" s="2733">
        <v>3</v>
      </c>
      <c r="J24" s="2733">
        <v>3.5</v>
      </c>
      <c r="L24" s="2733"/>
      <c r="M24" s="2733">
        <v>40639</v>
      </c>
      <c r="N24" s="2733">
        <v>0.5</v>
      </c>
      <c r="O24" s="2733">
        <v>2.85</v>
      </c>
      <c r="P24" s="2733">
        <v>3.05</v>
      </c>
      <c r="Q24" s="2733">
        <v>3.25</v>
      </c>
      <c r="R24" s="2733">
        <v>4.1500000000000004</v>
      </c>
      <c r="S24" s="2733">
        <v>4.75</v>
      </c>
      <c r="T24" s="2733">
        <v>5.25</v>
      </c>
      <c r="U24" s="2733">
        <v>2.85</v>
      </c>
      <c r="V24" s="2733">
        <v>3.05</v>
      </c>
      <c r="W24" s="2733">
        <v>3.25</v>
      </c>
      <c r="X24" s="2733">
        <v>1.31</v>
      </c>
      <c r="Y24" s="2733">
        <v>0.95</v>
      </c>
      <c r="Z24" s="2733">
        <v>1.49</v>
      </c>
    </row>
    <row r="25" spans="1:256">
      <c r="B25" s="2733"/>
      <c r="C25" s="2733">
        <v>42135</v>
      </c>
      <c r="D25" s="2733">
        <v>5.0999999999999996</v>
      </c>
      <c r="E25" s="2733">
        <v>5.0999999999999996</v>
      </c>
      <c r="F25" s="2733">
        <v>5.5</v>
      </c>
      <c r="G25" s="2733">
        <v>5.5</v>
      </c>
      <c r="H25" s="2733">
        <v>5.65</v>
      </c>
      <c r="I25" s="2733">
        <v>3.25</v>
      </c>
      <c r="J25" s="2733">
        <v>3.75</v>
      </c>
      <c r="L25" s="2733"/>
      <c r="M25" s="2733">
        <v>40583</v>
      </c>
      <c r="N25" s="2733">
        <v>0.4</v>
      </c>
      <c r="O25" s="2733">
        <v>2.6</v>
      </c>
      <c r="P25" s="2733">
        <v>2.8</v>
      </c>
      <c r="Q25" s="2733">
        <v>3</v>
      </c>
      <c r="R25" s="2733">
        <v>3.9</v>
      </c>
      <c r="S25" s="2733">
        <v>4.5</v>
      </c>
      <c r="T25" s="2733">
        <v>5</v>
      </c>
      <c r="U25" s="2733">
        <v>2.6</v>
      </c>
      <c r="V25" s="2733">
        <v>2.8</v>
      </c>
      <c r="W25" s="2733">
        <v>3</v>
      </c>
      <c r="X25" s="2733">
        <v>1.21</v>
      </c>
      <c r="Y25" s="2733">
        <v>0.85</v>
      </c>
      <c r="Z25" s="2733">
        <v>1.39</v>
      </c>
    </row>
    <row r="26" spans="1:256">
      <c r="B26" s="2733"/>
      <c r="C26" s="2733">
        <v>42064</v>
      </c>
      <c r="D26" s="2733">
        <v>5.35</v>
      </c>
      <c r="E26" s="2733">
        <v>5.35</v>
      </c>
      <c r="F26" s="2733">
        <v>5.75</v>
      </c>
      <c r="G26" s="2733">
        <v>5.75</v>
      </c>
      <c r="H26" s="2733">
        <v>5.9</v>
      </c>
      <c r="I26" s="2733"/>
      <c r="J26" s="2733"/>
      <c r="L26" s="2733"/>
      <c r="M26" s="2733">
        <v>40538</v>
      </c>
      <c r="N26" s="2733">
        <v>0.36</v>
      </c>
      <c r="O26" s="2733">
        <v>2.25</v>
      </c>
      <c r="P26" s="2733">
        <v>2.5</v>
      </c>
      <c r="Q26" s="2733">
        <v>2.75</v>
      </c>
      <c r="R26" s="2733">
        <v>3.55</v>
      </c>
      <c r="S26" s="2733">
        <v>4.1500000000000004</v>
      </c>
      <c r="T26" s="2733">
        <v>4.55</v>
      </c>
      <c r="U26" s="2733">
        <v>2.16</v>
      </c>
      <c r="V26" s="2733">
        <v>2.5</v>
      </c>
      <c r="W26" s="2733">
        <v>2.85</v>
      </c>
      <c r="X26" s="2733">
        <v>1.17</v>
      </c>
      <c r="Y26" s="2733">
        <v>0.81</v>
      </c>
      <c r="Z26" s="2733">
        <v>1.35</v>
      </c>
    </row>
    <row r="27" spans="1:256">
      <c r="B27" s="2733"/>
      <c r="C27" s="2733">
        <v>41965</v>
      </c>
      <c r="D27" s="2733">
        <v>5.6</v>
      </c>
      <c r="E27" s="2733">
        <v>5.6</v>
      </c>
      <c r="F27" s="2733">
        <v>6</v>
      </c>
      <c r="G27" s="2733">
        <v>6</v>
      </c>
      <c r="H27" s="2733">
        <v>6.15</v>
      </c>
      <c r="I27" s="2733"/>
      <c r="J27" s="2733"/>
      <c r="L27" s="2733"/>
      <c r="M27" s="2733">
        <v>40471</v>
      </c>
      <c r="N27" s="2733">
        <v>0.36</v>
      </c>
      <c r="O27" s="2733">
        <v>1.91</v>
      </c>
      <c r="P27" s="2733">
        <v>2.2000000000000002</v>
      </c>
      <c r="Q27" s="2733">
        <v>2.5</v>
      </c>
      <c r="R27" s="2733">
        <v>3.25</v>
      </c>
      <c r="S27" s="2733">
        <v>3.85</v>
      </c>
      <c r="T27" s="2733">
        <v>4.2</v>
      </c>
      <c r="U27" s="2733">
        <v>1.91</v>
      </c>
      <c r="V27" s="2733">
        <v>2.2000000000000002</v>
      </c>
      <c r="W27" s="2733">
        <v>2.5</v>
      </c>
      <c r="X27" s="2733">
        <v>1.17</v>
      </c>
      <c r="Y27" s="2733">
        <v>0.81</v>
      </c>
      <c r="Z27" s="2733">
        <v>1.35</v>
      </c>
    </row>
    <row r="28" spans="1:256">
      <c r="B28" s="2733"/>
      <c r="C28" s="2733">
        <v>41096</v>
      </c>
      <c r="D28" s="2733">
        <v>5.6</v>
      </c>
      <c r="E28" s="2733">
        <v>6</v>
      </c>
      <c r="F28" s="2733">
        <v>6.15</v>
      </c>
      <c r="G28" s="2733">
        <v>6.4</v>
      </c>
      <c r="H28" s="2733">
        <v>6.55</v>
      </c>
      <c r="I28" s="2733">
        <v>4</v>
      </c>
      <c r="J28" s="2733">
        <v>4.5</v>
      </c>
      <c r="L28" s="2733"/>
      <c r="M28" s="2733">
        <v>39805</v>
      </c>
      <c r="N28" s="2733">
        <v>0.36</v>
      </c>
      <c r="O28" s="2733">
        <v>1.71</v>
      </c>
      <c r="P28" s="2733">
        <v>1.98</v>
      </c>
      <c r="Q28" s="2733">
        <v>2.25</v>
      </c>
      <c r="R28" s="2733">
        <v>2.79</v>
      </c>
      <c r="S28" s="2733">
        <v>3.33</v>
      </c>
      <c r="T28" s="2733">
        <v>3.6</v>
      </c>
      <c r="U28" s="2733">
        <v>1.71</v>
      </c>
      <c r="V28" s="2733">
        <v>1.98</v>
      </c>
      <c r="W28" s="2733">
        <v>2.25</v>
      </c>
      <c r="X28" s="2733">
        <v>1.17</v>
      </c>
      <c r="Y28" s="2733">
        <v>0.81</v>
      </c>
      <c r="Z28" s="2733">
        <v>1.35</v>
      </c>
    </row>
    <row r="29" spans="1:256">
      <c r="B29" s="2733"/>
      <c r="C29" s="2733">
        <v>41068</v>
      </c>
      <c r="D29" s="2733">
        <v>5.85</v>
      </c>
      <c r="E29" s="2733">
        <v>6.31</v>
      </c>
      <c r="F29" s="2733">
        <v>6.4</v>
      </c>
      <c r="G29" s="2733">
        <v>6.65</v>
      </c>
      <c r="H29" s="2733">
        <v>6.8</v>
      </c>
      <c r="I29" s="2733">
        <v>4.2</v>
      </c>
      <c r="J29" s="2733">
        <v>4.7</v>
      </c>
      <c r="L29" s="2733"/>
      <c r="M29" s="2733">
        <v>39779</v>
      </c>
      <c r="N29" s="2733">
        <v>0.36</v>
      </c>
      <c r="O29" s="2733">
        <v>1.98</v>
      </c>
      <c r="P29" s="2733">
        <v>2.25</v>
      </c>
      <c r="Q29" s="2733">
        <v>2.52</v>
      </c>
      <c r="R29" s="2733">
        <v>3.06</v>
      </c>
      <c r="S29" s="2733">
        <v>3.6</v>
      </c>
      <c r="T29" s="2733">
        <v>3.87</v>
      </c>
      <c r="U29" s="2733">
        <v>1.98</v>
      </c>
      <c r="V29" s="2733">
        <v>2.25</v>
      </c>
      <c r="W29" s="2733">
        <v>2.52</v>
      </c>
      <c r="X29" s="2733">
        <v>1.17</v>
      </c>
      <c r="Y29" s="2733">
        <v>0.81</v>
      </c>
      <c r="Z29" s="2733">
        <v>1.35</v>
      </c>
    </row>
    <row r="30" spans="1:256">
      <c r="B30" s="2733"/>
      <c r="C30" s="2733">
        <v>40731</v>
      </c>
      <c r="D30" s="2733">
        <v>6.1</v>
      </c>
      <c r="E30" s="2733">
        <v>6.56</v>
      </c>
      <c r="F30" s="2733">
        <v>6.65</v>
      </c>
      <c r="G30" s="2733">
        <v>6.9</v>
      </c>
      <c r="H30" s="2733">
        <v>7.05</v>
      </c>
      <c r="I30" s="2733">
        <v>4.45</v>
      </c>
      <c r="J30" s="2733">
        <v>4.9000000000000004</v>
      </c>
      <c r="L30" s="2733"/>
      <c r="M30" s="2733">
        <v>39751</v>
      </c>
      <c r="N30" s="2733">
        <v>0.72</v>
      </c>
      <c r="O30" s="2733">
        <v>2.88</v>
      </c>
      <c r="P30" s="2733">
        <v>3.24</v>
      </c>
      <c r="Q30" s="2733">
        <v>3.6</v>
      </c>
      <c r="R30" s="2733">
        <v>4.1399999999999997</v>
      </c>
      <c r="S30" s="2733">
        <v>4.7699999999999996</v>
      </c>
      <c r="T30" s="2733">
        <v>5.13</v>
      </c>
      <c r="U30" s="2733">
        <v>2.88</v>
      </c>
      <c r="V30" s="2733">
        <v>3.24</v>
      </c>
      <c r="W30" s="2733">
        <v>3.6</v>
      </c>
      <c r="X30" s="2733">
        <v>1.53</v>
      </c>
      <c r="Y30" s="2733">
        <v>1.17</v>
      </c>
      <c r="Z30" s="2733">
        <v>1.71</v>
      </c>
    </row>
    <row r="31" spans="1:256">
      <c r="B31" s="2733"/>
      <c r="C31" s="2733">
        <v>40639</v>
      </c>
      <c r="D31" s="2733">
        <v>5.85</v>
      </c>
      <c r="E31" s="2733">
        <v>6.31</v>
      </c>
      <c r="F31" s="2733">
        <v>6.4</v>
      </c>
      <c r="G31" s="2733">
        <v>6.65</v>
      </c>
      <c r="H31" s="2733">
        <v>6.8</v>
      </c>
      <c r="I31" s="2733">
        <v>4.2</v>
      </c>
      <c r="J31" s="2733">
        <v>4.7</v>
      </c>
      <c r="L31" s="2733"/>
      <c r="M31" s="2736">
        <v>39736</v>
      </c>
      <c r="N31" s="2733">
        <v>0.72</v>
      </c>
      <c r="O31" s="2733">
        <v>3.15</v>
      </c>
      <c r="P31" s="2733">
        <v>3.51</v>
      </c>
      <c r="Q31" s="2733">
        <v>3.87</v>
      </c>
      <c r="R31" s="2733">
        <v>4.41</v>
      </c>
      <c r="S31" s="2733">
        <v>5.13</v>
      </c>
      <c r="T31" s="2733">
        <v>5.58</v>
      </c>
      <c r="U31" s="2733">
        <v>3.15</v>
      </c>
      <c r="V31" s="2733">
        <v>3.51</v>
      </c>
      <c r="W31" s="2733">
        <v>3.87</v>
      </c>
      <c r="X31" s="2733">
        <v>1.53</v>
      </c>
      <c r="Y31" s="2733">
        <v>1.17</v>
      </c>
      <c r="Z31" s="2733">
        <v>1.71</v>
      </c>
    </row>
    <row r="32" spans="1:256">
      <c r="B32" s="2733"/>
      <c r="C32" s="2733">
        <v>40583</v>
      </c>
      <c r="D32" s="2733">
        <v>5.6</v>
      </c>
      <c r="E32" s="2733">
        <v>6.06</v>
      </c>
      <c r="F32" s="2733">
        <v>6.1</v>
      </c>
      <c r="G32" s="2733">
        <v>6.45</v>
      </c>
      <c r="H32" s="2733">
        <v>6.6</v>
      </c>
      <c r="I32" s="2733">
        <v>4</v>
      </c>
      <c r="J32" s="2733">
        <v>4.5</v>
      </c>
      <c r="L32" s="2733"/>
      <c r="M32" s="2733">
        <v>39730</v>
      </c>
      <c r="N32" s="2733">
        <v>0.72</v>
      </c>
      <c r="O32" s="2733">
        <v>3.15</v>
      </c>
      <c r="P32" s="2733">
        <v>3.51</v>
      </c>
      <c r="Q32" s="2733">
        <v>3.87</v>
      </c>
      <c r="R32" s="2733">
        <v>4.41</v>
      </c>
      <c r="S32" s="2733">
        <v>5.13</v>
      </c>
      <c r="T32" s="2733">
        <v>5.58</v>
      </c>
      <c r="U32" s="2733">
        <v>3.15</v>
      </c>
      <c r="V32" s="2733">
        <v>3.51</v>
      </c>
      <c r="W32" s="2733">
        <v>3.87</v>
      </c>
      <c r="X32" s="2733">
        <v>1.53</v>
      </c>
      <c r="Y32" s="2733">
        <v>1.17</v>
      </c>
      <c r="Z32" s="2733">
        <v>1.71</v>
      </c>
    </row>
    <row r="33" spans="2:26">
      <c r="B33" s="2733"/>
      <c r="C33" s="2733">
        <v>40538</v>
      </c>
      <c r="D33" s="2733">
        <v>5.35</v>
      </c>
      <c r="E33" s="2733">
        <v>5.81</v>
      </c>
      <c r="F33" s="2733">
        <v>5.85</v>
      </c>
      <c r="G33" s="2733">
        <v>6.22</v>
      </c>
      <c r="H33" s="2733">
        <v>6.4</v>
      </c>
      <c r="I33" s="2733">
        <v>3.75</v>
      </c>
      <c r="J33" s="2733">
        <v>4.3</v>
      </c>
      <c r="L33" s="2733"/>
      <c r="M33" s="2733">
        <v>39437</v>
      </c>
      <c r="N33" s="2733">
        <v>0.72</v>
      </c>
      <c r="O33" s="2733">
        <v>3.33</v>
      </c>
      <c r="P33" s="2733">
        <v>3.78</v>
      </c>
      <c r="Q33" s="2733">
        <v>4.1399999999999997</v>
      </c>
      <c r="R33" s="2733">
        <v>4.68</v>
      </c>
      <c r="S33" s="2733">
        <v>5.4</v>
      </c>
      <c r="T33" s="2733">
        <v>5.85</v>
      </c>
      <c r="U33" s="2733">
        <v>3.33</v>
      </c>
      <c r="V33" s="2733">
        <v>3.78</v>
      </c>
      <c r="W33" s="2733">
        <v>4.1399999999999997</v>
      </c>
      <c r="X33" s="2733">
        <v>1.53</v>
      </c>
      <c r="Y33" s="2733">
        <v>1.17</v>
      </c>
      <c r="Z33" s="2733">
        <v>1.71</v>
      </c>
    </row>
    <row r="34" spans="2:26">
      <c r="B34" s="2733"/>
      <c r="C34" s="2733">
        <v>40471</v>
      </c>
      <c r="D34" s="2733">
        <v>5.0999999999999996</v>
      </c>
      <c r="E34" s="2733">
        <v>5.56</v>
      </c>
      <c r="F34" s="2733">
        <v>5.6</v>
      </c>
      <c r="G34" s="2733">
        <v>5.96</v>
      </c>
      <c r="H34" s="2733">
        <v>6.14</v>
      </c>
      <c r="I34" s="2733">
        <v>3.5</v>
      </c>
      <c r="J34" s="2733">
        <v>4.05</v>
      </c>
      <c r="L34" s="2733"/>
      <c r="M34" s="2733">
        <v>39340</v>
      </c>
      <c r="N34" s="2733">
        <v>0.81</v>
      </c>
      <c r="O34" s="2733">
        <v>2.88</v>
      </c>
      <c r="P34" s="2733">
        <v>3.42</v>
      </c>
      <c r="Q34" s="2733">
        <v>3.87</v>
      </c>
      <c r="R34" s="2733">
        <v>4.5</v>
      </c>
      <c r="S34" s="2733">
        <v>5.22</v>
      </c>
      <c r="T34" s="2733">
        <v>5.76</v>
      </c>
      <c r="U34" s="2733">
        <v>2.88</v>
      </c>
      <c r="V34" s="2733">
        <v>3.42</v>
      </c>
      <c r="W34" s="2733">
        <v>3.87</v>
      </c>
      <c r="X34" s="2733">
        <v>1.53</v>
      </c>
      <c r="Y34" s="2733">
        <v>1.17</v>
      </c>
      <c r="Z34" s="2733">
        <v>1.71</v>
      </c>
    </row>
    <row r="35" spans="2:26">
      <c r="B35" s="2733"/>
      <c r="C35" s="2733">
        <v>39805</v>
      </c>
      <c r="D35" s="2733">
        <v>4.8600000000000003</v>
      </c>
      <c r="E35" s="2733">
        <v>5.31</v>
      </c>
      <c r="F35" s="2733">
        <v>5.4</v>
      </c>
      <c r="G35" s="2733">
        <v>5.76</v>
      </c>
      <c r="H35" s="2733">
        <v>5.94</v>
      </c>
      <c r="I35" s="2733">
        <v>3.33</v>
      </c>
      <c r="J35" s="2733">
        <v>3.87</v>
      </c>
      <c r="L35" s="2733"/>
      <c r="M35" s="2733">
        <v>39316</v>
      </c>
      <c r="N35" s="2733">
        <v>0.81</v>
      </c>
      <c r="O35" s="2733">
        <v>2.61</v>
      </c>
      <c r="P35" s="2733">
        <v>3.15</v>
      </c>
      <c r="Q35" s="2733">
        <v>3.6</v>
      </c>
      <c r="R35" s="2733">
        <v>4.2300000000000004</v>
      </c>
      <c r="S35" s="2733">
        <v>4.95</v>
      </c>
      <c r="T35" s="2733">
        <v>5.49</v>
      </c>
      <c r="U35" s="2733">
        <v>2.61</v>
      </c>
      <c r="V35" s="2733">
        <v>3.15</v>
      </c>
      <c r="W35" s="2733">
        <v>3.6</v>
      </c>
      <c r="X35" s="2733">
        <v>1.53</v>
      </c>
      <c r="Y35" s="2733">
        <v>1.17</v>
      </c>
      <c r="Z35" s="2733">
        <v>1.71</v>
      </c>
    </row>
    <row r="36" spans="2:26">
      <c r="B36" s="2733"/>
      <c r="C36" s="2733">
        <v>39779</v>
      </c>
      <c r="D36" s="2733">
        <v>5.04</v>
      </c>
      <c r="E36" s="2733">
        <v>5.58</v>
      </c>
      <c r="F36" s="2733">
        <v>5.67</v>
      </c>
      <c r="G36" s="2733">
        <v>5.94</v>
      </c>
      <c r="H36" s="2733">
        <v>6.12</v>
      </c>
      <c r="I36" s="2733">
        <v>3.51</v>
      </c>
      <c r="J36" s="2733">
        <v>4.05</v>
      </c>
      <c r="L36" s="2733"/>
      <c r="M36" s="2733">
        <v>39284</v>
      </c>
      <c r="N36" s="2733">
        <v>0.81</v>
      </c>
      <c r="O36" s="2733">
        <v>2.34</v>
      </c>
      <c r="P36" s="2733">
        <v>2.88</v>
      </c>
      <c r="Q36" s="2733">
        <v>3.33</v>
      </c>
      <c r="R36" s="2733">
        <v>3.96</v>
      </c>
      <c r="S36" s="2733">
        <v>4.68</v>
      </c>
      <c r="T36" s="2733">
        <v>5.22</v>
      </c>
      <c r="U36" s="2733">
        <v>2.34</v>
      </c>
      <c r="V36" s="2733">
        <v>2.88</v>
      </c>
      <c r="W36" s="2733">
        <v>3.33</v>
      </c>
      <c r="X36" s="2733">
        <v>1.53</v>
      </c>
      <c r="Y36" s="2733">
        <v>1.17</v>
      </c>
      <c r="Z36" s="2733">
        <v>1.71</v>
      </c>
    </row>
    <row r="37" spans="2:26">
      <c r="B37" s="2733"/>
      <c r="C37" s="2733">
        <v>39751</v>
      </c>
      <c r="D37" s="2733">
        <v>6.03</v>
      </c>
      <c r="E37" s="2733">
        <v>6.66</v>
      </c>
      <c r="F37" s="2733">
        <v>6.75</v>
      </c>
      <c r="G37" s="2733">
        <v>7.02</v>
      </c>
      <c r="H37" s="2733">
        <v>7.2</v>
      </c>
      <c r="I37" s="2733">
        <v>4.05</v>
      </c>
      <c r="J37" s="2733">
        <v>4.59</v>
      </c>
      <c r="L37" s="2733"/>
      <c r="M37" s="2733">
        <v>39221</v>
      </c>
      <c r="N37" s="2733">
        <v>0.72</v>
      </c>
      <c r="O37" s="2733">
        <v>2.0699999999999998</v>
      </c>
      <c r="P37" s="2733">
        <v>2.61</v>
      </c>
      <c r="Q37" s="2733">
        <v>3.06</v>
      </c>
      <c r="R37" s="2733">
        <v>3.69</v>
      </c>
      <c r="S37" s="2733">
        <v>4.41</v>
      </c>
      <c r="T37" s="2733">
        <v>4.95</v>
      </c>
      <c r="U37" s="2733">
        <v>2.0699999999999998</v>
      </c>
      <c r="V37" s="2733">
        <v>2.61</v>
      </c>
      <c r="W37" s="2733">
        <v>3.06</v>
      </c>
      <c r="X37" s="2733">
        <v>1.44</v>
      </c>
      <c r="Y37" s="2733">
        <v>1.08</v>
      </c>
      <c r="Z37" s="2733">
        <v>1.62</v>
      </c>
    </row>
    <row r="38" spans="2:26">
      <c r="B38" s="2733"/>
      <c r="C38" s="2736">
        <v>39748</v>
      </c>
      <c r="D38" s="2733">
        <v>6.12</v>
      </c>
      <c r="E38" s="2733">
        <v>6.93</v>
      </c>
      <c r="F38" s="2733">
        <v>7.02</v>
      </c>
      <c r="G38" s="2733">
        <v>7.29</v>
      </c>
      <c r="H38" s="2733">
        <v>7.47</v>
      </c>
      <c r="I38" s="2733">
        <v>4.05</v>
      </c>
      <c r="J38" s="2733">
        <v>4.59</v>
      </c>
      <c r="L38" s="2733"/>
      <c r="M38" s="2733">
        <v>39159</v>
      </c>
      <c r="N38" s="2733">
        <v>0.72</v>
      </c>
      <c r="O38" s="2733">
        <v>1.98</v>
      </c>
      <c r="P38" s="2733">
        <v>2.4300000000000002</v>
      </c>
      <c r="Q38" s="2733">
        <v>2.79</v>
      </c>
      <c r="R38" s="2733">
        <v>3.33</v>
      </c>
      <c r="S38" s="2733">
        <v>3.96</v>
      </c>
      <c r="T38" s="2733">
        <v>4.41</v>
      </c>
      <c r="U38" s="2733">
        <v>1.98</v>
      </c>
      <c r="V38" s="2733">
        <v>2.4300000000000002</v>
      </c>
      <c r="W38" s="2733">
        <v>2.79</v>
      </c>
      <c r="X38" s="2733">
        <v>1.44</v>
      </c>
      <c r="Y38" s="2733">
        <v>1.08</v>
      </c>
      <c r="Z38" s="2733">
        <v>1.62</v>
      </c>
    </row>
    <row r="39" spans="2:26">
      <c r="B39" s="2733"/>
      <c r="C39" s="2733">
        <v>39730</v>
      </c>
      <c r="D39" s="2733">
        <v>6.12</v>
      </c>
      <c r="E39" s="2733">
        <v>6.93</v>
      </c>
      <c r="F39" s="2733">
        <v>7.02</v>
      </c>
      <c r="G39" s="2733">
        <v>7.29</v>
      </c>
      <c r="H39" s="2733">
        <v>7.47</v>
      </c>
      <c r="I39" s="2733">
        <v>4.32</v>
      </c>
      <c r="J39" s="2733">
        <v>4.8600000000000003</v>
      </c>
      <c r="L39" s="2733"/>
      <c r="M39" s="2733">
        <v>38948</v>
      </c>
      <c r="N39" s="2733">
        <v>0.72</v>
      </c>
      <c r="O39" s="2733">
        <v>1.8</v>
      </c>
      <c r="P39" s="2733">
        <v>2.25</v>
      </c>
      <c r="Q39" s="2733">
        <v>2.52</v>
      </c>
      <c r="R39" s="2733">
        <v>3.06</v>
      </c>
      <c r="S39" s="2733">
        <v>3.69</v>
      </c>
      <c r="T39" s="2733">
        <v>4.1399999999999997</v>
      </c>
      <c r="U39" s="2733">
        <v>1.8</v>
      </c>
      <c r="V39" s="2733">
        <v>2.25</v>
      </c>
      <c r="W39" s="2733">
        <v>2.52</v>
      </c>
      <c r="X39" s="2733">
        <v>1.44</v>
      </c>
      <c r="Y39" s="2733">
        <v>1.08</v>
      </c>
      <c r="Z39" s="2733">
        <v>1.62</v>
      </c>
    </row>
    <row r="40" spans="2:26">
      <c r="B40" s="2733"/>
      <c r="C40" s="2733">
        <v>39707</v>
      </c>
      <c r="D40" s="2733">
        <v>6.21</v>
      </c>
      <c r="E40" s="2733">
        <v>7.2</v>
      </c>
      <c r="F40" s="2733">
        <v>7.29</v>
      </c>
      <c r="G40" s="2733">
        <v>7.56</v>
      </c>
      <c r="H40" s="2733">
        <v>7.74</v>
      </c>
      <c r="I40" s="2733">
        <v>4.59</v>
      </c>
      <c r="J40" s="2733">
        <v>5.13</v>
      </c>
      <c r="L40" s="2733"/>
      <c r="M40" s="2733">
        <v>38289</v>
      </c>
      <c r="N40" s="2733">
        <v>0.72</v>
      </c>
      <c r="O40" s="2733">
        <v>1.71</v>
      </c>
      <c r="P40" s="2733">
        <v>2.0699999999999998</v>
      </c>
      <c r="Q40" s="2733">
        <v>2.25</v>
      </c>
      <c r="R40" s="2733">
        <v>2.7</v>
      </c>
      <c r="S40" s="2733">
        <v>3.24</v>
      </c>
      <c r="T40" s="2733">
        <v>3.6</v>
      </c>
      <c r="U40" s="2733">
        <v>1.71</v>
      </c>
      <c r="V40" s="2733">
        <v>2.0699999999999998</v>
      </c>
      <c r="W40" s="2733">
        <v>2.25</v>
      </c>
      <c r="X40" s="2733">
        <v>1.44</v>
      </c>
      <c r="Y40" s="2733">
        <v>1.08</v>
      </c>
      <c r="Z40" s="2733">
        <v>1.62</v>
      </c>
    </row>
    <row r="41" spans="2:26">
      <c r="B41" s="2733"/>
      <c r="C41" s="2733">
        <v>39437</v>
      </c>
      <c r="D41" s="2733">
        <v>6.57</v>
      </c>
      <c r="E41" s="2733">
        <v>7.47</v>
      </c>
      <c r="F41" s="2733">
        <v>7.56</v>
      </c>
      <c r="G41" s="2733">
        <v>7.74</v>
      </c>
      <c r="H41" s="2733">
        <v>7.83</v>
      </c>
      <c r="I41" s="2733">
        <v>4.7699999999999996</v>
      </c>
      <c r="J41" s="2733">
        <v>5.22</v>
      </c>
      <c r="L41" s="2733"/>
      <c r="M41" s="2733">
        <v>37308</v>
      </c>
      <c r="N41" s="2733">
        <v>0.72</v>
      </c>
      <c r="O41" s="2733">
        <v>1.71</v>
      </c>
      <c r="P41" s="2733">
        <v>1.89</v>
      </c>
      <c r="Q41" s="2733">
        <v>1.98</v>
      </c>
      <c r="R41" s="2733">
        <v>2.25</v>
      </c>
      <c r="S41" s="2733">
        <v>2.52</v>
      </c>
      <c r="T41" s="2733">
        <v>2.79</v>
      </c>
      <c r="U41" s="2733">
        <v>1.71</v>
      </c>
      <c r="V41" s="2733">
        <v>1.89</v>
      </c>
      <c r="W41" s="2733">
        <v>1.98</v>
      </c>
      <c r="X41" s="2733">
        <v>1.44</v>
      </c>
      <c r="Y41" s="2733">
        <v>1.08</v>
      </c>
      <c r="Z41" s="2733">
        <v>1.62</v>
      </c>
    </row>
    <row r="42" spans="2:26">
      <c r="B42" s="2733"/>
      <c r="C42" s="2733">
        <v>39340</v>
      </c>
      <c r="D42" s="2733">
        <v>6.48</v>
      </c>
      <c r="E42" s="2733">
        <v>7.29</v>
      </c>
      <c r="F42" s="2733">
        <v>7.47</v>
      </c>
      <c r="G42" s="2733">
        <v>7.65</v>
      </c>
      <c r="H42" s="2733">
        <v>7.83</v>
      </c>
      <c r="I42" s="2733">
        <v>4.7699999999999996</v>
      </c>
      <c r="J42" s="2733">
        <v>5.22</v>
      </c>
      <c r="L42" s="2733"/>
      <c r="M42" s="2733">
        <v>36321</v>
      </c>
      <c r="N42" s="2733">
        <v>0.99</v>
      </c>
      <c r="O42" s="2733">
        <v>1.98</v>
      </c>
      <c r="P42" s="2733">
        <v>2.16</v>
      </c>
      <c r="Q42" s="2733">
        <v>2.25</v>
      </c>
      <c r="R42" s="2733">
        <v>2.4300000000000002</v>
      </c>
      <c r="S42" s="2733">
        <v>2.7</v>
      </c>
      <c r="T42" s="2733">
        <v>2.88</v>
      </c>
      <c r="U42" s="2733">
        <v>1.98</v>
      </c>
      <c r="V42" s="2733">
        <v>2.16</v>
      </c>
      <c r="W42" s="2733">
        <v>2.25</v>
      </c>
      <c r="X42" s="2733">
        <v>1.71</v>
      </c>
      <c r="Y42" s="2733">
        <v>1.35</v>
      </c>
      <c r="Z42" s="2733">
        <v>1.89</v>
      </c>
    </row>
    <row r="43" spans="2:26">
      <c r="B43" s="2733"/>
      <c r="C43" s="2733">
        <v>39316</v>
      </c>
      <c r="D43" s="2733">
        <v>6.21</v>
      </c>
      <c r="E43" s="2733">
        <v>7.02</v>
      </c>
      <c r="F43" s="2733">
        <v>7.2</v>
      </c>
      <c r="G43" s="2733">
        <v>7.38</v>
      </c>
      <c r="H43" s="2733">
        <v>7.56</v>
      </c>
      <c r="I43" s="2733">
        <v>4.59</v>
      </c>
      <c r="J43" s="2733">
        <v>5.04</v>
      </c>
      <c r="L43" s="2733"/>
      <c r="M43" s="2733">
        <v>36136</v>
      </c>
      <c r="N43" s="2733">
        <v>1.44</v>
      </c>
      <c r="O43" s="2733">
        <v>2.79</v>
      </c>
      <c r="P43" s="2733">
        <v>3.33</v>
      </c>
      <c r="Q43" s="2733">
        <v>3.78</v>
      </c>
      <c r="R43" s="2733">
        <v>3.96</v>
      </c>
      <c r="S43" s="2733">
        <v>4.1399999999999997</v>
      </c>
      <c r="T43" s="2733">
        <v>4.5</v>
      </c>
      <c r="U43" s="2733">
        <v>3.33</v>
      </c>
      <c r="V43" s="2733">
        <v>3.78</v>
      </c>
      <c r="W43" s="2733">
        <v>4.1399999999999997</v>
      </c>
      <c r="X43" s="2733">
        <v>2.16</v>
      </c>
      <c r="Y43" s="2733">
        <v>1.8</v>
      </c>
      <c r="Z43" s="2733">
        <v>2.34</v>
      </c>
    </row>
    <row r="44" spans="2:26">
      <c r="B44" s="2733"/>
      <c r="C44" s="2733">
        <v>39284</v>
      </c>
      <c r="D44" s="2733">
        <v>6.03</v>
      </c>
      <c r="E44" s="2733">
        <v>6.84</v>
      </c>
      <c r="F44" s="2733">
        <v>7.02</v>
      </c>
      <c r="G44" s="2733">
        <v>7.2</v>
      </c>
      <c r="H44" s="2733">
        <v>7.38</v>
      </c>
      <c r="I44" s="2733">
        <v>4.5</v>
      </c>
      <c r="J44" s="2733">
        <v>4.95</v>
      </c>
      <c r="L44" s="2733"/>
      <c r="M44" s="2733">
        <v>35977</v>
      </c>
      <c r="N44" s="2733">
        <v>1.44</v>
      </c>
      <c r="O44" s="2733">
        <v>2.79</v>
      </c>
      <c r="P44" s="2733">
        <v>3.96</v>
      </c>
      <c r="Q44" s="2733">
        <v>4.7699999999999996</v>
      </c>
      <c r="R44" s="2733">
        <v>4.8600000000000003</v>
      </c>
      <c r="S44" s="2733">
        <v>4.95</v>
      </c>
      <c r="T44" s="2733">
        <v>5.22</v>
      </c>
      <c r="U44" s="2733">
        <v>3.96</v>
      </c>
      <c r="V44" s="2733">
        <v>4.7699999999999996</v>
      </c>
      <c r="W44" s="2733">
        <v>4.95</v>
      </c>
      <c r="X44" s="2733" t="s">
        <v>846</v>
      </c>
      <c r="Y44" s="2733" t="s">
        <v>846</v>
      </c>
      <c r="Z44" s="2733" t="s">
        <v>846</v>
      </c>
    </row>
    <row r="45" spans="2:26">
      <c r="B45" s="2733"/>
      <c r="C45" s="2733">
        <v>39221</v>
      </c>
      <c r="D45" s="2733">
        <v>5.85</v>
      </c>
      <c r="E45" s="2733">
        <v>6.57</v>
      </c>
      <c r="F45" s="2733">
        <v>6.75</v>
      </c>
      <c r="G45" s="2733">
        <v>6.93</v>
      </c>
      <c r="H45" s="2733">
        <v>7.2</v>
      </c>
      <c r="I45" s="2733">
        <v>4.41</v>
      </c>
      <c r="J45" s="2733">
        <v>4.8600000000000003</v>
      </c>
      <c r="L45" s="2733"/>
      <c r="M45" s="2733">
        <v>35879</v>
      </c>
      <c r="N45" s="2733">
        <v>1.71</v>
      </c>
      <c r="O45" s="2733">
        <v>2.88</v>
      </c>
      <c r="P45" s="2733">
        <v>4.1399999999999997</v>
      </c>
      <c r="Q45" s="2733">
        <v>5.22</v>
      </c>
      <c r="R45" s="2733">
        <v>5.58</v>
      </c>
      <c r="S45" s="2733">
        <v>6.21</v>
      </c>
      <c r="T45" s="2733">
        <v>6.66</v>
      </c>
      <c r="U45" s="2733">
        <v>4.1399999999999997</v>
      </c>
      <c r="V45" s="2733">
        <v>5.22</v>
      </c>
      <c r="W45" s="2733">
        <v>6.21</v>
      </c>
      <c r="X45" s="2733" t="s">
        <v>846</v>
      </c>
      <c r="Y45" s="2733" t="s">
        <v>846</v>
      </c>
      <c r="Z45" s="2733" t="s">
        <v>846</v>
      </c>
    </row>
    <row r="46" spans="2:26">
      <c r="B46" s="2733"/>
      <c r="C46" s="2733">
        <v>39159</v>
      </c>
      <c r="D46" s="2733">
        <v>5.67</v>
      </c>
      <c r="E46" s="2733">
        <v>6.39</v>
      </c>
      <c r="F46" s="2733">
        <v>6.57</v>
      </c>
      <c r="G46" s="2733">
        <v>6.75</v>
      </c>
      <c r="H46" s="2733">
        <v>7.11</v>
      </c>
      <c r="I46" s="2733">
        <v>4.32</v>
      </c>
      <c r="J46" s="2733">
        <v>4.7699999999999996</v>
      </c>
      <c r="L46" s="2733"/>
      <c r="M46" s="2733">
        <v>35726</v>
      </c>
      <c r="N46" s="2733">
        <v>1.71</v>
      </c>
      <c r="O46" s="2733">
        <v>2.88</v>
      </c>
      <c r="P46" s="2733">
        <v>4.1399999999999997</v>
      </c>
      <c r="Q46" s="2733">
        <v>5.67</v>
      </c>
      <c r="R46" s="2733">
        <v>5.94</v>
      </c>
      <c r="S46" s="2733">
        <v>6.21</v>
      </c>
      <c r="T46" s="2733">
        <v>6.66</v>
      </c>
      <c r="U46" s="2733">
        <v>4.1399999999999997</v>
      </c>
      <c r="V46" s="2733">
        <v>5.67</v>
      </c>
      <c r="W46" s="2733">
        <v>6.21</v>
      </c>
      <c r="X46" s="2733" t="s">
        <v>846</v>
      </c>
      <c r="Y46" s="2733" t="s">
        <v>846</v>
      </c>
      <c r="Z46" s="2733" t="s">
        <v>846</v>
      </c>
    </row>
    <row r="47" spans="2:26">
      <c r="B47" s="2733"/>
      <c r="C47" s="2733">
        <v>38948</v>
      </c>
      <c r="D47" s="2733">
        <v>5.58</v>
      </c>
      <c r="E47" s="2733">
        <v>6.12</v>
      </c>
      <c r="F47" s="2733">
        <v>6.3</v>
      </c>
      <c r="G47" s="2733">
        <v>6.48</v>
      </c>
      <c r="H47" s="2733">
        <v>6.84</v>
      </c>
      <c r="I47" s="2733">
        <v>4.1399999999999997</v>
      </c>
      <c r="J47" s="2733">
        <v>4.59</v>
      </c>
      <c r="L47" s="2733"/>
      <c r="M47" s="2733">
        <v>35300</v>
      </c>
      <c r="N47" s="2733">
        <v>1.98</v>
      </c>
      <c r="O47" s="2733">
        <v>3.33</v>
      </c>
      <c r="P47" s="2733">
        <v>5.4</v>
      </c>
      <c r="Q47" s="2733">
        <v>7.47</v>
      </c>
      <c r="R47" s="2733">
        <v>7.92</v>
      </c>
      <c r="S47" s="2733">
        <v>8.2799999999999994</v>
      </c>
      <c r="T47" s="2733">
        <v>9</v>
      </c>
      <c r="U47" s="2733">
        <v>5.4</v>
      </c>
      <c r="V47" s="2733">
        <v>7.47</v>
      </c>
      <c r="W47" s="2733">
        <v>8.2799999999999994</v>
      </c>
      <c r="X47" s="2733" t="s">
        <v>846</v>
      </c>
      <c r="Y47" s="2733" t="s">
        <v>846</v>
      </c>
      <c r="Z47" s="2733" t="s">
        <v>846</v>
      </c>
    </row>
    <row r="48" spans="2:26">
      <c r="B48" s="2733"/>
      <c r="C48" s="2733">
        <v>38835</v>
      </c>
      <c r="D48" s="2733">
        <v>5.4</v>
      </c>
      <c r="E48" s="2733">
        <v>5.85</v>
      </c>
      <c r="F48" s="2733">
        <v>6.03</v>
      </c>
      <c r="G48" s="2733">
        <v>6.12</v>
      </c>
      <c r="H48" s="2733">
        <v>6.39</v>
      </c>
      <c r="I48" s="2733">
        <v>4.1399999999999997</v>
      </c>
      <c r="J48" s="2733">
        <v>4.59</v>
      </c>
      <c r="L48" s="2733"/>
      <c r="M48" s="2733">
        <v>35186</v>
      </c>
      <c r="N48" s="2733">
        <v>2.97</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733">
        <v>38428</v>
      </c>
      <c r="D49" s="2733">
        <v>5.22</v>
      </c>
      <c r="E49" s="2733">
        <v>5.58</v>
      </c>
      <c r="F49" s="2733">
        <v>5.76</v>
      </c>
      <c r="G49" s="2733">
        <v>5.85</v>
      </c>
      <c r="H49" s="2733">
        <v>6.12</v>
      </c>
      <c r="I49" s="2733">
        <v>3.96</v>
      </c>
      <c r="J49" s="2733">
        <v>4.41</v>
      </c>
      <c r="L49" s="2733"/>
      <c r="M49" s="2733">
        <v>34161</v>
      </c>
      <c r="N49" s="2733">
        <v>3.15</v>
      </c>
      <c r="O49" s="2733">
        <v>6.66</v>
      </c>
      <c r="P49" s="2733">
        <v>9</v>
      </c>
      <c r="Q49" s="2733">
        <v>10.98</v>
      </c>
      <c r="R49" s="2733">
        <v>11.7</v>
      </c>
      <c r="S49" s="2733">
        <v>12.24</v>
      </c>
      <c r="T49" s="2733">
        <v>13.86</v>
      </c>
      <c r="U49" s="2733">
        <v>9</v>
      </c>
      <c r="V49" s="2733">
        <v>10.98</v>
      </c>
      <c r="W49" s="2733">
        <v>12.24</v>
      </c>
      <c r="X49" s="2733" t="s">
        <v>846</v>
      </c>
      <c r="Y49" s="2733" t="s">
        <v>846</v>
      </c>
      <c r="Z49" s="2733" t="s">
        <v>846</v>
      </c>
    </row>
    <row r="50" spans="2:26">
      <c r="B50" s="2733"/>
      <c r="C50" s="2733">
        <v>38289</v>
      </c>
      <c r="D50" s="2733">
        <v>5.22</v>
      </c>
      <c r="E50" s="2733">
        <v>5.58</v>
      </c>
      <c r="F50" s="2733">
        <v>5.76</v>
      </c>
      <c r="G50" s="2733">
        <v>5.85</v>
      </c>
      <c r="H50" s="2733">
        <v>6.12</v>
      </c>
      <c r="I50" s="2733">
        <v>3.78</v>
      </c>
      <c r="J50" s="2733">
        <v>4.2300000000000004</v>
      </c>
      <c r="L50" s="2733"/>
      <c r="M50" s="2733">
        <v>34104</v>
      </c>
      <c r="N50" s="2733">
        <v>2.16</v>
      </c>
      <c r="O50" s="2733">
        <v>4.8600000000000003</v>
      </c>
      <c r="P50" s="2733">
        <v>7.2</v>
      </c>
      <c r="Q50" s="2733">
        <v>9.18</v>
      </c>
      <c r="R50" s="2733">
        <v>9.9</v>
      </c>
      <c r="S50" s="2733">
        <v>10.8</v>
      </c>
      <c r="T50" s="2733">
        <v>12.06</v>
      </c>
      <c r="U50" s="2733">
        <v>7.2</v>
      </c>
      <c r="V50" s="2733">
        <v>9.18</v>
      </c>
      <c r="W50" s="2733">
        <v>10.8</v>
      </c>
      <c r="X50" s="2733" t="s">
        <v>846</v>
      </c>
      <c r="Y50" s="2733" t="s">
        <v>846</v>
      </c>
      <c r="Z50" s="2733" t="s">
        <v>846</v>
      </c>
    </row>
    <row r="51" spans="2:26">
      <c r="B51" s="2733"/>
      <c r="C51" s="2733">
        <v>37308</v>
      </c>
      <c r="D51" s="2733">
        <v>5.04</v>
      </c>
      <c r="E51" s="2733">
        <v>5.31</v>
      </c>
      <c r="F51" s="2733">
        <v>5.49</v>
      </c>
      <c r="G51" s="2733">
        <v>5.58</v>
      </c>
      <c r="H51" s="2733">
        <v>5.76</v>
      </c>
      <c r="I51" s="2733">
        <v>3.6</v>
      </c>
      <c r="J51" s="2733">
        <v>4.05</v>
      </c>
      <c r="L51" s="2733"/>
      <c r="M51" s="2733">
        <v>33349</v>
      </c>
      <c r="N51" s="2733">
        <v>1.8</v>
      </c>
      <c r="O51" s="2733">
        <v>3.24</v>
      </c>
      <c r="P51" s="2733">
        <v>5.4</v>
      </c>
      <c r="Q51" s="2733">
        <v>7.56</v>
      </c>
      <c r="R51" s="2733">
        <v>7.92</v>
      </c>
      <c r="S51" s="2733">
        <v>8.2799999999999994</v>
      </c>
      <c r="T51" s="2733">
        <v>9</v>
      </c>
      <c r="U51" s="2733">
        <v>6.12</v>
      </c>
      <c r="V51" s="2733">
        <v>6.84</v>
      </c>
      <c r="W51" s="2733">
        <v>7.56</v>
      </c>
      <c r="X51" s="2733" t="s">
        <v>846</v>
      </c>
      <c r="Y51" s="2733" t="s">
        <v>846</v>
      </c>
      <c r="Z51" s="2733" t="s">
        <v>846</v>
      </c>
    </row>
    <row r="52" spans="2:26">
      <c r="B52" s="2733"/>
      <c r="C52" s="2733">
        <v>36321</v>
      </c>
      <c r="D52" s="2733">
        <v>5.58</v>
      </c>
      <c r="E52" s="2733">
        <v>5.85</v>
      </c>
      <c r="F52" s="2733">
        <v>5.94</v>
      </c>
      <c r="G52" s="2733">
        <v>6.03</v>
      </c>
      <c r="H52" s="2733">
        <v>6.21</v>
      </c>
      <c r="I52" s="2733">
        <v>4.1399999999999997</v>
      </c>
      <c r="J52" s="2733">
        <v>4.59</v>
      </c>
      <c r="L52" s="2733"/>
      <c r="M52" s="2733">
        <v>33106</v>
      </c>
      <c r="N52" s="2733">
        <v>2.16</v>
      </c>
      <c r="O52" s="2733">
        <v>4.32</v>
      </c>
      <c r="P52" s="2733">
        <v>6.48</v>
      </c>
      <c r="Q52" s="2733">
        <v>8.64</v>
      </c>
      <c r="R52" s="2733">
        <v>9.36</v>
      </c>
      <c r="S52" s="2733">
        <v>10.08</v>
      </c>
      <c r="T52" s="2733">
        <v>11.52</v>
      </c>
      <c r="U52" s="2733">
        <v>7.2</v>
      </c>
      <c r="V52" s="2733">
        <v>8.64</v>
      </c>
      <c r="W52" s="2733">
        <v>10.08</v>
      </c>
      <c r="X52" s="2733" t="s">
        <v>846</v>
      </c>
      <c r="Y52" s="2733" t="s">
        <v>846</v>
      </c>
      <c r="Z52" s="2733" t="s">
        <v>846</v>
      </c>
    </row>
    <row r="53" spans="2:26">
      <c r="B53" s="2733"/>
      <c r="C53" s="2733">
        <v>36136</v>
      </c>
      <c r="D53" s="2733">
        <v>6.12</v>
      </c>
      <c r="E53" s="2733">
        <v>6.39</v>
      </c>
      <c r="F53" s="2733">
        <v>6.66</v>
      </c>
      <c r="G53" s="2733">
        <v>7.2</v>
      </c>
      <c r="H53" s="2733">
        <v>7.56</v>
      </c>
      <c r="I53" s="2733">
        <v>0</v>
      </c>
      <c r="J53" s="2733">
        <v>0</v>
      </c>
      <c r="L53" s="2733"/>
      <c r="M53" s="2733">
        <v>32978</v>
      </c>
      <c r="N53" s="2733">
        <v>2.88</v>
      </c>
      <c r="O53" s="2733">
        <v>6.3</v>
      </c>
      <c r="P53" s="2733">
        <v>7.74</v>
      </c>
      <c r="Q53" s="2733">
        <v>10.08</v>
      </c>
      <c r="R53" s="2733">
        <v>10.98</v>
      </c>
      <c r="S53" s="2733">
        <v>11.88</v>
      </c>
      <c r="T53" s="2733">
        <v>13.68</v>
      </c>
      <c r="U53" s="2733" t="s">
        <v>846</v>
      </c>
      <c r="V53" s="2733" t="s">
        <v>846</v>
      </c>
      <c r="W53" s="2733" t="s">
        <v>846</v>
      </c>
      <c r="X53" s="2733" t="s">
        <v>846</v>
      </c>
      <c r="Y53" s="2733" t="s">
        <v>846</v>
      </c>
      <c r="Z53" s="2733" t="s">
        <v>846</v>
      </c>
    </row>
    <row r="54" spans="2:26">
      <c r="B54" s="2733"/>
      <c r="C54" s="2733">
        <v>35977</v>
      </c>
      <c r="D54" s="2733">
        <v>6.57</v>
      </c>
      <c r="E54" s="2733">
        <v>6.93</v>
      </c>
      <c r="F54" s="2733">
        <v>7.11</v>
      </c>
      <c r="G54" s="2733">
        <v>7.65</v>
      </c>
      <c r="H54" s="2733">
        <v>8.01</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733">
        <v>35879</v>
      </c>
      <c r="D55" s="2733">
        <v>7.02</v>
      </c>
      <c r="E55" s="2733">
        <v>7.92</v>
      </c>
      <c r="F55" s="2733">
        <v>9</v>
      </c>
      <c r="G55" s="2733">
        <v>9.7200000000000006</v>
      </c>
      <c r="H55" s="2733">
        <v>10.35</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733">
        <v>35726</v>
      </c>
      <c r="D56" s="2733">
        <v>7.65</v>
      </c>
      <c r="E56" s="2733">
        <v>8.64</v>
      </c>
      <c r="F56" s="2733">
        <v>9.36</v>
      </c>
      <c r="G56" s="2733">
        <v>9.9</v>
      </c>
      <c r="H56" s="2733">
        <v>10.53</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733">
        <v>35300</v>
      </c>
      <c r="D57" s="2733">
        <v>9.18</v>
      </c>
      <c r="E57" s="2733">
        <v>10.08</v>
      </c>
      <c r="F57" s="2733">
        <v>10.98</v>
      </c>
      <c r="G57" s="2733">
        <v>11.7</v>
      </c>
      <c r="H57" s="2733">
        <v>12.42</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733">
        <v>35186</v>
      </c>
      <c r="D58" s="2733">
        <v>9.7200000000000006</v>
      </c>
      <c r="E58" s="2733">
        <v>10.98</v>
      </c>
      <c r="F58" s="2733">
        <v>13.14</v>
      </c>
      <c r="G58" s="2733">
        <v>14.94</v>
      </c>
      <c r="H58" s="2733">
        <v>15.12</v>
      </c>
      <c r="I58" s="2733">
        <v>0</v>
      </c>
      <c r="J58" s="2733">
        <v>0</v>
      </c>
      <c r="L58" s="2733"/>
      <c r="M58" s="2733"/>
      <c r="N58" s="2733"/>
      <c r="O58" s="2733"/>
      <c r="P58" s="2733"/>
      <c r="Q58" s="2733"/>
      <c r="R58" s="2733"/>
      <c r="S58" s="2733"/>
      <c r="T58" s="2733"/>
      <c r="U58" s="2733"/>
      <c r="V58" s="2733"/>
      <c r="W58" s="2733"/>
      <c r="X58" s="2733"/>
      <c r="Y58" s="2733"/>
      <c r="Z58" s="2733"/>
    </row>
    <row r="59" spans="2:26">
      <c r="B59" s="2733"/>
      <c r="C59" s="2733">
        <v>34881</v>
      </c>
      <c r="D59" s="2733">
        <v>10.08</v>
      </c>
      <c r="E59" s="2733">
        <v>12.06</v>
      </c>
      <c r="F59" s="2733">
        <v>13.5</v>
      </c>
      <c r="G59" s="2733">
        <v>15.12</v>
      </c>
      <c r="H59" s="2733">
        <v>15.3</v>
      </c>
      <c r="I59" s="2733">
        <v>0</v>
      </c>
      <c r="J59" s="2733">
        <v>0</v>
      </c>
      <c r="L59" s="2733"/>
      <c r="M59" s="2733"/>
      <c r="N59" s="2733"/>
      <c r="O59" s="2733"/>
      <c r="P59" s="2733"/>
      <c r="Q59" s="2733"/>
      <c r="R59" s="2733"/>
      <c r="S59" s="2733"/>
      <c r="T59" s="2733"/>
      <c r="U59" s="2733"/>
      <c r="V59" s="2733"/>
      <c r="W59" s="2733"/>
      <c r="X59" s="2733"/>
      <c r="Y59" s="2733"/>
      <c r="Z59" s="2733"/>
    </row>
    <row r="60" spans="2:26">
      <c r="B60" s="2733"/>
      <c r="C60" s="2733">
        <v>34700</v>
      </c>
      <c r="D60" s="2733">
        <v>9</v>
      </c>
      <c r="E60" s="2733">
        <v>10.98</v>
      </c>
      <c r="F60" s="2733">
        <v>12.96</v>
      </c>
      <c r="G60" s="2733">
        <v>14.58</v>
      </c>
      <c r="H60" s="2733">
        <v>14.76</v>
      </c>
      <c r="I60" s="2733">
        <v>0</v>
      </c>
      <c r="J60" s="2733">
        <v>0</v>
      </c>
    </row>
    <row r="61" spans="2:26">
      <c r="B61" s="2733"/>
      <c r="C61" s="2733">
        <v>34161</v>
      </c>
      <c r="D61" s="2733">
        <v>9</v>
      </c>
      <c r="E61" s="2733">
        <v>10.98</v>
      </c>
      <c r="F61" s="2733">
        <v>12.24</v>
      </c>
      <c r="G61" s="2733">
        <v>13.86</v>
      </c>
      <c r="H61" s="2733">
        <v>14.04</v>
      </c>
      <c r="I61" s="2733">
        <v>0</v>
      </c>
      <c r="J61" s="2733">
        <v>0</v>
      </c>
    </row>
    <row r="62" spans="2:26">
      <c r="B62" s="2733"/>
      <c r="C62" s="2733">
        <v>34104</v>
      </c>
      <c r="D62" s="2733">
        <v>8.82</v>
      </c>
      <c r="E62" s="2733">
        <v>9.36</v>
      </c>
      <c r="F62" s="2733">
        <v>10.8</v>
      </c>
      <c r="G62" s="2733">
        <v>12.06</v>
      </c>
      <c r="H62" s="2733">
        <v>12.24</v>
      </c>
      <c r="I62" s="2733">
        <v>0</v>
      </c>
      <c r="J62" s="2733">
        <v>0</v>
      </c>
    </row>
    <row r="63" spans="2:26">
      <c r="B63" s="2733"/>
      <c r="C63" s="2733">
        <v>33349</v>
      </c>
      <c r="D63" s="2733">
        <v>8.1</v>
      </c>
      <c r="E63" s="2733">
        <v>8.64</v>
      </c>
      <c r="F63" s="2733">
        <v>9</v>
      </c>
      <c r="G63" s="2733">
        <v>9.5399999999999991</v>
      </c>
      <c r="H63" s="2733">
        <v>9.7200000000000006</v>
      </c>
      <c r="I63" s="2733">
        <v>0</v>
      </c>
      <c r="J63" s="2733">
        <v>0</v>
      </c>
    </row>
    <row r="64" spans="2:26">
      <c r="B64" s="2733"/>
      <c r="C64" s="2733">
        <v>33318</v>
      </c>
      <c r="D64" s="2733">
        <v>9</v>
      </c>
      <c r="E64" s="2733">
        <v>10.08</v>
      </c>
      <c r="F64" s="2733">
        <v>10.8</v>
      </c>
      <c r="G64" s="2733">
        <v>11.52</v>
      </c>
      <c r="H64" s="2733">
        <v>11.88</v>
      </c>
      <c r="I64" s="2733" t="s">
        <v>846</v>
      </c>
      <c r="J64" s="2733" t="s">
        <v>846</v>
      </c>
    </row>
    <row r="65" spans="2:10">
      <c r="B65" s="2733"/>
      <c r="C65" s="2733">
        <v>33106</v>
      </c>
      <c r="D65" s="2733">
        <v>8.64</v>
      </c>
      <c r="E65" s="2733">
        <v>9.36</v>
      </c>
      <c r="F65" s="2733">
        <v>10.08</v>
      </c>
      <c r="G65" s="2733">
        <v>10.8</v>
      </c>
      <c r="H65" s="2733">
        <v>11.16</v>
      </c>
      <c r="I65" s="2733">
        <v>0</v>
      </c>
      <c r="J65" s="2733">
        <v>0</v>
      </c>
    </row>
    <row r="66" spans="2:10">
      <c r="B66" s="2733"/>
      <c r="C66" s="2733">
        <v>32540</v>
      </c>
      <c r="D66" s="2733">
        <v>11.34</v>
      </c>
      <c r="E66" s="2733">
        <v>11.34</v>
      </c>
      <c r="F66" s="2733">
        <v>12.78</v>
      </c>
      <c r="G66" s="2733">
        <v>14.4</v>
      </c>
      <c r="H66" s="2733">
        <v>19.260000000000002</v>
      </c>
      <c r="I66" s="2733">
        <v>0</v>
      </c>
      <c r="J66" s="2733">
        <v>0</v>
      </c>
    </row>
    <row r="67" spans="2:10">
      <c r="B67" s="2733"/>
      <c r="C67" s="2733"/>
      <c r="D67" s="2733"/>
      <c r="E67" s="2733"/>
      <c r="F67" s="2733"/>
      <c r="G67" s="2733"/>
      <c r="H67" s="2733"/>
      <c r="I67" s="2733"/>
      <c r="J67" s="2733"/>
    </row>
    <row r="68" spans="2:10">
      <c r="B68" s="2740"/>
      <c r="C68" s="2740"/>
      <c r="D68" s="2740"/>
      <c r="E68" s="2740"/>
      <c r="F68" s="2740"/>
      <c r="G68" s="2740"/>
      <c r="H68" s="2740"/>
      <c r="I68" s="2740"/>
      <c r="J68" s="2740"/>
    </row>
    <row r="69" spans="2:10">
      <c r="B69" s="2740"/>
      <c r="C69" s="2740"/>
      <c r="D69" s="2740"/>
      <c r="E69" s="2740"/>
      <c r="F69" s="2740"/>
      <c r="G69" s="2740"/>
      <c r="H69" s="2740"/>
      <c r="I69" s="2740"/>
      <c r="J69" s="2740"/>
    </row>
    <row r="70" spans="2:10">
      <c r="B70" s="2740"/>
      <c r="C70" s="2740"/>
      <c r="D70" s="2740"/>
      <c r="E70" s="2740"/>
      <c r="F70" s="2740"/>
      <c r="G70" s="2740"/>
      <c r="H70" s="2740"/>
      <c r="I70" s="2740"/>
      <c r="J70" s="2740"/>
    </row>
    <row r="71" spans="2:10">
      <c r="B71" s="2688"/>
      <c r="C71" s="2688"/>
      <c r="D71" s="2688"/>
      <c r="E71" s="2688"/>
      <c r="F71" s="2688"/>
      <c r="G71" s="2688"/>
      <c r="H71" s="2688"/>
      <c r="I71" s="2688"/>
      <c r="J71" s="2688"/>
    </row>
    <row r="72" spans="2:10">
      <c r="B72" s="2688"/>
      <c r="C72" s="2688"/>
      <c r="D72" s="2688"/>
      <c r="E72" s="2688"/>
      <c r="F72" s="2688"/>
      <c r="G72" s="2688"/>
      <c r="H72" s="2688"/>
      <c r="I72" s="2688"/>
      <c r="J72"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08" t="s">
        <v>2706</v>
      </c>
      <c r="B1" s="3308"/>
      <c r="C1" s="3308"/>
      <c r="D1" s="3308"/>
      <c r="E1" s="3308"/>
      <c r="F1" s="3309"/>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2998"/>
      <c r="B3" s="2998"/>
      <c r="C3" s="2998"/>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2998" t="s">
        <v>1144</v>
      </c>
      <c r="B5" s="2998"/>
      <c r="C5" s="2998"/>
      <c r="D5" s="2998" t="e">
        <f ca="1">结果表!D119</f>
        <v>#REF!</v>
      </c>
      <c r="E5" s="2998"/>
      <c r="F5" s="2998" t="e">
        <f ca="1">结果表!F119</f>
        <v>#REF!</v>
      </c>
      <c r="G5" s="2998"/>
      <c r="H5" s="2998" t="e">
        <f ca="1">结果表!H119</f>
        <v>#REF!</v>
      </c>
      <c r="I5" s="2998"/>
    </row>
    <row r="6" spans="1:9" ht="15.75">
      <c r="A6" s="2997" t="str">
        <f>结果表!A120</f>
        <v>估价师知悉的法定优先受偿款</v>
      </c>
      <c r="B6" s="2997"/>
      <c r="C6" s="2997"/>
      <c r="D6" s="2997">
        <f>结果表!D120</f>
        <v>0</v>
      </c>
      <c r="E6" s="2997"/>
      <c r="F6" s="2997"/>
      <c r="G6" s="2997"/>
      <c r="H6" s="2997"/>
      <c r="I6" s="2997"/>
    </row>
    <row r="7" spans="1:9" ht="15">
      <c r="A7" s="2998" t="s">
        <v>1144</v>
      </c>
      <c r="B7" s="2998"/>
      <c r="C7" s="2998"/>
      <c r="D7" s="2999" t="str">
        <f>结果表!D121</f>
        <v>零元整</v>
      </c>
      <c r="E7" s="3000"/>
      <c r="F7" s="3000"/>
      <c r="G7" s="3000"/>
      <c r="H7" s="3000"/>
      <c r="I7" s="3001"/>
    </row>
    <row r="8" spans="1:9" ht="15.75">
      <c r="A8" s="2997" t="str">
        <f>结果表!A122</f>
        <v>房地产抵押价值</v>
      </c>
      <c r="B8" s="2997"/>
      <c r="C8" s="2997"/>
      <c r="D8" s="2997" t="e">
        <f ca="1">结果表!D122</f>
        <v>#REF!</v>
      </c>
      <c r="E8" s="2997"/>
      <c r="F8" s="2997"/>
      <c r="G8" s="2997"/>
      <c r="H8" s="2997"/>
      <c r="I8" s="2997"/>
    </row>
    <row r="9" spans="1:9" ht="15">
      <c r="A9" s="2998" t="s">
        <v>1144</v>
      </c>
      <c r="B9" s="2998"/>
      <c r="C9" s="2998"/>
      <c r="D9" s="2998" t="e">
        <f ca="1">结果表!D123</f>
        <v>#REF!</v>
      </c>
      <c r="E9" s="2998"/>
      <c r="F9" s="2998"/>
      <c r="G9" s="2998"/>
      <c r="H9" s="2998"/>
      <c r="I9" s="2998"/>
    </row>
    <row r="10" spans="1:9" ht="15.75">
      <c r="A10" s="2997" t="str">
        <f>结果表!A124</f>
        <v/>
      </c>
      <c r="B10" s="2997"/>
      <c r="C10" s="2997"/>
      <c r="D10" s="2997" t="str">
        <f>结果表!D124</f>
        <v>——</v>
      </c>
      <c r="E10" s="2997"/>
      <c r="F10" s="2997"/>
      <c r="G10" s="2997"/>
      <c r="H10" s="2997"/>
      <c r="I10" s="2997"/>
    </row>
    <row r="11" spans="1:9" ht="15">
      <c r="A11" s="2998" t="s">
        <v>1144</v>
      </c>
      <c r="B11" s="2998"/>
      <c r="C11" s="2998"/>
      <c r="D11" s="2998" t="e">
        <f>结果表!D125</f>
        <v>#VALUE!</v>
      </c>
      <c r="E11" s="2998"/>
      <c r="F11" s="2998"/>
      <c r="G11" s="2998"/>
      <c r="H11" s="2998"/>
      <c r="I11" s="2998"/>
    </row>
    <row r="12" spans="1:9" ht="15.75">
      <c r="A12" s="2997" t="str">
        <f>结果表!A126</f>
        <v/>
      </c>
      <c r="B12" s="2997"/>
      <c r="C12" s="2997"/>
      <c r="D12" s="2997" t="str">
        <f>结果表!D126</f>
        <v>——</v>
      </c>
      <c r="E12" s="2997"/>
      <c r="F12" s="2997"/>
      <c r="G12" s="2997"/>
      <c r="H12" s="2997"/>
      <c r="I12" s="2997"/>
    </row>
    <row r="13" spans="1:9" ht="15.75" thickBot="1">
      <c r="A13" s="2995" t="s">
        <v>1144</v>
      </c>
      <c r="B13" s="2995"/>
      <c r="C13" s="2995"/>
      <c r="D13" s="2995" t="e">
        <f>结果表!D127</f>
        <v>#VALUE!</v>
      </c>
      <c r="E13" s="2995"/>
      <c r="F13" s="2995"/>
      <c r="G13" s="2995"/>
      <c r="H13" s="2995"/>
      <c r="I13" s="2995"/>
    </row>
    <row r="14" spans="1:9" ht="15" thickTop="1">
      <c r="A14" s="2996" t="s">
        <v>1149</v>
      </c>
      <c r="B14" s="2996"/>
      <c r="C14" s="2996"/>
      <c r="D14" s="2996"/>
      <c r="E14" s="2996"/>
      <c r="F14" s="2996"/>
      <c r="G14" s="2996"/>
      <c r="H14" s="2996"/>
      <c r="I14" s="2996"/>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0" t="s">
        <v>1166</v>
      </c>
      <c r="B1" s="3010"/>
      <c r="C1" s="3010"/>
      <c r="D1" s="3010"/>
    </row>
    <row r="2" spans="1:4" ht="18">
      <c r="A2" s="3011" t="s">
        <v>1150</v>
      </c>
      <c r="B2" s="3011"/>
      <c r="C2" s="3011"/>
      <c r="D2" s="3011"/>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1" t="s">
        <v>1156</v>
      </c>
      <c r="B6" s="3011"/>
      <c r="C6" s="3011"/>
      <c r="D6" s="3011"/>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2" t="s">
        <v>1159</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1160</v>
      </c>
      <c r="B16" s="3006"/>
      <c r="C16" s="3006"/>
      <c r="D16" s="3006"/>
    </row>
    <row r="17" spans="1:4" ht="144" customHeight="1">
      <c r="A17" s="3006" t="s">
        <v>1161</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7"/>
      <c r="C21" s="3007"/>
      <c r="D21" s="3007"/>
    </row>
    <row r="22" spans="1:4" ht="18.75" customHeight="1">
      <c r="A22" s="3008" t="s">
        <v>1162</v>
      </c>
      <c r="B22" s="3008"/>
      <c r="C22" s="3008"/>
      <c r="D22" s="3008"/>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05">
        <v>42551</v>
      </c>
      <c r="D31" s="3005"/>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18" t="s">
        <v>1173</v>
      </c>
      <c r="B15" s="3013" t="s">
        <v>112</v>
      </c>
      <c r="C15" s="3014"/>
    </row>
    <row r="16" spans="1:7" ht="13.5">
      <c r="A16" s="3019"/>
      <c r="B16" s="3013" t="s">
        <v>45</v>
      </c>
      <c r="C16" s="3014"/>
    </row>
    <row r="17" spans="1:3" ht="13.5">
      <c r="A17" s="3019"/>
      <c r="B17" s="3016" t="s">
        <v>1174</v>
      </c>
      <c r="C17" s="203" t="s">
        <v>1173</v>
      </c>
    </row>
    <row r="18" spans="1:3" ht="13.5">
      <c r="A18" s="3019"/>
      <c r="B18" s="3016"/>
      <c r="C18" s="203" t="s">
        <v>1175</v>
      </c>
    </row>
    <row r="19" spans="1:3" ht="13.5">
      <c r="A19" s="3019"/>
      <c r="B19" s="3016"/>
      <c r="C19" s="203" t="s">
        <v>1176</v>
      </c>
    </row>
    <row r="20" spans="1:3" ht="13.5">
      <c r="A20" s="3020"/>
      <c r="B20" s="3015" t="s">
        <v>1177</v>
      </c>
      <c r="C20" s="3014"/>
    </row>
    <row r="21" spans="1:3" ht="13.5">
      <c r="A21" s="204" t="s">
        <v>1178</v>
      </c>
      <c r="B21" s="205"/>
      <c r="C21" s="206"/>
    </row>
    <row r="22" spans="1:3" ht="13.5">
      <c r="A22" s="3017" t="s">
        <v>1179</v>
      </c>
      <c r="B22" s="3015" t="s">
        <v>1180</v>
      </c>
      <c r="C22" s="3014"/>
    </row>
    <row r="23" spans="1:3" ht="13.5">
      <c r="A23" s="3017"/>
      <c r="B23" s="3015" t="s">
        <v>1181</v>
      </c>
      <c r="C23" s="3014"/>
    </row>
    <row r="24" spans="1:3" ht="13.5">
      <c r="A24" s="3017"/>
      <c r="B24" s="3015" t="s">
        <v>1182</v>
      </c>
      <c r="C24" s="3014"/>
    </row>
    <row r="25" spans="1:3" ht="13.5">
      <c r="A25" s="3017"/>
      <c r="B25" s="3016" t="s">
        <v>1183</v>
      </c>
      <c r="C25" s="203" t="s">
        <v>1184</v>
      </c>
    </row>
    <row r="26" spans="1:3" ht="13.5">
      <c r="A26" s="3017"/>
      <c r="B26" s="3016"/>
      <c r="C26" s="203" t="s">
        <v>1185</v>
      </c>
    </row>
    <row r="27" spans="1:3" ht="13.5">
      <c r="A27" s="3017"/>
      <c r="B27" s="3016"/>
      <c r="C27" s="203" t="s">
        <v>1186</v>
      </c>
    </row>
    <row r="28" spans="1:3" ht="13.5">
      <c r="A28" s="3017"/>
      <c r="B28" s="3016"/>
      <c r="C28" s="203" t="s">
        <v>1187</v>
      </c>
    </row>
    <row r="29" spans="1:3" ht="13.5">
      <c r="A29" s="3017"/>
      <c r="B29" s="3016"/>
      <c r="C29" s="203" t="s">
        <v>1188</v>
      </c>
    </row>
    <row r="30" spans="1:3" ht="13.5">
      <c r="A30" s="3017"/>
      <c r="B30" s="3016"/>
      <c r="C30" s="203" t="s">
        <v>1189</v>
      </c>
    </row>
    <row r="31" spans="1:3" ht="13.5">
      <c r="A31" s="3017"/>
      <c r="B31" s="3016"/>
      <c r="C31" s="203" t="s">
        <v>1190</v>
      </c>
    </row>
    <row r="32" spans="1:3" ht="13.5">
      <c r="A32" s="3017"/>
      <c r="B32" s="3016"/>
      <c r="C32" s="203" t="s">
        <v>1191</v>
      </c>
    </row>
    <row r="33" spans="1:3" ht="13.5">
      <c r="A33" s="3017"/>
      <c r="B33" s="3016"/>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44798</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1" t="s">
        <v>2418</v>
      </c>
      <c r="B17" s="3021"/>
      <c r="C17" s="3021"/>
      <c r="D17" s="3021"/>
      <c r="E17" s="3021"/>
      <c r="F17" s="3021"/>
      <c r="G17" s="3021"/>
      <c r="H17" s="3021"/>
    </row>
    <row r="18" spans="1:8" ht="24" customHeight="1">
      <c r="A18" s="3022" t="s">
        <v>2419</v>
      </c>
      <c r="B18" s="3022"/>
      <c r="C18" s="3022"/>
      <c r="D18" s="570"/>
      <c r="E18" s="3023" t="s">
        <v>2420</v>
      </c>
      <c r="F18" s="3022"/>
      <c r="G18" s="3022"/>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2022-08-25T02:38:48Z</dcterms:modified>
</cp:coreProperties>
</file>