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80司法-平谷杨桥峪口镇\"/>
    </mc:Choice>
  </mc:AlternateContent>
  <xr:revisionPtr revIDLastSave="0" documentId="13_ncr:1_{5CAC9671-518B-4463-8FFE-E39AC43E651D}" xr6:coauthVersionLast="47" xr6:coauthVersionMax="47" xr10:uidLastSave="{00000000-0000-0000-0000-000000000000}"/>
  <bookViews>
    <workbookView xWindow="-120" yWindow="-120" windowWidth="38640" windowHeight="21240" tabRatio="899" firstSheet="7"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厂房仓储案例" sheetId="81" r:id="rId43"/>
    <sheet name="地价" sheetId="71" r:id="rId44"/>
    <sheet name="区片价" sheetId="44" r:id="rId45"/>
    <sheet name="地价-分区" sheetId="79"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92" i="37" l="1"/>
  <c r="F92" i="37" s="1"/>
  <c r="G92" i="37" s="1"/>
  <c r="D92" i="37"/>
  <c r="I30" i="37"/>
  <c r="G30" i="37"/>
  <c r="E30" i="37"/>
  <c r="C30" i="37"/>
  <c r="I41" i="37"/>
  <c r="G41" i="37"/>
  <c r="E41" i="37"/>
  <c r="U6" i="1"/>
  <c r="C14" i="74"/>
  <c r="B14" i="74"/>
  <c r="N47" i="80"/>
  <c r="P34" i="80"/>
  <c r="P31" i="80"/>
  <c r="P35" i="80" s="1"/>
  <c r="N35" i="80" s="1"/>
  <c r="N34" i="80"/>
  <c r="N33" i="80"/>
  <c r="D14" i="9"/>
  <c r="N46" i="80"/>
  <c r="Y6" i="1"/>
  <c r="D33" i="43"/>
  <c r="V5" i="79"/>
  <c r="O5" i="79"/>
  <c r="O6" i="79"/>
  <c r="O7" i="79"/>
  <c r="U8" i="79"/>
  <c r="AO8" i="79"/>
  <c r="AM7" i="79"/>
  <c r="AP8" i="79"/>
  <c r="AN7" i="79"/>
  <c r="AO7" i="79"/>
  <c r="AP7" i="79"/>
  <c r="AQ7" i="79"/>
  <c r="AR7" i="79"/>
  <c r="V5" i="80"/>
  <c r="V6" i="80"/>
  <c r="V7" i="80"/>
  <c r="V8" i="80"/>
  <c r="V9" i="80"/>
  <c r="V10" i="80"/>
  <c r="V11" i="80"/>
  <c r="V12" i="80"/>
  <c r="V13" i="80"/>
  <c r="V14" i="80"/>
  <c r="V15" i="80"/>
  <c r="V16" i="80"/>
  <c r="V17" i="80"/>
  <c r="V18" i="80"/>
  <c r="V19" i="80"/>
  <c r="V20" i="80"/>
  <c r="V21" i="80"/>
  <c r="V22" i="80"/>
  <c r="V23" i="80"/>
  <c r="V24" i="80"/>
  <c r="V25" i="80"/>
  <c r="V26" i="80"/>
  <c r="V27" i="80"/>
  <c r="V28" i="80"/>
  <c r="V29" i="80"/>
  <c r="V30" i="80"/>
  <c r="V4" i="80"/>
  <c r="S31" i="80"/>
  <c r="F19" i="6"/>
  <c r="N31" i="80"/>
  <c r="V6" i="79" l="1"/>
  <c r="AJ6" i="79" s="1"/>
  <c r="V7" i="79"/>
  <c r="AJ7" i="79" s="1"/>
  <c r="D3" i="4"/>
  <c r="E27" i="45"/>
  <c r="G14" i="73" l="1"/>
  <c r="F14" i="73"/>
  <c r="E14" i="73"/>
  <c r="I13" i="79" l="1"/>
  <c r="AP36" i="79" l="1"/>
  <c r="AP37" i="79" s="1"/>
  <c r="AP38" i="79" s="1"/>
  <c r="AP39" i="79" s="1"/>
  <c r="AP40" i="79" s="1"/>
  <c r="AP41" i="79" s="1"/>
  <c r="AP42" i="79" s="1"/>
  <c r="AP43" i="79" s="1"/>
  <c r="AP44" i="79" s="1"/>
  <c r="AP45" i="79" s="1"/>
  <c r="AP46" i="79" s="1"/>
  <c r="AP47" i="79" s="1"/>
  <c r="AP48" i="79" s="1"/>
  <c r="AP49" i="79" s="1"/>
  <c r="AP50" i="79" s="1"/>
  <c r="AP51" i="79" s="1"/>
  <c r="AP52" i="79" s="1"/>
  <c r="AP53" i="79" s="1"/>
  <c r="AP54" i="79" s="1"/>
  <c r="AO36" i="79"/>
  <c r="AO37" i="79" s="1"/>
  <c r="AO38" i="79" s="1"/>
  <c r="AO39" i="79" s="1"/>
  <c r="AO40" i="79" s="1"/>
  <c r="AO41" i="79" s="1"/>
  <c r="AO42" i="79" s="1"/>
  <c r="AO43" i="79" s="1"/>
  <c r="AO44" i="79" s="1"/>
  <c r="AO45" i="79" s="1"/>
  <c r="AO46" i="79" s="1"/>
  <c r="AO47" i="79" s="1"/>
  <c r="AO48" i="79" s="1"/>
  <c r="AO49" i="79" s="1"/>
  <c r="AO50" i="79" s="1"/>
  <c r="AO51" i="79" s="1"/>
  <c r="AO52" i="79" s="1"/>
  <c r="AO53" i="79" s="1"/>
  <c r="AO54" i="79" s="1"/>
  <c r="AN36" i="79"/>
  <c r="AN37" i="79" s="1"/>
  <c r="AN38" i="79" s="1"/>
  <c r="AN39" i="79" s="1"/>
  <c r="AN40" i="79" s="1"/>
  <c r="AN41" i="79" s="1"/>
  <c r="AN42" i="79" s="1"/>
  <c r="AN43" i="79" s="1"/>
  <c r="AN44" i="79" s="1"/>
  <c r="AN45" i="79" s="1"/>
  <c r="AN46" i="79" s="1"/>
  <c r="AN47" i="79" s="1"/>
  <c r="AN48" i="79" s="1"/>
  <c r="AN49" i="79" s="1"/>
  <c r="AN50" i="79" s="1"/>
  <c r="AN51" i="79" s="1"/>
  <c r="AN52" i="79" s="1"/>
  <c r="AN53" i="79" s="1"/>
  <c r="AN54" i="79" s="1"/>
  <c r="AQ8" i="79"/>
  <c r="AQ9" i="79" s="1"/>
  <c r="AQ10" i="79" s="1"/>
  <c r="AQ11" i="79" s="1"/>
  <c r="AQ12" i="79" s="1"/>
  <c r="AQ13" i="79" s="1"/>
  <c r="AQ14" i="79" s="1"/>
  <c r="AQ15" i="79" s="1"/>
  <c r="AQ16" i="79" s="1"/>
  <c r="AQ17" i="79" s="1"/>
  <c r="AQ18" i="79" s="1"/>
  <c r="AQ19" i="79" s="1"/>
  <c r="AQ20" i="79" s="1"/>
  <c r="AQ21" i="79" s="1"/>
  <c r="AQ22" i="79" s="1"/>
  <c r="AQ23" i="79" s="1"/>
  <c r="AQ24" i="79" s="1"/>
  <c r="AQ25" i="79" s="1"/>
  <c r="AP9" i="79"/>
  <c r="AP10" i="79" s="1"/>
  <c r="AP11" i="79" s="1"/>
  <c r="AP12" i="79" s="1"/>
  <c r="AP13" i="79" s="1"/>
  <c r="AP14" i="79" s="1"/>
  <c r="AP15" i="79" s="1"/>
  <c r="AP16" i="79" s="1"/>
  <c r="AP17" i="79" s="1"/>
  <c r="AP18" i="79" s="1"/>
  <c r="AP19" i="79" s="1"/>
  <c r="AP20" i="79" s="1"/>
  <c r="AP21" i="79" s="1"/>
  <c r="AP22" i="79" s="1"/>
  <c r="AP23" i="79" s="1"/>
  <c r="AP24" i="79" s="1"/>
  <c r="AP25" i="79" s="1"/>
  <c r="AO9" i="79"/>
  <c r="AO10" i="79" s="1"/>
  <c r="AO11" i="79" s="1"/>
  <c r="AO12" i="79" s="1"/>
  <c r="AO13" i="79" s="1"/>
  <c r="AO14" i="79" s="1"/>
  <c r="AO15" i="79" s="1"/>
  <c r="AO16" i="79" s="1"/>
  <c r="AO17" i="79" s="1"/>
  <c r="AO18" i="79" s="1"/>
  <c r="AO19" i="79" s="1"/>
  <c r="AO20" i="79" s="1"/>
  <c r="AO21" i="79" s="1"/>
  <c r="AO22" i="79" s="1"/>
  <c r="AO23" i="79" s="1"/>
  <c r="AO24" i="79" s="1"/>
  <c r="AO25" i="79" s="1"/>
  <c r="AN8" i="79"/>
  <c r="AN9" i="79" s="1"/>
  <c r="AN10" i="79" s="1"/>
  <c r="AN11" i="79" s="1"/>
  <c r="AN12" i="79" s="1"/>
  <c r="AN13" i="79" s="1"/>
  <c r="AN14" i="79" s="1"/>
  <c r="AN15" i="79" s="1"/>
  <c r="AN16" i="79" s="1"/>
  <c r="AN17" i="79" s="1"/>
  <c r="AN18" i="79" s="1"/>
  <c r="AN19" i="79" s="1"/>
  <c r="AN20" i="79" s="1"/>
  <c r="AN21" i="79" s="1"/>
  <c r="AN22" i="79" s="1"/>
  <c r="AN23" i="79" s="1"/>
  <c r="AN24" i="79" s="1"/>
  <c r="AN25" i="79" s="1"/>
  <c r="AM8" i="79"/>
  <c r="AM9" i="79" s="1"/>
  <c r="AM10" i="79" s="1"/>
  <c r="AM11" i="79" s="1"/>
  <c r="AM12" i="79" s="1"/>
  <c r="AM13" i="79" s="1"/>
  <c r="AM14" i="79" s="1"/>
  <c r="AM15" i="79" s="1"/>
  <c r="AM16" i="79" s="1"/>
  <c r="AM17" i="79" s="1"/>
  <c r="AM18" i="79" s="1"/>
  <c r="AM19" i="79" s="1"/>
  <c r="AM20" i="79" s="1"/>
  <c r="AM21" i="79" s="1"/>
  <c r="AM22" i="79" s="1"/>
  <c r="AM23" i="79" s="1"/>
  <c r="AM24" i="79" s="1"/>
  <c r="AM25" i="79" s="1"/>
  <c r="AB35" i="79" l="1"/>
  <c r="AA35" i="79"/>
  <c r="Z35" i="79"/>
  <c r="N35" i="79"/>
  <c r="M35" i="79"/>
  <c r="P35" i="79" s="1"/>
  <c r="L35" i="79"/>
  <c r="I35" i="79"/>
  <c r="AB36" i="79"/>
  <c r="AA36" i="79"/>
  <c r="Z36" i="79"/>
  <c r="N36" i="79"/>
  <c r="M36" i="79"/>
  <c r="P36" i="79" s="1"/>
  <c r="L36" i="79"/>
  <c r="I36" i="79"/>
  <c r="AB37" i="79"/>
  <c r="AA37" i="79"/>
  <c r="Z37" i="79"/>
  <c r="N37" i="79"/>
  <c r="M37" i="79"/>
  <c r="P37" i="79" s="1"/>
  <c r="L37" i="79"/>
  <c r="I37" i="79"/>
  <c r="AC6" i="79"/>
  <c r="AB6" i="79"/>
  <c r="AA6" i="79"/>
  <c r="AD6" i="79" s="1"/>
  <c r="Z6" i="79"/>
  <c r="Y6" i="79"/>
  <c r="N6" i="79"/>
  <c r="M6" i="79"/>
  <c r="P6" i="79" s="1"/>
  <c r="L6" i="79"/>
  <c r="K6" i="79"/>
  <c r="I6" i="79"/>
  <c r="AC7" i="79"/>
  <c r="AB7" i="79"/>
  <c r="AA7" i="79"/>
  <c r="AD7" i="79" s="1"/>
  <c r="Z7" i="79"/>
  <c r="Y7" i="79"/>
  <c r="N7" i="79"/>
  <c r="M7" i="79"/>
  <c r="P7" i="79" s="1"/>
  <c r="L7" i="79"/>
  <c r="K7" i="79"/>
  <c r="I7" i="79"/>
  <c r="AC8" i="79"/>
  <c r="AB8" i="79"/>
  <c r="AA8" i="79"/>
  <c r="AD8" i="79" s="1"/>
  <c r="Z8" i="79"/>
  <c r="Y8" i="79"/>
  <c r="O8" i="79"/>
  <c r="N8" i="79"/>
  <c r="M8" i="79"/>
  <c r="P8" i="79" s="1"/>
  <c r="L8" i="79"/>
  <c r="K8" i="79"/>
  <c r="I8" i="79"/>
  <c r="U7" i="79" l="1"/>
  <c r="AI7" i="79" s="1"/>
  <c r="U5" i="79"/>
  <c r="U6" i="79"/>
  <c r="AI6" i="79" s="1"/>
  <c r="AR8" i="79"/>
  <c r="AR9" i="79" s="1"/>
  <c r="AD35" i="79"/>
  <c r="AR36" i="79"/>
  <c r="AR37" i="79" s="1"/>
  <c r="AR38" i="79" s="1"/>
  <c r="D60" i="78"/>
  <c r="C60" i="78"/>
  <c r="D53" i="78"/>
  <c r="D52" i="78"/>
  <c r="D51" i="78" s="1"/>
  <c r="B51" i="78"/>
  <c r="B56" i="78" s="1"/>
  <c r="B55" i="78" l="1"/>
  <c r="D55" i="78" s="1"/>
  <c r="C51" i="78"/>
  <c r="C56" i="78" s="1"/>
  <c r="C58" i="78" s="1"/>
  <c r="B62" i="78"/>
  <c r="B54" i="78"/>
  <c r="D54" i="78" s="1"/>
  <c r="D56" i="78" l="1"/>
  <c r="D58" i="78" s="1"/>
  <c r="D62" i="78" s="1"/>
  <c r="C62" i="78" s="1"/>
  <c r="G15" i="73" l="1"/>
  <c r="F15" i="73"/>
  <c r="E15" i="73"/>
  <c r="AB38" i="79" l="1"/>
  <c r="AA38" i="79"/>
  <c r="Z38" i="79"/>
  <c r="N38" i="79"/>
  <c r="M38" i="79"/>
  <c r="L38" i="79"/>
  <c r="I38" i="79"/>
  <c r="AC9" i="79"/>
  <c r="AB9" i="79"/>
  <c r="AA9" i="79"/>
  <c r="AD9" i="79" s="1"/>
  <c r="Z9" i="79"/>
  <c r="Y9" i="79"/>
  <c r="O9" i="79"/>
  <c r="N9" i="79"/>
  <c r="M9" i="79"/>
  <c r="P9" i="79" s="1"/>
  <c r="L9" i="79"/>
  <c r="K9" i="79"/>
  <c r="I9" i="79"/>
  <c r="AR10" i="79" s="1"/>
  <c r="AC10" i="79"/>
  <c r="AB10" i="79"/>
  <c r="AA10" i="79"/>
  <c r="AD10" i="79" s="1"/>
  <c r="Z10" i="79"/>
  <c r="Y10" i="79"/>
  <c r="O10" i="79"/>
  <c r="N10" i="79"/>
  <c r="M10" i="79"/>
  <c r="P10" i="79" s="1"/>
  <c r="L10" i="79"/>
  <c r="K10" i="79"/>
  <c r="I10" i="79"/>
  <c r="AB39" i="79"/>
  <c r="AA39" i="79"/>
  <c r="Z39" i="79"/>
  <c r="N39" i="79"/>
  <c r="M39" i="79"/>
  <c r="P39" i="79" s="1"/>
  <c r="L39" i="79"/>
  <c r="I39" i="79"/>
  <c r="AR39" i="79" l="1"/>
  <c r="AR40" i="79" s="1"/>
  <c r="P38" i="79"/>
  <c r="AR11" i="79"/>
  <c r="G16" i="73"/>
  <c r="F16" i="73"/>
  <c r="E16" i="73"/>
  <c r="G17" i="73"/>
  <c r="F17" i="73"/>
  <c r="E17" i="73"/>
  <c r="AB40" i="79" l="1"/>
  <c r="AA40" i="79"/>
  <c r="Z40" i="79"/>
  <c r="N40" i="79"/>
  <c r="M40" i="79"/>
  <c r="L40" i="79"/>
  <c r="I40" i="79"/>
  <c r="AC11" i="79"/>
  <c r="AB11" i="79"/>
  <c r="AA11" i="79"/>
  <c r="AD11" i="79" s="1"/>
  <c r="Z11" i="79"/>
  <c r="Y11" i="79"/>
  <c r="O11" i="79"/>
  <c r="N11" i="79"/>
  <c r="M11" i="79"/>
  <c r="P11" i="79" s="1"/>
  <c r="L11" i="79"/>
  <c r="K11" i="79"/>
  <c r="I11" i="79"/>
  <c r="AR12" i="79" s="1"/>
  <c r="AR41" i="79" l="1"/>
  <c r="P40" i="79"/>
  <c r="I14" i="79"/>
  <c r="I43" i="79" l="1"/>
  <c r="I42" i="79"/>
  <c r="N42" i="79"/>
  <c r="M42" i="79"/>
  <c r="P42" i="79" s="1"/>
  <c r="L42" i="79"/>
  <c r="N43" i="79"/>
  <c r="M43" i="79"/>
  <c r="L43" i="79"/>
  <c r="O13" i="79"/>
  <c r="N13" i="79"/>
  <c r="M13" i="79"/>
  <c r="P13" i="79" s="1"/>
  <c r="L13" i="79"/>
  <c r="K13" i="79"/>
  <c r="O14" i="79"/>
  <c r="N14" i="79"/>
  <c r="M14" i="79"/>
  <c r="P14" i="79" s="1"/>
  <c r="L14" i="79"/>
  <c r="K14" i="79"/>
  <c r="P43" i="79" l="1"/>
  <c r="G18" i="73" l="1"/>
  <c r="F18" i="73"/>
  <c r="E18" i="73"/>
  <c r="L44" i="79" l="1"/>
  <c r="M44" i="79"/>
  <c r="P44" i="79" s="1"/>
  <c r="N44" i="79"/>
  <c r="L45" i="79"/>
  <c r="M45" i="79"/>
  <c r="P45" i="79" s="1"/>
  <c r="N45" i="79"/>
  <c r="L46" i="79"/>
  <c r="M46" i="79"/>
  <c r="N46" i="79"/>
  <c r="I44" i="79"/>
  <c r="I45" i="79"/>
  <c r="I46" i="79"/>
  <c r="I15" i="79"/>
  <c r="I16" i="79"/>
  <c r="I17" i="79"/>
  <c r="K15" i="79"/>
  <c r="L15" i="79"/>
  <c r="M15" i="79"/>
  <c r="P15" i="79" s="1"/>
  <c r="N15" i="79"/>
  <c r="O15" i="79"/>
  <c r="K16" i="79"/>
  <c r="L16" i="79"/>
  <c r="M16" i="79"/>
  <c r="P16" i="79" s="1"/>
  <c r="N16" i="79"/>
  <c r="O16" i="79"/>
  <c r="K17" i="79"/>
  <c r="L17" i="79"/>
  <c r="M17" i="79"/>
  <c r="P17" i="79" s="1"/>
  <c r="N17" i="79"/>
  <c r="O17" i="79"/>
  <c r="P46"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4" i="79"/>
  <c r="AA54" i="79"/>
  <c r="Z54" i="79"/>
  <c r="W54" i="79"/>
  <c r="N54" i="79"/>
  <c r="M54" i="79"/>
  <c r="P54" i="79" s="1"/>
  <c r="L54" i="79"/>
  <c r="I54" i="79"/>
  <c r="AD54" i="79" s="1"/>
  <c r="AB53" i="79"/>
  <c r="AA53" i="79"/>
  <c r="Z53" i="79"/>
  <c r="N53" i="79"/>
  <c r="U53" i="79" s="1"/>
  <c r="AI53" i="79" s="1"/>
  <c r="M53" i="79"/>
  <c r="L53" i="79"/>
  <c r="S53" i="79" s="1"/>
  <c r="AG53" i="79" s="1"/>
  <c r="I53" i="79"/>
  <c r="AB52" i="79"/>
  <c r="AA52" i="79"/>
  <c r="Z52" i="79"/>
  <c r="N52" i="79"/>
  <c r="M52" i="79"/>
  <c r="L52" i="79"/>
  <c r="I52" i="79"/>
  <c r="AB51" i="79"/>
  <c r="AA51" i="79"/>
  <c r="Z51" i="79"/>
  <c r="N51" i="79"/>
  <c r="M51" i="79"/>
  <c r="L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1" i="79"/>
  <c r="AA41" i="79"/>
  <c r="Z41" i="79"/>
  <c r="N41" i="79"/>
  <c r="M41" i="79"/>
  <c r="L41" i="79"/>
  <c r="I41" i="79"/>
  <c r="G32" i="79"/>
  <c r="F32" i="79"/>
  <c r="I32" i="79" s="1"/>
  <c r="E32" i="79"/>
  <c r="AC25" i="79"/>
  <c r="AB25" i="79"/>
  <c r="AA25" i="79"/>
  <c r="AD25" i="79" s="1"/>
  <c r="Z25" i="79"/>
  <c r="Y25" i="79"/>
  <c r="W25" i="79"/>
  <c r="O25" i="79"/>
  <c r="N25" i="79"/>
  <c r="M25" i="79"/>
  <c r="P25" i="79" s="1"/>
  <c r="L25" i="79"/>
  <c r="K25" i="79"/>
  <c r="I25" i="79"/>
  <c r="AC24" i="79"/>
  <c r="AB24" i="79"/>
  <c r="AA24" i="79"/>
  <c r="AD24" i="79" s="1"/>
  <c r="Z24" i="79"/>
  <c r="Y24" i="79"/>
  <c r="O24" i="79"/>
  <c r="V24" i="79" s="1"/>
  <c r="AJ24" i="79" s="1"/>
  <c r="N24" i="79"/>
  <c r="U24" i="79" s="1"/>
  <c r="AI24" i="79" s="1"/>
  <c r="M24" i="79"/>
  <c r="L24" i="79"/>
  <c r="S24" i="79" s="1"/>
  <c r="AG24" i="79" s="1"/>
  <c r="K24" i="79"/>
  <c r="R24" i="79" s="1"/>
  <c r="AF24" i="79" s="1"/>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2" i="79"/>
  <c r="AB12" i="79"/>
  <c r="AA12" i="79"/>
  <c r="AD12" i="79" s="1"/>
  <c r="Z12" i="79"/>
  <c r="Y12" i="79"/>
  <c r="O12" i="79"/>
  <c r="N12" i="79"/>
  <c r="M12" i="79"/>
  <c r="L12" i="79"/>
  <c r="K12" i="79"/>
  <c r="I12" i="79"/>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2" i="79" l="1"/>
  <c r="AI52" i="79" s="1"/>
  <c r="AD53" i="79"/>
  <c r="AR19" i="79"/>
  <c r="AR20" i="79" s="1"/>
  <c r="AR21" i="79" s="1"/>
  <c r="AR22" i="79" s="1"/>
  <c r="AR23" i="79" s="1"/>
  <c r="AR24" i="79" s="1"/>
  <c r="AR25" i="79" s="1"/>
  <c r="N32" i="79"/>
  <c r="U37" i="79"/>
  <c r="AI37" i="79" s="1"/>
  <c r="U36" i="79"/>
  <c r="AI36" i="79" s="1"/>
  <c r="U35" i="79"/>
  <c r="AI35" i="79" s="1"/>
  <c r="S21" i="79"/>
  <c r="AG21" i="79" s="1"/>
  <c r="T23" i="79"/>
  <c r="AD40" i="79"/>
  <c r="AD38" i="79"/>
  <c r="AD39" i="79"/>
  <c r="AD36" i="79"/>
  <c r="AD37" i="79"/>
  <c r="AR42" i="79"/>
  <c r="AR43" i="79" s="1"/>
  <c r="AR44" i="79" s="1"/>
  <c r="AR45" i="79" s="1"/>
  <c r="AR46" i="79" s="1"/>
  <c r="AR47" i="79" s="1"/>
  <c r="AR48" i="79" s="1"/>
  <c r="AR49" i="79" s="1"/>
  <c r="AR50" i="79" s="1"/>
  <c r="AR51" i="79" s="1"/>
  <c r="AR52" i="79" s="1"/>
  <c r="AR53" i="79" s="1"/>
  <c r="AR54" i="79" s="1"/>
  <c r="T37" i="79"/>
  <c r="T35" i="79"/>
  <c r="T36" i="79"/>
  <c r="Z3" i="79"/>
  <c r="S36" i="79"/>
  <c r="AG36" i="79" s="1"/>
  <c r="S37" i="79"/>
  <c r="AG37" i="79" s="1"/>
  <c r="S35" i="79"/>
  <c r="AG35" i="79" s="1"/>
  <c r="AA32" i="79"/>
  <c r="AD32" i="79" s="1"/>
  <c r="T42" i="79"/>
  <c r="U48" i="79"/>
  <c r="AI48" i="79" s="1"/>
  <c r="AD49" i="79"/>
  <c r="S50" i="79"/>
  <c r="AG50" i="79" s="1"/>
  <c r="S7" i="79"/>
  <c r="AG7" i="79" s="1"/>
  <c r="S8" i="79"/>
  <c r="AG8" i="79" s="1"/>
  <c r="S6" i="79"/>
  <c r="AG6" i="79" s="1"/>
  <c r="T7" i="79"/>
  <c r="AH7" i="79" s="1"/>
  <c r="T8" i="79"/>
  <c r="T6" i="79"/>
  <c r="AH6" i="79" s="1"/>
  <c r="AI8" i="79"/>
  <c r="R7" i="79"/>
  <c r="AF7" i="79" s="1"/>
  <c r="R8" i="79"/>
  <c r="AF8" i="79" s="1"/>
  <c r="R6" i="79"/>
  <c r="AF6" i="79" s="1"/>
  <c r="V8" i="79"/>
  <c r="AJ8" i="79" s="1"/>
  <c r="S40" i="79"/>
  <c r="AG40" i="79" s="1"/>
  <c r="S39" i="79"/>
  <c r="AG39" i="79" s="1"/>
  <c r="S38" i="79"/>
  <c r="AG38" i="79" s="1"/>
  <c r="M32" i="79"/>
  <c r="P32" i="79" s="1"/>
  <c r="T38" i="79"/>
  <c r="T39" i="79"/>
  <c r="U39" i="79"/>
  <c r="AI39" i="79" s="1"/>
  <c r="U38" i="79"/>
  <c r="AI38" i="79" s="1"/>
  <c r="R19" i="79"/>
  <c r="AF19" i="79" s="1"/>
  <c r="T21" i="79"/>
  <c r="T10" i="79"/>
  <c r="T9" i="79"/>
  <c r="V19" i="79"/>
  <c r="AJ19" i="79" s="1"/>
  <c r="U23" i="79"/>
  <c r="AI23" i="79" s="1"/>
  <c r="U10" i="79"/>
  <c r="AI10" i="79" s="1"/>
  <c r="U9" i="79"/>
  <c r="AI9" i="79" s="1"/>
  <c r="S10" i="79"/>
  <c r="AG10" i="79" s="1"/>
  <c r="S9" i="79"/>
  <c r="AG9" i="79" s="1"/>
  <c r="S20" i="79"/>
  <c r="AG20" i="79" s="1"/>
  <c r="R10" i="79"/>
  <c r="AF10" i="79" s="1"/>
  <c r="R9" i="79"/>
  <c r="AF9" i="79" s="1"/>
  <c r="V10" i="79"/>
  <c r="AJ10" i="79" s="1"/>
  <c r="V9" i="79"/>
  <c r="AJ9" i="79" s="1"/>
  <c r="R23" i="79"/>
  <c r="AF23" i="79" s="1"/>
  <c r="V23" i="79"/>
  <c r="AJ23" i="79" s="1"/>
  <c r="S23" i="79"/>
  <c r="AG23" i="79" s="1"/>
  <c r="U11" i="79"/>
  <c r="AI11" i="79" s="1"/>
  <c r="S19" i="79"/>
  <c r="AG19" i="79" s="1"/>
  <c r="U21" i="79"/>
  <c r="AI21" i="79" s="1"/>
  <c r="U22" i="79"/>
  <c r="AI22" i="79" s="1"/>
  <c r="T32" i="79"/>
  <c r="W32" i="79" s="1"/>
  <c r="U42" i="79"/>
  <c r="AI42" i="79" s="1"/>
  <c r="AD48" i="79"/>
  <c r="S49" i="79"/>
  <c r="AG49" i="79" s="1"/>
  <c r="U51" i="79"/>
  <c r="AI51" i="79" s="1"/>
  <c r="AD52" i="79"/>
  <c r="AB3" i="79"/>
  <c r="U32" i="79"/>
  <c r="U40" i="79"/>
  <c r="AI40" i="79" s="1"/>
  <c r="U50" i="79"/>
  <c r="AI50" i="79" s="1"/>
  <c r="AD51" i="79"/>
  <c r="S52" i="79"/>
  <c r="AG52" i="79" s="1"/>
  <c r="L3" i="79"/>
  <c r="Y3" i="79"/>
  <c r="AC3" i="79"/>
  <c r="S22" i="79"/>
  <c r="AG22" i="79" s="1"/>
  <c r="AD41" i="79"/>
  <c r="S42" i="79"/>
  <c r="AG42" i="79" s="1"/>
  <c r="T48" i="79"/>
  <c r="U49" i="79"/>
  <c r="AI49" i="79" s="1"/>
  <c r="AD50" i="79"/>
  <c r="S51" i="79"/>
  <c r="AG51" i="79" s="1"/>
  <c r="V3" i="79"/>
  <c r="L32" i="79"/>
  <c r="T41" i="79"/>
  <c r="AH41" i="79" s="1"/>
  <c r="T40" i="79"/>
  <c r="N3" i="79"/>
  <c r="K3" i="79"/>
  <c r="R11" i="79"/>
  <c r="AF11" i="79" s="1"/>
  <c r="O3" i="79"/>
  <c r="V11" i="79"/>
  <c r="AJ11" i="79" s="1"/>
  <c r="T19" i="79"/>
  <c r="U20" i="79"/>
  <c r="AI20" i="79" s="1"/>
  <c r="R21" i="79"/>
  <c r="AF21" i="79" s="1"/>
  <c r="V21" i="79"/>
  <c r="AJ21" i="79" s="1"/>
  <c r="R22" i="79"/>
  <c r="AF22" i="79" s="1"/>
  <c r="V22" i="79"/>
  <c r="AJ22" i="79" s="1"/>
  <c r="S3" i="79"/>
  <c r="S11" i="79"/>
  <c r="AG11" i="79" s="1"/>
  <c r="U19" i="79"/>
  <c r="AI19" i="79" s="1"/>
  <c r="R20" i="79"/>
  <c r="AF20" i="79" s="1"/>
  <c r="V20" i="79"/>
  <c r="AJ20" i="79" s="1"/>
  <c r="P12" i="79"/>
  <c r="T11" i="79"/>
  <c r="U3" i="79"/>
  <c r="S41" i="79"/>
  <c r="AG41" i="79" s="1"/>
  <c r="M3" i="79"/>
  <c r="P3" i="79" s="1"/>
  <c r="T3" i="79"/>
  <c r="W3" i="79" s="1"/>
  <c r="U41" i="79"/>
  <c r="AI41" i="79" s="1"/>
  <c r="AD47" i="79"/>
  <c r="T46" i="79"/>
  <c r="T44" i="79"/>
  <c r="AH44" i="79" s="1"/>
  <c r="T47" i="79"/>
  <c r="T45" i="79"/>
  <c r="T43" i="79"/>
  <c r="S48" i="79"/>
  <c r="AG48" i="79" s="1"/>
  <c r="T49" i="79"/>
  <c r="T51" i="79"/>
  <c r="T53" i="79"/>
  <c r="S47" i="79"/>
  <c r="AG47" i="79" s="1"/>
  <c r="S45" i="79"/>
  <c r="AG45" i="79" s="1"/>
  <c r="S46" i="79"/>
  <c r="AG46" i="79" s="1"/>
  <c r="S44" i="79"/>
  <c r="AG44" i="79" s="1"/>
  <c r="S43" i="79"/>
  <c r="AG43" i="79" s="1"/>
  <c r="U47" i="79"/>
  <c r="AI47" i="79" s="1"/>
  <c r="U45" i="79"/>
  <c r="AI45" i="79" s="1"/>
  <c r="U46" i="79"/>
  <c r="AI46" i="79" s="1"/>
  <c r="U44" i="79"/>
  <c r="AI44" i="79" s="1"/>
  <c r="U43" i="79"/>
  <c r="AI43" i="79" s="1"/>
  <c r="T50" i="79"/>
  <c r="T52" i="79"/>
  <c r="S14" i="79"/>
  <c r="AG14" i="79" s="1"/>
  <c r="S17" i="79"/>
  <c r="AG17" i="79" s="1"/>
  <c r="S18" i="79"/>
  <c r="AG18" i="79" s="1"/>
  <c r="S13" i="79"/>
  <c r="AG13" i="79" s="1"/>
  <c r="U14" i="79"/>
  <c r="AI14" i="79" s="1"/>
  <c r="U17" i="79"/>
  <c r="AI17" i="79" s="1"/>
  <c r="U18" i="79"/>
  <c r="AI18" i="79" s="1"/>
  <c r="U13" i="79"/>
  <c r="AI13" i="79" s="1"/>
  <c r="P22" i="79"/>
  <c r="T22" i="79"/>
  <c r="R14" i="79"/>
  <c r="AF14" i="79" s="1"/>
  <c r="R17" i="79"/>
  <c r="AF17" i="79" s="1"/>
  <c r="R18" i="79"/>
  <c r="AF18" i="79" s="1"/>
  <c r="R13" i="79"/>
  <c r="AF13" i="79" s="1"/>
  <c r="T14" i="79"/>
  <c r="T17" i="79"/>
  <c r="T18" i="79"/>
  <c r="T13" i="79"/>
  <c r="V14" i="79"/>
  <c r="AJ14" i="79" s="1"/>
  <c r="V17" i="79"/>
  <c r="AJ17" i="79" s="1"/>
  <c r="V18" i="79"/>
  <c r="AJ18" i="79" s="1"/>
  <c r="V13" i="79"/>
  <c r="AJ13" i="79" s="1"/>
  <c r="P20" i="79"/>
  <c r="T20" i="79"/>
  <c r="P24" i="79"/>
  <c r="T24" i="79"/>
  <c r="AA3" i="79"/>
  <c r="AD3" i="79" s="1"/>
  <c r="W41" i="79"/>
  <c r="AK41" i="79" s="1"/>
  <c r="AB32" i="79"/>
  <c r="R15" i="79"/>
  <c r="AF15" i="79" s="1"/>
  <c r="R12" i="79"/>
  <c r="AF12" i="79" s="1"/>
  <c r="R16" i="79"/>
  <c r="AF16" i="79" s="1"/>
  <c r="P18" i="79"/>
  <c r="T16" i="79"/>
  <c r="T15" i="79"/>
  <c r="T12" i="79"/>
  <c r="V15" i="79"/>
  <c r="AJ15" i="79" s="1"/>
  <c r="V12" i="79"/>
  <c r="AJ12" i="79" s="1"/>
  <c r="V16" i="79"/>
  <c r="AJ16" i="79" s="1"/>
  <c r="S16" i="79"/>
  <c r="AG16" i="79" s="1"/>
  <c r="S12" i="79"/>
  <c r="AG12" i="79" s="1"/>
  <c r="S15" i="79"/>
  <c r="AG15" i="79" s="1"/>
  <c r="U16" i="79"/>
  <c r="AI16" i="79" s="1"/>
  <c r="U12" i="79"/>
  <c r="AI12" i="79" s="1"/>
  <c r="U15" i="79"/>
  <c r="AI15" i="79" s="1"/>
  <c r="S32" i="79"/>
  <c r="P21" i="79"/>
  <c r="P23" i="79"/>
  <c r="R3" i="79"/>
  <c r="Z32" i="79"/>
  <c r="P19"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P41" i="79"/>
  <c r="P48" i="79"/>
  <c r="P50" i="79"/>
  <c r="P52" i="79"/>
  <c r="P47" i="79"/>
  <c r="P49" i="79"/>
  <c r="P51" i="79"/>
  <c r="P53" i="79"/>
  <c r="E25" i="78"/>
  <c r="E24" i="78"/>
  <c r="F23" i="78"/>
  <c r="F24" i="78" s="1"/>
  <c r="F25" i="78" s="1"/>
  <c r="E23" i="78"/>
  <c r="E22" i="78"/>
  <c r="G22" i="78" s="1"/>
  <c r="F12" i="78"/>
  <c r="F11" i="78"/>
  <c r="C18" i="78" s="1"/>
  <c r="D7" i="78"/>
  <c r="D6" i="78"/>
  <c r="D5" i="78"/>
  <c r="W12" i="79" l="1"/>
  <c r="AK12" i="79" s="1"/>
  <c r="AH12" i="79"/>
  <c r="W18" i="79"/>
  <c r="AK18" i="79" s="1"/>
  <c r="AH18" i="79"/>
  <c r="W42" i="79"/>
  <c r="AK42" i="79" s="1"/>
  <c r="AH42" i="79"/>
  <c r="W37" i="79"/>
  <c r="AK37" i="79" s="1"/>
  <c r="AH37" i="79"/>
  <c r="W15" i="79"/>
  <c r="AK15" i="79" s="1"/>
  <c r="AH15" i="79"/>
  <c r="W44" i="79"/>
  <c r="AK44" i="79" s="1"/>
  <c r="W20" i="79"/>
  <c r="AK20" i="79" s="1"/>
  <c r="AH20" i="79"/>
  <c r="W17" i="79"/>
  <c r="AK17" i="79" s="1"/>
  <c r="AH17" i="79"/>
  <c r="W52" i="79"/>
  <c r="AK52" i="79" s="1"/>
  <c r="AH52" i="79"/>
  <c r="W53" i="79"/>
  <c r="AK53" i="79" s="1"/>
  <c r="AH53" i="79"/>
  <c r="W43" i="79"/>
  <c r="AK43" i="79" s="1"/>
  <c r="AH43" i="79"/>
  <c r="W46" i="79"/>
  <c r="AK46" i="79" s="1"/>
  <c r="AH46" i="79"/>
  <c r="W48" i="79"/>
  <c r="AK48" i="79" s="1"/>
  <c r="AH48" i="79"/>
  <c r="W11" i="79"/>
  <c r="AK11" i="79" s="1"/>
  <c r="AH11" i="79"/>
  <c r="W19" i="79"/>
  <c r="AK19" i="79" s="1"/>
  <c r="AH19" i="79"/>
  <c r="W16" i="79"/>
  <c r="AK16" i="79" s="1"/>
  <c r="AH16" i="79"/>
  <c r="W14" i="79"/>
  <c r="AK14" i="79" s="1"/>
  <c r="AH14" i="79"/>
  <c r="W50" i="79"/>
  <c r="AK50" i="79" s="1"/>
  <c r="AH50" i="79"/>
  <c r="W51" i="79"/>
  <c r="AK51" i="79" s="1"/>
  <c r="AH51" i="79"/>
  <c r="W45" i="79"/>
  <c r="AK45" i="79" s="1"/>
  <c r="AH45" i="79"/>
  <c r="W40" i="79"/>
  <c r="AK40" i="79" s="1"/>
  <c r="AH40" i="79"/>
  <c r="W36" i="79"/>
  <c r="AK36" i="79" s="1"/>
  <c r="AH36" i="79"/>
  <c r="W21" i="79"/>
  <c r="AK21" i="79" s="1"/>
  <c r="AH21" i="79"/>
  <c r="W24" i="79"/>
  <c r="AK24" i="79" s="1"/>
  <c r="AH24" i="79"/>
  <c r="W13" i="79"/>
  <c r="AK13" i="79" s="1"/>
  <c r="AH13" i="79"/>
  <c r="W22" i="79"/>
  <c r="AK22" i="79" s="1"/>
  <c r="AH22" i="79"/>
  <c r="W49" i="79"/>
  <c r="AK49" i="79" s="1"/>
  <c r="AH49" i="79"/>
  <c r="W47" i="79"/>
  <c r="AK47" i="79" s="1"/>
  <c r="AH47" i="79"/>
  <c r="W35" i="79"/>
  <c r="AK35" i="79" s="1"/>
  <c r="AH35" i="79"/>
  <c r="W23" i="79"/>
  <c r="AK23" i="79" s="1"/>
  <c r="AH23" i="79"/>
  <c r="W39" i="79"/>
  <c r="AK39" i="79" s="1"/>
  <c r="AH39" i="79"/>
  <c r="W38" i="79"/>
  <c r="AK38" i="79" s="1"/>
  <c r="AH38" i="79"/>
  <c r="W10" i="79"/>
  <c r="AK10" i="79" s="1"/>
  <c r="AH10" i="79"/>
  <c r="W7" i="79"/>
  <c r="AK7" i="79" s="1"/>
  <c r="W9" i="79"/>
  <c r="AK9" i="79" s="1"/>
  <c r="AH9" i="79"/>
  <c r="W6" i="79"/>
  <c r="AK6" i="79" s="1"/>
  <c r="W8" i="79"/>
  <c r="AK8" i="79" s="1"/>
  <c r="AH8"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Y26" i="71" s="1"/>
  <c r="Z26"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21" i="34"/>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AC25" i="40"/>
  <c r="W25" i="40"/>
  <c r="U25" i="40"/>
  <c r="U29" i="39"/>
  <c r="AB21" i="33"/>
  <c r="AA21" i="33"/>
  <c r="W18" i="35"/>
  <c r="J21" i="37"/>
  <c r="W21" i="37" s="1"/>
  <c r="J21" i="34"/>
  <c r="W21" i="34" s="1"/>
  <c r="J21" i="33"/>
  <c r="W21" i="33" s="1"/>
  <c r="H21" i="21"/>
  <c r="U21" i="21" s="1"/>
  <c r="F38" i="69"/>
  <c r="E37" i="69"/>
  <c r="F36" i="69"/>
  <c r="F35" i="69"/>
  <c r="F21" i="69"/>
  <c r="F40" i="69" s="1"/>
  <c r="F20" i="69"/>
  <c r="F39" i="69" s="1"/>
  <c r="E10" i="69"/>
  <c r="E9" i="69"/>
  <c r="C7" i="69"/>
  <c r="AC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s="1"/>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J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F44" i="21" s="1"/>
  <c r="B98" i="21"/>
  <c r="H31" i="21" s="1"/>
  <c r="B96" i="21"/>
  <c r="B94" i="21"/>
  <c r="J29" i="21" s="1"/>
  <c r="B92" i="21"/>
  <c r="B90" i="21"/>
  <c r="J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J45" i="39"/>
  <c r="W45" i="39" s="1"/>
  <c r="J44" i="39"/>
  <c r="AC44" i="39" s="1"/>
  <c r="F36" i="39"/>
  <c r="S36" i="39" s="1"/>
  <c r="H36" i="39"/>
  <c r="AB36" i="39" s="1"/>
  <c r="J35" i="39"/>
  <c r="AC35" i="39" s="1"/>
  <c r="F35" i="39"/>
  <c r="AA35" i="39"/>
  <c r="J36" i="39"/>
  <c r="AC36" i="39" s="1"/>
  <c r="U9" i="39"/>
  <c r="W40" i="39"/>
  <c r="W31" i="37"/>
  <c r="F39" i="37"/>
  <c r="S39" i="37" s="1"/>
  <c r="F29" i="36"/>
  <c r="AA29" i="36" s="1"/>
  <c r="F16" i="36"/>
  <c r="AA16" i="36" s="1"/>
  <c r="W28" i="36"/>
  <c r="U31" i="36"/>
  <c r="J33" i="36"/>
  <c r="AC33" i="36" s="1"/>
  <c r="H22" i="35"/>
  <c r="AB22" i="35"/>
  <c r="U31" i="35"/>
  <c r="W22" i="35"/>
  <c r="S31" i="35"/>
  <c r="U34" i="35"/>
  <c r="F36" i="34"/>
  <c r="J35" i="34"/>
  <c r="W9" i="34"/>
  <c r="H39" i="33"/>
  <c r="AB39" i="33"/>
  <c r="F26" i="33"/>
  <c r="AA26" i="33" s="1"/>
  <c r="U33" i="33"/>
  <c r="U35" i="33"/>
  <c r="W39" i="33"/>
  <c r="H39" i="37"/>
  <c r="AB39" i="37" s="1"/>
  <c r="S27" i="35"/>
  <c r="F11" i="40"/>
  <c r="AA11" i="40"/>
  <c r="H11" i="40"/>
  <c r="AB11" i="40" s="1"/>
  <c r="W8" i="40"/>
  <c r="AA9" i="40"/>
  <c r="U9" i="40"/>
  <c r="S34" i="40"/>
  <c r="U38" i="40"/>
  <c r="W31" i="40"/>
  <c r="S38"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31" i="21"/>
  <c r="AC31" i="21" s="1"/>
  <c r="F31" i="21"/>
  <c r="S31" i="21"/>
  <c r="F45" i="21"/>
  <c r="AA45" i="21" s="1"/>
  <c r="F27" i="33"/>
  <c r="AA27" i="33" s="1"/>
  <c r="J13" i="33"/>
  <c r="F13" i="33"/>
  <c r="S13" i="33" s="1"/>
  <c r="J29" i="33"/>
  <c r="H29" i="33"/>
  <c r="U29" i="33"/>
  <c r="F29" i="33"/>
  <c r="S29" i="33" s="1"/>
  <c r="J31" i="33"/>
  <c r="W31" i="33" s="1"/>
  <c r="H31" i="33"/>
  <c r="F31" i="33"/>
  <c r="H45" i="33"/>
  <c r="U45" i="33" s="1"/>
  <c r="J45" i="33"/>
  <c r="W45" i="33" s="1"/>
  <c r="F45" i="33"/>
  <c r="AA45" i="33"/>
  <c r="J14" i="34"/>
  <c r="W14" i="34" s="1"/>
  <c r="F14" i="34"/>
  <c r="S14" i="34" s="1"/>
  <c r="H14" i="34"/>
  <c r="F30" i="34"/>
  <c r="S30" i="34" s="1"/>
  <c r="J30" i="34"/>
  <c r="H32" i="34"/>
  <c r="F32" i="34"/>
  <c r="J32" i="34"/>
  <c r="W32" i="34" s="1"/>
  <c r="H46" i="34"/>
  <c r="U46" i="34" s="1"/>
  <c r="F46" i="34"/>
  <c r="J46" i="34"/>
  <c r="H11" i="35"/>
  <c r="AB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AB46" i="34"/>
  <c r="S45" i="33"/>
  <c r="AC28" i="21"/>
  <c r="S44" i="34"/>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C31" i="33"/>
  <c r="AC45" i="33"/>
  <c r="W44" i="33"/>
  <c r="U19"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79" i="3"/>
  <c r="AZ144" i="3"/>
  <c r="AZ176"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1" i="3"/>
  <c r="AZ50" i="3"/>
  <c r="AZ69" i="3"/>
  <c r="AZ74" i="3"/>
  <c r="AZ77" i="3"/>
  <c r="F23" i="39"/>
  <c r="AA23" i="39"/>
  <c r="H27" i="36"/>
  <c r="U27" i="36" s="1"/>
  <c r="F27" i="36"/>
  <c r="AA27" i="36" s="1"/>
  <c r="H33" i="34"/>
  <c r="U33" i="34"/>
  <c r="F32" i="37"/>
  <c r="AA32" i="37"/>
  <c r="F20" i="36"/>
  <c r="AA20" i="36" s="1"/>
  <c r="J33" i="34"/>
  <c r="AC33" i="34" s="1"/>
  <c r="H23" i="39"/>
  <c r="U23" i="39" s="1"/>
  <c r="D48" i="9"/>
  <c r="M52" i="9" s="1"/>
  <c r="K9" i="1"/>
  <c r="M9" i="1" s="1"/>
  <c r="D93" i="9"/>
  <c r="AC26" i="33"/>
  <c r="W26" i="33"/>
  <c r="W27" i="34"/>
  <c r="AC27" i="34"/>
  <c r="AB34" i="36"/>
  <c r="U34" i="36"/>
  <c r="AZ465" i="3"/>
  <c r="AA32" i="36"/>
  <c r="S32" i="36"/>
  <c r="BL14" i="3"/>
  <c r="U30" i="33"/>
  <c r="AC13" i="34"/>
  <c r="AA47" i="34"/>
  <c r="S19" i="39"/>
  <c r="F12" i="33"/>
  <c r="H12" i="39"/>
  <c r="AB12" i="39" s="1"/>
  <c r="F39" i="40"/>
  <c r="S39" i="40" s="1"/>
  <c r="BA14" i="3"/>
  <c r="AZ14" i="3" s="1"/>
  <c r="AZ189" i="3"/>
  <c r="B12" i="1"/>
  <c r="E12" i="1" s="1"/>
  <c r="B10" i="1"/>
  <c r="E10" i="1" s="1"/>
  <c r="AZ88" i="3"/>
  <c r="K12" i="1"/>
  <c r="M12" i="1" s="1"/>
  <c r="S13" i="1"/>
  <c r="AR13" i="1" s="1"/>
  <c r="R13" i="1"/>
  <c r="J51" i="67"/>
  <c r="C42" i="1"/>
  <c r="C24" i="12" s="1"/>
  <c r="AA34" i="33"/>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U14" i="35"/>
  <c r="AA11" i="35"/>
  <c r="AC12" i="35"/>
  <c r="W13" i="35"/>
  <c r="F9" i="35"/>
  <c r="S9" i="35" s="1"/>
  <c r="H9" i="35"/>
  <c r="U9" i="35" s="1"/>
  <c r="W27" i="37"/>
  <c r="AC29" i="37"/>
  <c r="U29" i="37"/>
  <c r="S32" i="37"/>
  <c r="AB31" i="37"/>
  <c r="AA38" i="37"/>
  <c r="W38" i="37"/>
  <c r="AC35" i="37"/>
  <c r="W39" i="37"/>
  <c r="J17" i="37"/>
  <c r="W17" i="37" s="1"/>
  <c r="F17" i="37"/>
  <c r="AA17" i="37" s="1"/>
  <c r="F75" i="37"/>
  <c r="G75" i="37" s="1"/>
  <c r="F19" i="37"/>
  <c r="S19" i="37" s="1"/>
  <c r="F79" i="37"/>
  <c r="F23" i="37"/>
  <c r="S23" i="37" s="1"/>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U25" i="36"/>
  <c r="AB28" i="36"/>
  <c r="AA13" i="36"/>
  <c r="W9" i="36"/>
  <c r="W22" i="36"/>
  <c r="AB20" i="35"/>
  <c r="AC25" i="35"/>
  <c r="U25" i="35"/>
  <c r="S24" i="35"/>
  <c r="U24" i="35"/>
  <c r="S35" i="35"/>
  <c r="W35" i="35"/>
  <c r="AA16" i="35"/>
  <c r="AA35" i="37"/>
  <c r="S27" i="37"/>
  <c r="S28" i="37"/>
  <c r="W32" i="37"/>
  <c r="U36" i="37"/>
  <c r="S40" i="37"/>
  <c r="U38" i="37"/>
  <c r="AB37" i="37"/>
  <c r="AC34" i="37"/>
  <c r="AB35" i="37"/>
  <c r="AA31" i="37"/>
  <c r="AA29" i="37"/>
  <c r="U8" i="37"/>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S19" i="21"/>
  <c r="S9" i="21"/>
  <c r="AA9" i="21"/>
  <c r="K141" i="21"/>
  <c r="K144" i="21"/>
  <c r="K143" i="21"/>
  <c r="AB25" i="21"/>
  <c r="AB44" i="21"/>
  <c r="AA30" i="21"/>
  <c r="W42" i="21"/>
  <c r="AC45"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J23" i="37"/>
  <c r="W23" i="37" s="1"/>
  <c r="G79" i="37"/>
  <c r="J10" i="37"/>
  <c r="W10" i="37" s="1"/>
  <c r="H11" i="37"/>
  <c r="AB11" i="37" s="1"/>
  <c r="H11" i="34"/>
  <c r="U11" i="34" s="1"/>
  <c r="J10" i="34"/>
  <c r="AC10" i="34" s="1"/>
  <c r="AB41" i="33"/>
  <c r="W35" i="33"/>
  <c r="AC35" i="33"/>
  <c r="J36" i="33"/>
  <c r="W36" i="33" s="1"/>
  <c r="H36" i="33"/>
  <c r="U36" i="33" s="1"/>
  <c r="AC32" i="33"/>
  <c r="W32" i="33"/>
  <c r="U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S37" i="21"/>
  <c r="AB15" i="21"/>
  <c r="J23" i="21"/>
  <c r="F85" i="21"/>
  <c r="G85" i="21" s="1"/>
  <c r="H23" i="21"/>
  <c r="S13" i="21"/>
  <c r="AP7" i="1"/>
  <c r="AB9" i="21"/>
  <c r="AA32" i="21"/>
  <c r="W9" i="21"/>
  <c r="AC9" i="21"/>
  <c r="AB32" i="21"/>
  <c r="A18" i="62"/>
  <c r="B64" i="72" s="1"/>
  <c r="U32" i="39"/>
  <c r="AC32" i="39"/>
  <c r="J11" i="37"/>
  <c r="AC11" i="37" s="1"/>
  <c r="J11" i="34"/>
  <c r="W11" i="34" s="1"/>
  <c r="AA17" i="33"/>
  <c r="U23" i="21"/>
  <c r="AB23" i="21"/>
  <c r="AC23" i="21"/>
  <c r="W23" i="21"/>
  <c r="H109" i="9"/>
  <c r="M49" i="9" s="1"/>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F7" i="73"/>
  <c r="F26" i="67"/>
  <c r="M26" i="15"/>
  <c r="E9" i="76"/>
  <c r="F8" i="15"/>
  <c r="AO13" i="1"/>
  <c r="F9" i="67"/>
  <c r="J15" i="67"/>
  <c r="B9" i="76"/>
  <c r="B12" i="76"/>
  <c r="E8" i="76"/>
  <c r="E2" i="68"/>
  <c r="B11" i="76"/>
  <c r="E11" i="76"/>
  <c r="F36" i="15"/>
  <c r="F13" i="15"/>
  <c r="M6" i="67"/>
  <c r="F43" i="15"/>
  <c r="L47" i="15"/>
  <c r="F7" i="67"/>
  <c r="M29" i="67"/>
  <c r="F40" i="67"/>
  <c r="E12" i="76"/>
  <c r="F20" i="31"/>
  <c r="F5" i="73"/>
  <c r="L48" i="15"/>
  <c r="B13" i="76"/>
  <c r="B10" i="76"/>
  <c r="F43" i="67"/>
  <c r="E7" i="76"/>
  <c r="E2" i="69"/>
  <c r="F13" i="67"/>
  <c r="F36" i="67"/>
  <c r="M23" i="67"/>
  <c r="F4" i="73"/>
  <c r="F42" i="67"/>
  <c r="D34" i="9"/>
  <c r="F38" i="15"/>
  <c r="F16" i="67"/>
  <c r="F3" i="73"/>
  <c r="F6" i="73"/>
  <c r="B7" i="76"/>
  <c r="B8" i="76"/>
  <c r="M6" i="15"/>
  <c r="J15" i="15"/>
  <c r="F6" i="67"/>
  <c r="C76" i="67"/>
  <c r="M24" i="15"/>
  <c r="M8" i="67"/>
  <c r="M26" i="67"/>
  <c r="F7" i="15"/>
  <c r="D35" i="9"/>
  <c r="E13" i="76"/>
  <c r="W37" i="37" l="1"/>
  <c r="S37" i="37"/>
  <c r="T42" i="37"/>
  <c r="W36" i="37"/>
  <c r="V42" i="37"/>
  <c r="R42" i="37"/>
  <c r="S36" i="37"/>
  <c r="W30" i="37"/>
  <c r="U30" i="37"/>
  <c r="S30" i="37"/>
  <c r="U21" i="37"/>
  <c r="AB17" i="37"/>
  <c r="U23" i="37"/>
  <c r="AA19" i="37"/>
  <c r="U19" i="37"/>
  <c r="AC15" i="37"/>
  <c r="U15" i="37"/>
  <c r="M20" i="67"/>
  <c r="F34" i="67"/>
  <c r="F62" i="67" s="1"/>
  <c r="B41" i="1"/>
  <c r="D68" i="9" s="1"/>
  <c r="F31" i="12"/>
  <c r="F28" i="15"/>
  <c r="C28" i="15" s="1"/>
  <c r="F28" i="67"/>
  <c r="F30" i="69"/>
  <c r="F48" i="69" s="1"/>
  <c r="M18" i="15"/>
  <c r="M18" i="67"/>
  <c r="F30" i="11"/>
  <c r="C48" i="11" s="1"/>
  <c r="F32" i="15"/>
  <c r="F60" i="15" s="1"/>
  <c r="F52" i="9"/>
  <c r="F30" i="68"/>
  <c r="F48" i="68" s="1"/>
  <c r="C40" i="69"/>
  <c r="C40" i="68"/>
  <c r="G29" i="6"/>
  <c r="J1" i="73"/>
  <c r="C7" i="40"/>
  <c r="C63" i="40" s="1"/>
  <c r="C7" i="39"/>
  <c r="C67" i="39" s="1"/>
  <c r="C7" i="34"/>
  <c r="M47" i="9"/>
  <c r="C7" i="35"/>
  <c r="C48" i="35" s="1"/>
  <c r="D48" i="35" s="1"/>
  <c r="U13" i="21"/>
  <c r="AB13" i="21"/>
  <c r="AC29" i="21"/>
  <c r="W29" i="21"/>
  <c r="AA44" i="21"/>
  <c r="S44" i="21"/>
  <c r="W12" i="33"/>
  <c r="AC12" i="33"/>
  <c r="U25" i="37"/>
  <c r="AB25" i="37"/>
  <c r="AC27" i="21"/>
  <c r="W27" i="21"/>
  <c r="U31" i="21"/>
  <c r="AB31" i="21"/>
  <c r="AB30" i="34"/>
  <c r="U30" i="34"/>
  <c r="W11" i="35"/>
  <c r="AC11" i="35"/>
  <c r="AB33" i="36"/>
  <c r="U33" i="36"/>
  <c r="W9" i="35"/>
  <c r="AC9" i="35"/>
  <c r="AC12" i="39"/>
  <c r="W12" i="39"/>
  <c r="U19" i="33"/>
  <c r="AC27" i="33"/>
  <c r="AC23" i="37"/>
  <c r="D6" i="52"/>
  <c r="S36" i="33"/>
  <c r="AA23" i="37"/>
  <c r="W33" i="34"/>
  <c r="AA40" i="34"/>
  <c r="W27" i="40"/>
  <c r="S23" i="21"/>
  <c r="W15" i="21"/>
  <c r="U32" i="37"/>
  <c r="S30" i="40"/>
  <c r="AZ345" i="3"/>
  <c r="AZ372" i="3"/>
  <c r="AZ347" i="3"/>
  <c r="AZ337" i="3"/>
  <c r="AZ376" i="3"/>
  <c r="AZ309" i="3"/>
  <c r="AA11" i="39"/>
  <c r="AZ571" i="3"/>
  <c r="AZ579" i="3"/>
  <c r="BL585" i="3"/>
  <c r="AZ585" i="3" s="1"/>
  <c r="J12" i="34"/>
  <c r="F12" i="34"/>
  <c r="S12" i="34" s="1"/>
  <c r="J39" i="40"/>
  <c r="H39" i="40"/>
  <c r="BA551" i="3"/>
  <c r="AZ551" i="3" s="1"/>
  <c r="BA550" i="3"/>
  <c r="BL548" i="3"/>
  <c r="S42" i="39"/>
  <c r="AZ539" i="3"/>
  <c r="AZ529" i="3"/>
  <c r="AZ537" i="3"/>
  <c r="AZ518" i="3"/>
  <c r="AZ526" i="3"/>
  <c r="AZ546" i="3"/>
  <c r="AZ564" i="3"/>
  <c r="AZ580" i="3"/>
  <c r="AB45" i="33"/>
  <c r="S11" i="36"/>
  <c r="S14" i="37"/>
  <c r="H27" i="21"/>
  <c r="J44" i="21"/>
  <c r="AA29" i="35"/>
  <c r="AB17" i="34"/>
  <c r="S35" i="34"/>
  <c r="AA40" i="33"/>
  <c r="F9" i="34"/>
  <c r="AA9" i="34" s="1"/>
  <c r="H9" i="34"/>
  <c r="J23" i="35"/>
  <c r="H23" i="35"/>
  <c r="F25" i="37"/>
  <c r="W25" i="33"/>
  <c r="W17" i="21"/>
  <c r="U12" i="39"/>
  <c r="AA27" i="40"/>
  <c r="AB27" i="40"/>
  <c r="AZ307" i="3"/>
  <c r="AB36" i="33"/>
  <c r="AB45" i="21"/>
  <c r="AA19" i="33"/>
  <c r="AC20" i="36"/>
  <c r="AA39" i="39"/>
  <c r="AB40" i="37"/>
  <c r="AB13" i="35"/>
  <c r="S15" i="39"/>
  <c r="U37" i="39"/>
  <c r="AC34" i="33"/>
  <c r="W28" i="37"/>
  <c r="U12" i="40"/>
  <c r="AC11" i="39"/>
  <c r="AZ15" i="3"/>
  <c r="F29" i="6"/>
  <c r="AZ391" i="3"/>
  <c r="AZ349" i="3"/>
  <c r="AZ318" i="3"/>
  <c r="AZ364" i="3"/>
  <c r="AZ329" i="3"/>
  <c r="AZ304" i="3"/>
  <c r="AZ306" i="3"/>
  <c r="W35" i="40"/>
  <c r="W16" i="35"/>
  <c r="U11" i="33"/>
  <c r="AA13" i="33"/>
  <c r="S21" i="40"/>
  <c r="AZ535" i="3"/>
  <c r="AZ557" i="3"/>
  <c r="AZ513" i="3"/>
  <c r="AZ575" i="3"/>
  <c r="AZ548" i="3"/>
  <c r="AZ540" i="3"/>
  <c r="AZ502" i="3"/>
  <c r="H29" i="21"/>
  <c r="J13" i="21"/>
  <c r="S28" i="34"/>
  <c r="U34" i="40"/>
  <c r="W33" i="33"/>
  <c r="U34" i="34"/>
  <c r="W28" i="35"/>
  <c r="F45" i="39"/>
  <c r="G585" i="3"/>
  <c r="BL587" i="3"/>
  <c r="AZ587" i="3" s="1"/>
  <c r="BL586" i="3"/>
  <c r="AZ586" i="3" s="1"/>
  <c r="B101" i="43"/>
  <c r="B79" i="43"/>
  <c r="H12" i="34"/>
  <c r="H23" i="36"/>
  <c r="J23" i="36"/>
  <c r="J25" i="37"/>
  <c r="G566" i="3"/>
  <c r="G558" i="3"/>
  <c r="AZ419" i="3"/>
  <c r="AZ448" i="3"/>
  <c r="S14" i="40"/>
  <c r="AA25" i="21"/>
  <c r="AB38" i="21"/>
  <c r="AC28" i="34"/>
  <c r="AZ531" i="3"/>
  <c r="AZ583" i="3"/>
  <c r="AZ568" i="3"/>
  <c r="AZ576" i="3"/>
  <c r="U36" i="39"/>
  <c r="AA14" i="34"/>
  <c r="F27" i="21"/>
  <c r="AB8" i="39"/>
  <c r="AC27" i="35"/>
  <c r="F9" i="33"/>
  <c r="AA9" i="33" s="1"/>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BL353" i="3"/>
  <c r="BA358" i="3"/>
  <c r="AZ358" i="3" s="1"/>
  <c r="BL365" i="3"/>
  <c r="AZ365" i="3" s="1"/>
  <c r="BA368" i="3"/>
  <c r="BL368" i="3"/>
  <c r="BA374" i="3"/>
  <c r="AZ374" i="3" s="1"/>
  <c r="BA388" i="3"/>
  <c r="AZ388" i="3" s="1"/>
  <c r="BA396" i="3"/>
  <c r="BA209" i="3"/>
  <c r="BL217" i="3"/>
  <c r="AZ217" i="3" s="1"/>
  <c r="BL220" i="3"/>
  <c r="BL221" i="3"/>
  <c r="BA238" i="3"/>
  <c r="AZ238" i="3" s="1"/>
  <c r="BL242" i="3"/>
  <c r="BL252" i="3"/>
  <c r="BA26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AZ489" i="3" s="1"/>
  <c r="BL491" i="3"/>
  <c r="AZ491" i="3" s="1"/>
  <c r="BL492" i="3"/>
  <c r="G307" i="3"/>
  <c r="BA315" i="3"/>
  <c r="AZ315" i="3" s="1"/>
  <c r="BA333" i="3"/>
  <c r="BL346" i="3"/>
  <c r="AZ346" i="3" s="1"/>
  <c r="G349" i="3"/>
  <c r="G374" i="3"/>
  <c r="BA384" i="3"/>
  <c r="AZ384" i="3" s="1"/>
  <c r="BA395" i="3"/>
  <c r="AZ395" i="3" s="1"/>
  <c r="BA208" i="3"/>
  <c r="AZ208" i="3" s="1"/>
  <c r="BA211" i="3"/>
  <c r="AZ211" i="3" s="1"/>
  <c r="BL213" i="3"/>
  <c r="BL215" i="3"/>
  <c r="BA223" i="3"/>
  <c r="AZ223" i="3" s="1"/>
  <c r="BA228" i="3"/>
  <c r="AZ228" i="3" s="1"/>
  <c r="BA229" i="3"/>
  <c r="AZ229" i="3" s="1"/>
  <c r="BL229" i="3"/>
  <c r="BL232" i="3"/>
  <c r="BL234" i="3"/>
  <c r="BA236" i="3"/>
  <c r="BA270" i="3"/>
  <c r="AZ270" i="3" s="1"/>
  <c r="G574" i="3"/>
  <c r="BL16" i="3"/>
  <c r="AZ16" i="3" s="1"/>
  <c r="BA401" i="3"/>
  <c r="AZ401" i="3" s="1"/>
  <c r="BA403" i="3"/>
  <c r="BA404" i="3"/>
  <c r="AZ404" i="3" s="1"/>
  <c r="BA405" i="3"/>
  <c r="BL410" i="3"/>
  <c r="G412" i="3"/>
  <c r="G418" i="3"/>
  <c r="BA422" i="3"/>
  <c r="AZ422" i="3" s="1"/>
  <c r="G429" i="3"/>
  <c r="BL431" i="3"/>
  <c r="G433" i="3"/>
  <c r="BL434" i="3"/>
  <c r="G436" i="3"/>
  <c r="BL438" i="3"/>
  <c r="BL439" i="3"/>
  <c r="AZ439" i="3" s="1"/>
  <c r="BA441" i="3"/>
  <c r="AZ441" i="3" s="1"/>
  <c r="BL445" i="3"/>
  <c r="BL446" i="3"/>
  <c r="BL449" i="3"/>
  <c r="AZ449" i="3" s="1"/>
  <c r="BL450" i="3"/>
  <c r="BL452" i="3"/>
  <c r="G454"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4" i="3"/>
  <c r="BA227" i="3"/>
  <c r="AZ227" i="3" s="1"/>
  <c r="AZ64" i="3"/>
  <c r="AZ65" i="3"/>
  <c r="P65" i="71"/>
  <c r="P66" i="71"/>
  <c r="B27" i="71"/>
  <c r="B26" i="71" s="1"/>
  <c r="S28" i="71"/>
  <c r="C64" i="71"/>
  <c r="D63" i="71"/>
  <c r="V24" i="71"/>
  <c r="E23" i="71"/>
  <c r="E22" i="71" s="1"/>
  <c r="E21" i="71" s="1"/>
  <c r="E20" i="71" s="1"/>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41" i="3"/>
  <c r="BL47" i="3"/>
  <c r="AZ47" i="3" s="1"/>
  <c r="G49" i="3"/>
  <c r="G50" i="3"/>
  <c r="G52" i="3"/>
  <c r="BA52" i="3"/>
  <c r="BL54" i="3"/>
  <c r="BA66" i="3"/>
  <c r="C52" i="71"/>
  <c r="D51" i="7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2" i="3"/>
  <c r="BL48" i="3"/>
  <c r="BA55" i="3"/>
  <c r="AZ55" i="3" s="1"/>
  <c r="BA56" i="3"/>
  <c r="AZ56" i="3" s="1"/>
  <c r="BA57" i="3"/>
  <c r="BL58" i="3"/>
  <c r="BA60" i="3"/>
  <c r="BA63" i="3"/>
  <c r="BL68" i="3"/>
  <c r="C47" i="71"/>
  <c r="D47" i="71" s="1"/>
  <c r="D46" i="71"/>
  <c r="C55" i="71"/>
  <c r="D54" i="71"/>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A41" i="3"/>
  <c r="AZ41" i="3" s="1"/>
  <c r="BL52" i="3"/>
  <c r="G53" i="3"/>
  <c r="BL53" i="3"/>
  <c r="AZ53" i="3" s="1"/>
  <c r="BL57" i="3"/>
  <c r="G59" i="3"/>
  <c r="G62" i="3"/>
  <c r="BL62" i="3"/>
  <c r="AZ62" i="3" s="1"/>
  <c r="BL63" i="3"/>
  <c r="G65" i="3"/>
  <c r="BL65" i="3"/>
  <c r="D31" i="71"/>
  <c r="C32" i="71"/>
  <c r="N67" i="71"/>
  <c r="B66" i="71"/>
  <c r="BA75" i="3"/>
  <c r="G81" i="3"/>
  <c r="G85" i="3"/>
  <c r="BL85" i="3"/>
  <c r="BA86" i="3"/>
  <c r="AZ86" i="3" s="1"/>
  <c r="BA87" i="3"/>
  <c r="BA91" i="3"/>
  <c r="AZ91" i="3" s="1"/>
  <c r="G96" i="3"/>
  <c r="BL97" i="3"/>
  <c r="AZ97" i="3" s="1"/>
  <c r="BL101" i="3"/>
  <c r="AZ101" i="3" s="1"/>
  <c r="BL102" i="3"/>
  <c r="G104" i="3"/>
  <c r="G105" i="3"/>
  <c r="BL106" i="3"/>
  <c r="BA108" i="3"/>
  <c r="AZ108" i="3" s="1"/>
  <c r="BA110" i="3"/>
  <c r="AZ110" i="3" s="1"/>
  <c r="F3" i="35"/>
  <c r="S21" i="37"/>
  <c r="W29" i="39"/>
  <c r="B77" i="43"/>
  <c r="AA18" i="35"/>
  <c r="T60" i="71"/>
  <c r="O66" i="71"/>
  <c r="AA28" i="71"/>
  <c r="AB27" i="71"/>
  <c r="C87" i="71"/>
  <c r="E75" i="71"/>
  <c r="E74" i="71" s="1"/>
  <c r="AB25" i="71"/>
  <c r="C43" i="71"/>
  <c r="X38" i="71"/>
  <c r="C35" i="71"/>
  <c r="AB32" i="71"/>
  <c r="X33" i="71"/>
  <c r="AB37" i="71"/>
  <c r="V80" i="71"/>
  <c r="G35" i="3"/>
  <c r="G36" i="3"/>
  <c r="G37" i="3"/>
  <c r="G40" i="3"/>
  <c r="BL40" i="3"/>
  <c r="BL41" i="3"/>
  <c r="G45" i="3"/>
  <c r="BL45" i="3"/>
  <c r="AZ45" i="3" s="1"/>
  <c r="BA48" i="3"/>
  <c r="BA49" i="3"/>
  <c r="AZ49" i="3" s="1"/>
  <c r="BA51" i="3"/>
  <c r="AZ51" i="3" s="1"/>
  <c r="G54" i="3"/>
  <c r="G55" i="3"/>
  <c r="BL56" i="3"/>
  <c r="BA58" i="3"/>
  <c r="AZ58" i="3" s="1"/>
  <c r="BL59" i="3"/>
  <c r="AZ59" i="3" s="1"/>
  <c r="BL60" i="3"/>
  <c r="BA61" i="3"/>
  <c r="AZ61" i="3" s="1"/>
  <c r="BA68" i="3"/>
  <c r="AZ68" i="3" s="1"/>
  <c r="BA73" i="3"/>
  <c r="BA80" i="3"/>
  <c r="G84" i="3"/>
  <c r="BL84" i="3"/>
  <c r="AZ84" i="3" s="1"/>
  <c r="BA89" i="3"/>
  <c r="G99" i="3"/>
  <c r="BA103" i="3"/>
  <c r="AZ103" i="3" s="1"/>
  <c r="BA104" i="3"/>
  <c r="BA106" i="3"/>
  <c r="BL108" i="3"/>
  <c r="G110" i="3"/>
  <c r="BL111" i="3"/>
  <c r="C21" i="68"/>
  <c r="AA27" i="71"/>
  <c r="AB26" i="71"/>
  <c r="C83" i="71"/>
  <c r="C79" i="71"/>
  <c r="C71" i="71"/>
  <c r="C39" i="71"/>
  <c r="X25" i="71"/>
  <c r="Y28" i="71"/>
  <c r="Z28" i="71" s="1"/>
  <c r="C28" i="71"/>
  <c r="AA37" i="71"/>
  <c r="X28" i="71"/>
  <c r="X32" i="71"/>
  <c r="AA39" i="71"/>
  <c r="BA71" i="3"/>
  <c r="AZ71" i="3" s="1"/>
  <c r="BL66" i="3"/>
  <c r="BL67" i="3"/>
  <c r="AZ67" i="3" s="1"/>
  <c r="G69" i="3"/>
  <c r="G70" i="3"/>
  <c r="BL70" i="3"/>
  <c r="AZ70" i="3" s="1"/>
  <c r="BL71" i="3"/>
  <c r="BL72" i="3"/>
  <c r="AZ72" i="3" s="1"/>
  <c r="G74" i="3"/>
  <c r="G75" i="3"/>
  <c r="BL75" i="3"/>
  <c r="BL81" i="3"/>
  <c r="BA82" i="3"/>
  <c r="AZ82" i="3" s="1"/>
  <c r="BL83" i="3"/>
  <c r="G88" i="3"/>
  <c r="BA90" i="3"/>
  <c r="BL94" i="3"/>
  <c r="AZ94" i="3" s="1"/>
  <c r="BA100" i="3"/>
  <c r="AZ100" i="3" s="1"/>
  <c r="BA102" i="3"/>
  <c r="AZ102" i="3" s="1"/>
  <c r="BL105" i="3"/>
  <c r="AZ105" i="3" s="1"/>
  <c r="BL107" i="3"/>
  <c r="BA111" i="3"/>
  <c r="AZ111" i="3" s="1"/>
  <c r="K13" i="1"/>
  <c r="M13" i="1" s="1"/>
  <c r="O13" i="1" s="1"/>
  <c r="P13" i="1" s="1"/>
  <c r="AC21" i="37"/>
  <c r="U21" i="34"/>
  <c r="W18" i="36"/>
  <c r="S18" i="36"/>
  <c r="B57" i="43"/>
  <c r="D66" i="7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68"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M22" i="15"/>
  <c r="F37" i="15"/>
  <c r="F8" i="67"/>
  <c r="M24" i="67"/>
  <c r="M9" i="67"/>
  <c r="D4" i="73"/>
  <c r="L48" i="67"/>
  <c r="F42" i="15"/>
  <c r="D6" i="73"/>
  <c r="M28" i="15"/>
  <c r="F26" i="15"/>
  <c r="F6" i="15"/>
  <c r="F16" i="15"/>
  <c r="D7" i="73"/>
  <c r="L47" i="67"/>
  <c r="D5" i="73"/>
  <c r="F40" i="15"/>
  <c r="M29" i="15"/>
  <c r="C76" i="15"/>
  <c r="M23" i="15"/>
  <c r="F37" i="67"/>
  <c r="C16" i="67"/>
  <c r="M22" i="67"/>
  <c r="M28" i="67"/>
  <c r="M9" i="15"/>
  <c r="M8" i="15"/>
  <c r="F9" i="15"/>
  <c r="F38" i="67"/>
  <c r="D3" i="73"/>
  <c r="R43" i="37" l="1"/>
  <c r="C30" i="68"/>
  <c r="F54" i="9"/>
  <c r="C48" i="68"/>
  <c r="F48" i="9"/>
  <c r="O52" i="9" s="1"/>
  <c r="F32" i="67"/>
  <c r="F60" i="67" s="1"/>
  <c r="K16" i="1"/>
  <c r="P6" i="1"/>
  <c r="C13" i="12" s="1"/>
  <c r="Q16" i="1"/>
  <c r="F27" i="69" s="1"/>
  <c r="F45" i="69" s="1"/>
  <c r="H16" i="1"/>
  <c r="N94" i="46"/>
  <c r="J26" i="43"/>
  <c r="N370" i="46"/>
  <c r="F26" i="43"/>
  <c r="D26" i="43" s="1"/>
  <c r="C25" i="43" s="1"/>
  <c r="E26" i="43"/>
  <c r="F68" i="15"/>
  <c r="M59" i="67"/>
  <c r="N59" i="67"/>
  <c r="L59" i="67"/>
  <c r="Q61" i="67" s="1"/>
  <c r="L58" i="67"/>
  <c r="Q60" i="67" s="1"/>
  <c r="I54" i="67"/>
  <c r="J53" i="67"/>
  <c r="Q52" i="67" s="1"/>
  <c r="J57" i="67"/>
  <c r="J55" i="67" s="1"/>
  <c r="J58" i="67" s="1"/>
  <c r="Q50" i="67" s="1"/>
  <c r="L56" i="67"/>
  <c r="F66" i="67"/>
  <c r="F65" i="67"/>
  <c r="C6" i="15"/>
  <c r="C32" i="15" s="1"/>
  <c r="F31" i="15"/>
  <c r="C27" i="15"/>
  <c r="F31" i="67"/>
  <c r="C6" i="67"/>
  <c r="C32" i="67" s="1"/>
  <c r="F51" i="67"/>
  <c r="C49" i="67" s="1"/>
  <c r="Q71" i="15"/>
  <c r="F65" i="15"/>
  <c r="J6" i="67"/>
  <c r="J18" i="67" s="1"/>
  <c r="AZ83" i="3"/>
  <c r="D79" i="71"/>
  <c r="C78" i="71"/>
  <c r="D78" i="71" s="1"/>
  <c r="C36" i="71"/>
  <c r="D35" i="71"/>
  <c r="AZ57" i="3"/>
  <c r="T52" i="71"/>
  <c r="D52" i="71"/>
  <c r="AZ52" i="3"/>
  <c r="AZ302" i="3"/>
  <c r="AZ284" i="3"/>
  <c r="AZ405" i="3"/>
  <c r="U12" i="34"/>
  <c r="AB12" i="34"/>
  <c r="AC13" i="21"/>
  <c r="W13" i="21"/>
  <c r="U9" i="34"/>
  <c r="AB9" i="34"/>
  <c r="AZ550" i="3"/>
  <c r="J6" i="15"/>
  <c r="J18" i="15" s="1"/>
  <c r="D83" i="71"/>
  <c r="C82" i="71"/>
  <c r="D82" i="71" s="1"/>
  <c r="C86" i="71"/>
  <c r="D86" i="71" s="1"/>
  <c r="D87" i="71"/>
  <c r="T32" i="71"/>
  <c r="D32" i="71"/>
  <c r="C56" i="71"/>
  <c r="D55" i="71"/>
  <c r="AZ63" i="3"/>
  <c r="AC25" i="37"/>
  <c r="W25" i="37"/>
  <c r="AB29" i="21"/>
  <c r="U29" i="21"/>
  <c r="AA25" i="37"/>
  <c r="S25" i="37"/>
  <c r="W12" i="34"/>
  <c r="AC12" i="34"/>
  <c r="G5" i="3"/>
  <c r="B3" i="3" s="1"/>
  <c r="E405" i="3" s="1"/>
  <c r="C40" i="71"/>
  <c r="D39" i="71"/>
  <c r="C44" i="71"/>
  <c r="D43" i="71"/>
  <c r="AZ75" i="3"/>
  <c r="AZ39" i="3"/>
  <c r="AZ271" i="3"/>
  <c r="AZ66" i="3"/>
  <c r="AZ182" i="3"/>
  <c r="AZ282" i="3"/>
  <c r="AZ403" i="3"/>
  <c r="AZ421" i="3"/>
  <c r="AZ368" i="3"/>
  <c r="AZ353" i="3"/>
  <c r="AC23" i="36"/>
  <c r="W23" i="36"/>
  <c r="S45" i="39"/>
  <c r="AA45" i="39"/>
  <c r="U23" i="35"/>
  <c r="AB23" i="35"/>
  <c r="AC44" i="21"/>
  <c r="W44" i="21"/>
  <c r="U39" i="40"/>
  <c r="AB39" i="40"/>
  <c r="AZ300" i="3"/>
  <c r="AZ292" i="3"/>
  <c r="AZ279" i="3"/>
  <c r="T28" i="71"/>
  <c r="D28" i="71"/>
  <c r="U28" i="71" s="1"/>
  <c r="C27" i="71"/>
  <c r="C70" i="71"/>
  <c r="D70" i="71" s="1"/>
  <c r="D71" i="71"/>
  <c r="N65" i="71"/>
  <c r="N66" i="71"/>
  <c r="AZ137" i="3"/>
  <c r="AZ297" i="3"/>
  <c r="AZ241" i="3"/>
  <c r="AZ332" i="3"/>
  <c r="AZ483" i="3"/>
  <c r="AZ457" i="3"/>
  <c r="AA27" i="21"/>
  <c r="S27" i="21"/>
  <c r="AB23" i="36"/>
  <c r="U23" i="36"/>
  <c r="AC23" i="35"/>
  <c r="W23" i="35"/>
  <c r="U27" i="21"/>
  <c r="AB27" i="21"/>
  <c r="AC39" i="40"/>
  <c r="W39" i="40"/>
  <c r="G16" i="1"/>
  <c r="F10" i="39" s="1"/>
  <c r="AA10" i="39" s="1"/>
  <c r="J7" i="37"/>
  <c r="K1" i="73"/>
  <c r="E158" i="3"/>
  <c r="E584" i="3"/>
  <c r="E14" i="3"/>
  <c r="E237" i="3"/>
  <c r="E576" i="3"/>
  <c r="E117" i="3"/>
  <c r="E477" i="3"/>
  <c r="E180" i="3"/>
  <c r="E277" i="3"/>
  <c r="E362" i="3"/>
  <c r="E70" i="3"/>
  <c r="E201" i="3"/>
  <c r="E172" i="3"/>
  <c r="X6" i="3"/>
  <c r="E483" i="3"/>
  <c r="AA26" i="37"/>
  <c r="S26" i="37"/>
  <c r="BA5" i="3"/>
  <c r="E27" i="6" s="1"/>
  <c r="K26" i="6" s="1"/>
  <c r="M26" i="6" s="1"/>
  <c r="I26" i="6" s="1"/>
  <c r="S26" i="6" s="1"/>
  <c r="C19" i="71"/>
  <c r="T20" i="71"/>
  <c r="D20" i="71"/>
  <c r="U20" i="71" s="1"/>
  <c r="AZ5" i="3"/>
  <c r="E240" i="3"/>
  <c r="W40" i="40"/>
  <c r="AC40" i="40"/>
  <c r="AC12" i="21"/>
  <c r="W12" i="21"/>
  <c r="AB12" i="21"/>
  <c r="U12" i="21"/>
  <c r="AA27" i="34"/>
  <c r="S27" i="34"/>
  <c r="AC26" i="37"/>
  <c r="W26" i="37"/>
  <c r="BL5" i="3"/>
  <c r="B15" i="71"/>
  <c r="B14" i="71" s="1"/>
  <c r="B13" i="71" s="1"/>
  <c r="B12" i="71" s="1"/>
  <c r="S16" i="71"/>
  <c r="F7" i="36"/>
  <c r="AA7" i="36" s="1"/>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M14" i="1"/>
  <c r="D5" i="43"/>
  <c r="C7" i="43"/>
  <c r="C5" i="43" s="1"/>
  <c r="D10" i="52"/>
  <c r="D125" i="9"/>
  <c r="D11" i="52" s="1"/>
  <c r="B7" i="74"/>
  <c r="C7" i="74" s="1"/>
  <c r="F67" i="39"/>
  <c r="F59" i="67"/>
  <c r="H7" i="37"/>
  <c r="AB7"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15"/>
  <c r="F41" i="67"/>
  <c r="AE6" i="1"/>
  <c r="F27" i="68" l="1"/>
  <c r="C29" i="68" s="1"/>
  <c r="D27" i="68" s="1"/>
  <c r="F27" i="11"/>
  <c r="C29" i="11" s="1"/>
  <c r="D27" i="11" s="1"/>
  <c r="C29" i="69"/>
  <c r="D27" i="69" s="1"/>
  <c r="C47" i="69"/>
  <c r="D45" i="69" s="1"/>
  <c r="J10" i="39"/>
  <c r="W10" i="39" s="1"/>
  <c r="J10" i="40"/>
  <c r="AC10" i="40" s="1"/>
  <c r="S10" i="39"/>
  <c r="H10" i="40"/>
  <c r="AB10" i="40" s="1"/>
  <c r="F10" i="40"/>
  <c r="S10" i="40" s="1"/>
  <c r="F28" i="12"/>
  <c r="C29" i="12" s="1"/>
  <c r="D28" i="12" s="1"/>
  <c r="H10" i="39"/>
  <c r="U10" i="39" s="1"/>
  <c r="E142" i="3"/>
  <c r="E132" i="3"/>
  <c r="E263" i="3"/>
  <c r="E215" i="3"/>
  <c r="E526" i="3"/>
  <c r="AO6" i="3"/>
  <c r="E577" i="3"/>
  <c r="E399" i="3"/>
  <c r="E337" i="3"/>
  <c r="E457" i="3"/>
  <c r="N6" i="3"/>
  <c r="E177" i="3"/>
  <c r="E29" i="3"/>
  <c r="E461" i="3"/>
  <c r="E62" i="3"/>
  <c r="E233" i="3"/>
  <c r="E131" i="3"/>
  <c r="E487" i="3"/>
  <c r="E100" i="3"/>
  <c r="E535" i="3"/>
  <c r="E570" i="3"/>
  <c r="E273" i="3"/>
  <c r="E368" i="3"/>
  <c r="E560" i="3"/>
  <c r="E301" i="3"/>
  <c r="E27" i="3"/>
  <c r="E518" i="3"/>
  <c r="E558" i="3"/>
  <c r="E302" i="3"/>
  <c r="E379" i="3"/>
  <c r="E179" i="3"/>
  <c r="E422" i="3"/>
  <c r="E378" i="3"/>
  <c r="E118" i="3"/>
  <c r="AY6" i="3"/>
  <c r="E296" i="3"/>
  <c r="E423" i="3"/>
  <c r="E189" i="3"/>
  <c r="AJ6" i="3"/>
  <c r="E345" i="3"/>
  <c r="E106" i="3"/>
  <c r="E568" i="3"/>
  <c r="E561" i="3"/>
  <c r="E72" i="3"/>
  <c r="E229" i="3"/>
  <c r="E344" i="3"/>
  <c r="E426" i="3"/>
  <c r="E224" i="3"/>
  <c r="E58" i="3"/>
  <c r="E34" i="3"/>
  <c r="E139" i="3"/>
  <c r="E369" i="3"/>
  <c r="E94" i="3"/>
  <c r="E219" i="3"/>
  <c r="E275" i="3"/>
  <c r="E148" i="3"/>
  <c r="AI6" i="3"/>
  <c r="E161" i="3"/>
  <c r="E278" i="3"/>
  <c r="M6" i="3"/>
  <c r="E509" i="3"/>
  <c r="E377" i="3"/>
  <c r="E557" i="3"/>
  <c r="E89" i="3"/>
  <c r="E146" i="3"/>
  <c r="E472" i="3"/>
  <c r="E181" i="3"/>
  <c r="E350" i="3"/>
  <c r="E231" i="3"/>
  <c r="E44" i="3"/>
  <c r="E318" i="3"/>
  <c r="E453" i="3"/>
  <c r="E407" i="3"/>
  <c r="E121" i="3"/>
  <c r="E73" i="3"/>
  <c r="AN6" i="3"/>
  <c r="E285" i="3"/>
  <c r="E367" i="3"/>
  <c r="E288" i="3"/>
  <c r="E87" i="3"/>
  <c r="E416" i="3"/>
  <c r="E276" i="3"/>
  <c r="E510" i="3"/>
  <c r="E536" i="3"/>
  <c r="E554" i="3"/>
  <c r="E389" i="3"/>
  <c r="E310" i="3"/>
  <c r="E309" i="3"/>
  <c r="E235" i="3"/>
  <c r="E102" i="3"/>
  <c r="E173" i="3"/>
  <c r="E408" i="3"/>
  <c r="E420" i="3"/>
  <c r="E428" i="3"/>
  <c r="E49" i="3"/>
  <c r="E16" i="3"/>
  <c r="E543" i="3"/>
  <c r="AH6" i="3"/>
  <c r="E108" i="3"/>
  <c r="L6" i="3"/>
  <c r="E38" i="3"/>
  <c r="E392" i="3"/>
  <c r="E340" i="3"/>
  <c r="E365" i="3"/>
  <c r="E460" i="3"/>
  <c r="E575" i="3"/>
  <c r="E417" i="3"/>
  <c r="E409" i="3"/>
  <c r="E67" i="3"/>
  <c r="E198" i="3"/>
  <c r="E86" i="3"/>
  <c r="E308" i="3"/>
  <c r="T6" i="3"/>
  <c r="E556" i="3"/>
  <c r="E41" i="3"/>
  <c r="E190" i="3"/>
  <c r="E80" i="3"/>
  <c r="E116" i="3"/>
  <c r="E507" i="3"/>
  <c r="E419" i="3"/>
  <c r="E226" i="3"/>
  <c r="E540" i="3"/>
  <c r="E194" i="3"/>
  <c r="E36" i="3"/>
  <c r="E20" i="3"/>
  <c r="E165" i="3"/>
  <c r="E348" i="3"/>
  <c r="E222" i="3"/>
  <c r="E110" i="3"/>
  <c r="E323" i="3"/>
  <c r="E266" i="3"/>
  <c r="E462"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442" i="3"/>
  <c r="E64" i="3"/>
  <c r="AL6" i="3"/>
  <c r="E22" i="3"/>
  <c r="E497" i="3"/>
  <c r="E220" i="3"/>
  <c r="E105" i="3"/>
  <c r="E401" i="3"/>
  <c r="E473" i="3"/>
  <c r="E112" i="3"/>
  <c r="E141" i="3"/>
  <c r="E24" i="3"/>
  <c r="E446" i="3"/>
  <c r="E436" i="3"/>
  <c r="E374"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49" i="3"/>
  <c r="E515" i="3"/>
  <c r="E476" i="3"/>
  <c r="E210" i="3"/>
  <c r="E175" i="3"/>
  <c r="E555"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49" i="3"/>
  <c r="E267" i="3"/>
  <c r="E18" i="3"/>
  <c r="E197" i="3"/>
  <c r="E470" i="3"/>
  <c r="E35" i="3"/>
  <c r="E564" i="3"/>
  <c r="E25" i="3"/>
  <c r="E79" i="3"/>
  <c r="E289" i="3"/>
  <c r="E566" i="3"/>
  <c r="E244" i="3"/>
  <c r="E354" i="3"/>
  <c r="E297" i="3"/>
  <c r="E163"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433" i="3"/>
  <c r="E351" i="3"/>
  <c r="E269" i="3"/>
  <c r="E414" i="3"/>
  <c r="E447" i="3"/>
  <c r="E331" i="3"/>
  <c r="E343" i="3"/>
  <c r="E410" i="3"/>
  <c r="AR6" i="3"/>
  <c r="E380" i="3"/>
  <c r="E261" i="3"/>
  <c r="E503" i="3"/>
  <c r="E241" i="3"/>
  <c r="E63" i="3"/>
  <c r="AF6" i="3"/>
  <c r="E512" i="3"/>
  <c r="E356" i="3"/>
  <c r="E329" i="3"/>
  <c r="E376" i="3"/>
  <c r="E372" i="3"/>
  <c r="E325" i="3"/>
  <c r="E265" i="3"/>
  <c r="E386" i="3"/>
  <c r="E500" i="3"/>
  <c r="E149" i="3"/>
  <c r="E542" i="3"/>
  <c r="AD6" i="3"/>
  <c r="E167" i="3"/>
  <c r="E307" i="3"/>
  <c r="E136" i="3"/>
  <c r="E532" i="3"/>
  <c r="W6" i="3"/>
  <c r="E168" i="3"/>
  <c r="E397" i="3"/>
  <c r="U6" i="3"/>
  <c r="E547" i="3"/>
  <c r="E272" i="3"/>
  <c r="E53" i="3"/>
  <c r="E328" i="3"/>
  <c r="E390" i="3"/>
  <c r="E338" i="3"/>
  <c r="E304" i="3"/>
  <c r="E254"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538" i="3"/>
  <c r="E216" i="3"/>
  <c r="E183" i="3"/>
  <c r="E91" i="3"/>
  <c r="E586" i="3"/>
  <c r="E347" i="3"/>
  <c r="E545" i="3"/>
  <c r="E133" i="3"/>
  <c r="E406" i="3"/>
  <c r="E468" i="3"/>
  <c r="E171" i="3"/>
  <c r="E74" i="3"/>
  <c r="E204" i="3"/>
  <c r="E485" i="3"/>
  <c r="E531" i="3"/>
  <c r="E182" i="3"/>
  <c r="E572" i="3"/>
  <c r="E268" i="3"/>
  <c r="E579" i="3"/>
  <c r="E311" i="3"/>
  <c r="AB6" i="3"/>
  <c r="E242" i="3"/>
  <c r="E119" i="3"/>
  <c r="E246" i="3"/>
  <c r="E135" i="3"/>
  <c r="E563" i="3"/>
  <c r="E335" i="3"/>
  <c r="E247" i="3"/>
  <c r="E217" i="3"/>
  <c r="E28" i="3"/>
  <c r="Z6" i="3"/>
  <c r="E315" i="3"/>
  <c r="E587" i="3"/>
  <c r="E228" i="3"/>
  <c r="E124" i="3"/>
  <c r="E528" i="3"/>
  <c r="E305" i="3"/>
  <c r="E107" i="3"/>
  <c r="E45" i="3"/>
  <c r="E114" i="3"/>
  <c r="E480" i="3"/>
  <c r="E580" i="3"/>
  <c r="E238" i="3"/>
  <c r="E418" i="3"/>
  <c r="E92" i="3"/>
  <c r="E54" i="3"/>
  <c r="E98" i="3"/>
  <c r="E48" i="3"/>
  <c r="E234" i="3"/>
  <c r="E115" i="3"/>
  <c r="E95" i="3"/>
  <c r="Q73" i="67"/>
  <c r="F1" i="67"/>
  <c r="J5" i="15"/>
  <c r="J24" i="15" s="1"/>
  <c r="Q74" i="67"/>
  <c r="J5" i="67"/>
  <c r="J24" i="67" s="1"/>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D56" i="71"/>
  <c r="T56" i="71"/>
  <c r="E174" i="3"/>
  <c r="E482" i="3"/>
  <c r="E391" i="3"/>
  <c r="E494" i="3"/>
  <c r="E283" i="3"/>
  <c r="E68" i="3"/>
  <c r="E184" i="3"/>
  <c r="E84" i="3"/>
  <c r="E371" i="3"/>
  <c r="E160" i="3"/>
  <c r="E467" i="3"/>
  <c r="E59" i="3"/>
  <c r="E349" i="3"/>
  <c r="E258" i="3"/>
  <c r="E37" i="3"/>
  <c r="E491" i="3"/>
  <c r="AP6" i="3"/>
  <c r="E430" i="3"/>
  <c r="E502" i="3"/>
  <c r="E286" i="3"/>
  <c r="E539" i="3"/>
  <c r="D44" i="71"/>
  <c r="T44" i="71"/>
  <c r="R36" i="36"/>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D36" i="71"/>
  <c r="T36" i="71"/>
  <c r="B40" i="1"/>
  <c r="L36" i="43" s="1"/>
  <c r="L37" i="43" s="1"/>
  <c r="I42" i="37"/>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8" s="1"/>
  <c r="C7" i="68"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F41" i="15"/>
  <c r="M27" i="15"/>
  <c r="C47" i="68" l="1"/>
  <c r="D45" i="68" s="1"/>
  <c r="F45" i="68"/>
  <c r="F25" i="12"/>
  <c r="C26" i="12" s="1"/>
  <c r="D25" i="12" s="1"/>
  <c r="AC6" i="3"/>
  <c r="H6" i="3"/>
  <c r="E6" i="3" s="1"/>
  <c r="I46" i="37"/>
  <c r="J46" i="37" s="1"/>
  <c r="G54" i="34"/>
  <c r="H54" i="34" s="1"/>
  <c r="D116" i="43"/>
  <c r="F22" i="68"/>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E42" i="37"/>
  <c r="G63" i="40"/>
  <c r="F65" i="40"/>
  <c r="C37" i="36"/>
  <c r="C36" i="36"/>
  <c r="G58" i="21"/>
  <c r="C60" i="15"/>
  <c r="C66" i="67"/>
  <c r="C60" i="67"/>
  <c r="D10" i="69"/>
  <c r="C34" i="69"/>
  <c r="D10" i="68"/>
  <c r="C17" i="15"/>
  <c r="C17" i="67"/>
  <c r="C14" i="67"/>
  <c r="C44" i="68" l="1"/>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C32" i="12" l="1"/>
  <c r="B2" i="12" s="1"/>
  <c r="B3" i="12" s="1"/>
  <c r="E48" i="2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42" i="35"/>
  <c r="J42" i="35" s="1"/>
  <c r="C19" i="9"/>
  <c r="C102" i="9" l="1"/>
  <c r="C21" i="9"/>
  <c r="B3" i="68"/>
  <c r="E53" i="21"/>
  <c r="F53" i="21" s="1"/>
  <c r="I53" i="21"/>
  <c r="J53" i="2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9" i="1"/>
  <c r="AO11"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6" i="71"/>
  <c r="C5" i="71"/>
  <c r="D5" i="71" s="1"/>
  <c r="M24" i="43" s="1"/>
  <c r="C42" i="40"/>
  <c r="C43" i="40"/>
  <c r="E47" i="40"/>
  <c r="F47" i="40" s="1"/>
  <c r="E46" i="40"/>
  <c r="F46" i="40" s="1"/>
  <c r="I47" i="40"/>
  <c r="J47" i="40" s="1"/>
  <c r="C32" i="9" l="1"/>
  <c r="C35" i="9" s="1"/>
  <c r="C34" i="9" s="1"/>
  <c r="E14" i="74"/>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5" i="52" l="1"/>
  <c r="H119" i="9"/>
  <c r="B51" i="72"/>
  <c r="F4" i="52"/>
  <c r="C6" i="74"/>
  <c r="C73" i="9"/>
  <c r="C78" i="9"/>
  <c r="B22" i="72"/>
  <c r="D6" i="53"/>
  <c r="B53" i="72"/>
  <c r="F5" i="52"/>
  <c r="F119" i="9"/>
  <c r="B32" i="72"/>
  <c r="D14" i="53"/>
  <c r="B52" i="72"/>
  <c r="F118" i="9"/>
  <c r="G118" i="9"/>
  <c r="G4" i="52"/>
  <c r="C68" i="9"/>
  <c r="D54" i="9"/>
  <c r="D9" i="52"/>
  <c r="D123" i="9"/>
  <c r="C81" i="9"/>
  <c r="H108" i="9"/>
  <c r="D15" i="53"/>
  <c r="B31" i="72"/>
  <c r="C64" i="9"/>
  <c r="C63" i="9"/>
  <c r="C67" i="9"/>
  <c r="D59" i="9"/>
  <c r="M55" i="9"/>
  <c r="C5" i="74"/>
  <c r="C72" i="9"/>
  <c r="C79" i="9"/>
  <c r="C80" i="9"/>
  <c r="E80" i="9"/>
  <c r="E81" i="9"/>
  <c r="B47" i="72"/>
  <c r="D4" i="52"/>
  <c r="P57" i="9"/>
  <c r="N58" i="9"/>
  <c r="N60" i="9"/>
  <c r="D55" i="9"/>
  <c r="M53" i="9"/>
  <c r="N57" i="9"/>
  <c r="N59" i="9"/>
  <c r="N61" i="9"/>
  <c r="D122" i="9"/>
  <c r="D8" i="52"/>
  <c r="C104" i="9"/>
  <c r="H4" i="52"/>
  <c r="D118" i="9"/>
  <c r="D119" i="9"/>
  <c r="D5" i="52"/>
  <c r="B49" i="72"/>
  <c r="C105" i="9"/>
  <c r="I4" i="52"/>
  <c r="D5" i="53"/>
  <c r="B20" i="72"/>
  <c r="M48" i="9"/>
  <c r="C86" i="9"/>
  <c r="C93" i="9"/>
  <c r="E118" i="9"/>
  <c r="E4" i="52"/>
  <c r="B48" i="72"/>
  <c r="H107" i="9"/>
  <c r="D13" i="53"/>
  <c r="B30" i="72"/>
  <c r="D52" i="9"/>
  <c r="D53" i="9"/>
  <c r="C96" i="9"/>
  <c r="E96" i="9"/>
  <c r="E97" i="9"/>
  <c r="H102" i="9"/>
  <c r="D7" i="53"/>
  <c r="B21"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<sst xmlns="http://schemas.openxmlformats.org/spreadsheetml/2006/main" count="8031" uniqueCount="3504">
  <si>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</si>
  <si>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</si>
  <si>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</si>
  <si>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</si>
  <si>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</si>
  <si>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</si>
  <si>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</si>
  <si>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</si>
  <si>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</si>
  <si>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</si>
  <si>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</si>
  <si>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</si>
  <si>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</si>
  <si>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</si>
  <si>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</si>
  <si>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</si>
  <si>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</si>
  <si>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</si>
  <si>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</si>
  <si>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</si>
  <si>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</si>
  <si>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</si>
  <si>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</si>
  <si>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</si>
  <si>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</si>
  <si>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</si>
  <si>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</si>
  <si>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</si>
  <si>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</si>
  <si>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</si>
  <si>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</si>
  <si>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</si>
  <si>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</si>
  <si>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</si>
  <si>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</si>
  <si>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</si>
  <si>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</si>
  <si>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</si>
  <si>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</si>
  <si>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</si>
  <si>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</si>
  <si>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</si>
  <si>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</si>
  <si>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</si>
  <si>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</si>
  <si>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</si>
  <si>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</si>
  <si>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</si>
  <si>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</si>
  <si>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</si>
  <si>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</si>
  <si>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</si>
  <si>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</si>
  <si>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</si>
  <si>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</si>
  <si>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</si>
  <si>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</si>
  <si>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</si>
  <si>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</si>
  <si>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</si>
  <si>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</si>
  <si>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</si>
  <si>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</si>
  <si>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</si>
  <si>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</si>
  <si>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</si>
  <si>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</si>
  <si>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</si>
  <si>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</si>
  <si>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</si>
  <si>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</si>
  <si>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</si>
  <si>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</si>
  <si>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</si>
  <si>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</si>
  <si>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</si>
  <si>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</si>
  <si>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</si>
  <si>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</si>
  <si>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</si>
  <si>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</si>
  <si>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</si>
  <si>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</si>
  <si>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</si>
  <si>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</si>
  <si>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</si>
  <si>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</si>
  <si>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</si>
  <si>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</si>
  <si>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</si>
  <si>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</si>
  <si>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</si>
  <si>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</si>
  <si>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</si>
  <si>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</si>
  <si>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</si>
  <si>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</si>
  <si>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</si>
  <si>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</si>
  <si>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</si>
  <si>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</si>
  <si>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</si>
  <si>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</si>
  <si>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</si>
  <si>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</si>
  <si>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</si>
  <si>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</si>
  <si>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</si>
  <si>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</si>
  <si>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</si>
  <si>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</si>
  <si>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</si>
  <si>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</si>
  <si>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</si>
  <si>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</si>
  <si>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</si>
  <si>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</si>
  <si>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</si>
  <si>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</si>
  <si>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</si>
  <si>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</si>
  <si>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</si>
  <si>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</si>
  <si>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</si>
  <si>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</si>
  <si>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</si>
  <si>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</si>
  <si>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</si>
  <si>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</si>
  <si>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</si>
  <si>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</si>
  <si>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</si>
  <si>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</si>
  <si>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</si>
  <si>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</si>
  <si>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</si>
  <si>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</si>
  <si>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</si>
  <si>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</si>
  <si>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</si>
  <si>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</si>
  <si>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</si>
  <si>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</si>
  <si>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</si>
  <si>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</si>
  <si>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</si>
  <si>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</si>
  <si>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</si>
  <si>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</si>
  <si>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</si>
  <si>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</si>
  <si>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</si>
  <si>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</si>
  <si>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</si>
  <si>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</si>
  <si>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</si>
  <si>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</si>
  <si>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</si>
  <si>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</si>
  <si>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</si>
  <si>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</si>
  <si>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</si>
  <si>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</si>
  <si>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</si>
  <si>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</si>
  <si>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</si>
  <si>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</si>
  <si>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</si>
  <si>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</si>
  <si>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</si>
  <si>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</si>
  <si>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</si>
  <si>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</si>
  <si>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</si>
  <si>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</si>
  <si>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</si>
  <si>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</si>
  <si>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</si>
  <si>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</si>
  <si>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</si>
  <si>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</si>
  <si>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</si>
  <si>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</si>
  <si>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</si>
  <si>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</si>
  <si>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</si>
  <si>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</si>
  <si>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</si>
  <si>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</si>
  <si>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</si>
  <si>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</si>
  <si>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</si>
  <si>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</si>
  <si>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</si>
  <si>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</si>
  <si>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</si>
  <si>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</si>
  <si>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</si>
  <si>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</si>
  <si>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</si>
  <si>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</si>
  <si>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</si>
  <si>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</si>
  <si>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</si>
  <si>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</si>
  <si>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</si>
  <si>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</si>
  <si>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</si>
  <si>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</si>
  <si>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</si>
  <si>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</si>
  <si>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</si>
  <si>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</si>
  <si>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</si>
  <si>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</si>
  <si>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</si>
  <si>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</si>
  <si>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</si>
  <si>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</si>
  <si>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</si>
  <si>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</si>
  <si>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</si>
  <si>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</si>
  <si>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</si>
  <si>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</si>
  <si>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</si>
  <si>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</si>
  <si>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</si>
  <si>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</si>
  <si>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</si>
  <si>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</si>
  <si>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</si>
  <si>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</si>
  <si>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</si>
  <si>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</si>
  <si>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</si>
  <si>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</si>
  <si>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</si>
  <si>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</si>
  <si>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</si>
  <si>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</si>
  <si>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</si>
  <si>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</si>
  <si>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</si>
  <si>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</si>
  <si>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</si>
  <si>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</si>
  <si>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</si>
  <si>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</si>
  <si>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</si>
  <si>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</si>
  <si>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</si>
  <si>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</si>
  <si>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</si>
  <si>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</si>
  <si>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</si>
  <si>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</si>
  <si>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</si>
  <si>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</si>
  <si>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</si>
  <si>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</si>
  <si>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</si>
  <si>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</si>
  <si>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</si>
  <si>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</si>
  <si>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</si>
  <si>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</si>
  <si>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</si>
  <si>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</si>
  <si>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</si>
  <si>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</si>
  <si>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</si>
  <si>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</si>
  <si>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</si>
  <si>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</si>
  <si>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</si>
  <si>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</si>
  <si>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</si>
  <si>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</si>
  <si>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</si>
  <si>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</si>
  <si>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</si>
  <si>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</si>
  <si>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</si>
  <si>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</si>
  <si>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</si>
  <si>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</si>
  <si>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</si>
  <si>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</si>
  <si>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</si>
  <si>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</si>
  <si>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</si>
  <si>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</si>
  <si>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</si>
  <si>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</si>
  <si>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</si>
  <si>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</si>
  <si>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</si>
  <si>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</si>
  <si>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</si>
  <si>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</si>
  <si>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</si>
  <si>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</si>
  <si>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</si>
  <si>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</si>
  <si>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</si>
  <si>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</si>
  <si>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</si>
  <si>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</si>
  <si>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</si>
  <si>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</si>
  <si>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</si>
  <si>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</si>
  <si>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</si>
  <si>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</si>
  <si>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</si>
  <si>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</si>
  <si>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</si>
  <si>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</si>
  <si>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</si>
  <si>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</si>
  <si>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</si>
  <si>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</si>
  <si>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</si>
  <si>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</si>
  <si>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</si>
  <si>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</si>
  <si>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</si>
  <si>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</si>
  <si>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</si>
  <si>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</si>
  <si>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</si>
  <si>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</si>
  <si>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</si>
  <si>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</si>
  <si>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</si>
  <si>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</si>
  <si>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</si>
  <si>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</si>
  <si>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</si>
  <si>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</si>
  <si>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</si>
  <si>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</si>
  <si>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</si>
  <si>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</si>
  <si>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</si>
  <si>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</si>
  <si>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</si>
  <si>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</si>
  <si>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</si>
  <si>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</si>
  <si>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</si>
  <si>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</si>
  <si>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</si>
  <si>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</si>
  <si>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</si>
  <si>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</si>
  <si>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</si>
  <si>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</si>
  <si>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</si>
  <si>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</si>
  <si>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</si>
  <si>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</si>
  <si>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</si>
  <si>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</si>
  <si>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</si>
  <si>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</si>
  <si>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</si>
  <si>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</si>
  <si>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</si>
  <si>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</si>
  <si>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</si>
  <si>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</si>
  <si>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</si>
  <si>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</si>
  <si>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</si>
  <si>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</si>
  <si>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</si>
  <si>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</si>
  <si>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</si>
  <si>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</si>
  <si>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</si>
  <si>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</si>
  <si>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</si>
  <si>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</si>
  <si>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</si>
  <si>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</si>
  <si>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</si>
  <si>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</si>
  <si>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</si>
  <si>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</si>
  <si>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</si>
  <si>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</si>
  <si>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</si>
  <si>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</si>
  <si>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</si>
  <si>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</si>
  <si>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</si>
  <si>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</si>
  <si>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</si>
  <si>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</si>
  <si>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</si>
  <si>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</si>
  <si>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</si>
  <si>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</si>
  <si>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</si>
  <si>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</si>
  <si>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</si>
  <si>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</si>
  <si>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</si>
  <si>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</si>
  <si>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</si>
  <si>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</si>
  <si>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</si>
  <si>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</si>
  <si>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</si>
  <si>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</si>
  <si>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</si>
  <si>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</si>
  <si>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</si>
  <si>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</si>
  <si>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</si>
  <si>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</si>
  <si>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</si>
  <si>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</si>
  <si>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</si>
  <si>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</si>
  <si>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</si>
  <si>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</si>
  <si>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</si>
  <si>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</si>
  <si>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</si>
  <si>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</si>
  <si>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</si>
  <si>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</si>
  <si>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</si>
  <si>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</si>
  <si>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</si>
  <si>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</si>
  <si>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</si>
  <si>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</si>
  <si>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</si>
  <si>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</si>
  <si>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</si>
  <si>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</si>
  <si>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</si>
  <si>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</si>
  <si>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</si>
  <si>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</si>
  <si>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</si>
  <si>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</si>
  <si>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</si>
  <si>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</si>
  <si>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</si>
  <si>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</si>
  <si>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</si>
  <si>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</si>
  <si>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</si>
  <si>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</si>
  <si>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</si>
  <si>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</si>
  <si>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</si>
  <si>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</si>
  <si>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</si>
  <si>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</si>
  <si>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</si>
  <si>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</si>
  <si>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</si>
  <si>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</si>
  <si>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</si>
  <si>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</si>
  <si>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</si>
  <si>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</si>
  <si>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</si>
  <si>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</si>
  <si>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</si>
  <si>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</si>
  <si>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</si>
  <si>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</si>
  <si>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</si>
  <si>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</si>
  <si>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</si>
  <si>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</si>
  <si>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</si>
  <si>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</si>
  <si>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</si>
  <si>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</si>
  <si>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</si>
  <si>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</si>
  <si>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</si>
  <si>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</si>
  <si>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</si>
  <si>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</si>
  <si>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</si>
  <si>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</si>
  <si>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</si>
  <si>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</si>
  <si>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</si>
  <si>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</si>
  <si>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</si>
  <si>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</si>
  <si>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</si>
  <si>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</si>
  <si>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</si>
  <si>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</si>
  <si>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</si>
  <si>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</si>
  <si>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</si>
  <si>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</si>
  <si>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</si>
  <si>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</si>
  <si>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</si>
  <si>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</si>
  <si>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</si>
  <si>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</si>
  <si>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</si>
  <si>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</si>
  <si>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</si>
  <si>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</si>
  <si>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</si>
  <si>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</si>
  <si>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</si>
  <si>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</si>
  <si>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</si>
  <si>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</si>
  <si>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</si>
  <si>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</si>
  <si>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</si>
  <si>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</si>
  <si>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</si>
  <si>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</si>
  <si>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</si>
  <si>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</si>
  <si>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</si>
  <si>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</si>
  <si>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</si>
  <si>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</si>
  <si>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</si>
  <si>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</si>
  <si>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</si>
  <si>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</si>
  <si>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</si>
  <si>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</si>
  <si>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</si>
  <si>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</si>
  <si>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</si>
  <si>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</si>
  <si>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</si>
  <si>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</si>
  <si>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</si>
  <si>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</si>
  <si>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</si>
  <si>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</si>
  <si>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</si>
  <si>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</si>
  <si>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</si>
  <si>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</si>
  <si>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</si>
  <si>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</si>
  <si>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</si>
  <si>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</si>
  <si>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</si>
  <si>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</si>
  <si>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</si>
  <si>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</si>
  <si>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</si>
  <si>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</si>
  <si>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</si>
  <si>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</si>
  <si>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</si>
  <si>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</si>
  <si>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</si>
  <si>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</si>
  <si>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</si>
  <si>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</si>
  <si>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</si>
  <si>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</si>
  <si>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</si>
  <si>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</si>
  <si>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</si>
  <si>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</si>
  <si>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</si>
  <si>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</si>
  <si>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</si>
  <si>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</si>
  <si>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</si>
  <si>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</si>
  <si>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</si>
  <si>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</si>
  <si>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</si>
  <si>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</si>
  <si>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</si>
  <si>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</si>
  <si>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</si>
  <si>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</si>
  <si>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</si>
  <si>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</si>
  <si>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</si>
  <si>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</si>
  <si>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</si>
  <si>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</si>
  <si>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</si>
  <si>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</si>
  <si>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</si>
  <si>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</si>
  <si>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</si>
  <si>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</si>
  <si>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</si>
  <si>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</si>
  <si>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</si>
  <si>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</si>
  <si>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</si>
  <si>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</si>
  <si>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</si>
  <si>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</si>
  <si>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</si>
  <si>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</si>
  <si>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</si>
  <si>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</si>
  <si>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</si>
  <si>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</si>
  <si>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</si>
  <si>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</si>
  <si>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</si>
  <si>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</si>
  <si>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</si>
  <si>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</si>
  <si>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</si>
  <si>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</si>
  <si>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</si>
  <si>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</si>
  <si>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</si>
  <si>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</si>
  <si>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</si>
  <si>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</si>
  <si>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</si>
  <si>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</si>
  <si>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</si>
  <si>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</si>
  <si>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</si>
  <si>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</si>
  <si>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</si>
  <si>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</si>
  <si>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</si>
  <si>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</si>
  <si>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</si>
  <si>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</si>
  <si>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</si>
  <si>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</si>
  <si>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</si>
  <si>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</si>
  <si>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</si>
  <si>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</si>
  <si>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</si>
  <si>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</si>
  <si>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</si>
  <si>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</si>
  <si>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</si>
  <si>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</si>
  <si>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</si>
  <si>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</si>
  <si>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</si>
  <si>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</si>
  <si>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</si>
  <si>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</si>
  <si>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</si>
  <si>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</si>
  <si>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</si>
  <si>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</si>
  <si>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</si>
  <si>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</si>
  <si>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</si>
  <si>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</si>
  <si>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</si>
  <si>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</si>
  <si>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</si>
  <si>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</si>
  <si>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</si>
  <si>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</si>
  <si>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</si>
  <si>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</si>
  <si>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</si>
  <si>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</si>
  <si>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</si>
  <si>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</si>
  <si>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</si>
  <si>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</si>
  <si>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</si>
  <si>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</si>
  <si>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</si>
  <si>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</si>
  <si>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</si>
  <si>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</si>
  <si>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</si>
  <si>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</si>
  <si>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</si>
  <si>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</si>
  <si>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</si>
  <si>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</si>
  <si>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</si>
  <si>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</si>
  <si>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</si>
  <si>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</si>
  <si>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</si>
  <si>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</si>
  <si>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</si>
  <si>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</si>
  <si>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</si>
  <si>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</si>
  <si>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</si>
  <si>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</si>
  <si>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</si>
  <si>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</si>
  <si>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</si>
  <si>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</si>
  <si>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</si>
  <si>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</si>
  <si>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</si>
  <si>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</si>
  <si>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</si>
  <si>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</si>
  <si>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</si>
  <si>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</si>
  <si>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</si>
  <si>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</si>
  <si>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</si>
  <si>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</si>
  <si>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</si>
  <si>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</si>
  <si>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</si>
  <si>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</si>
  <si>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</si>
  <si>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</si>
  <si>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</si>
  <si>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</si>
  <si>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</si>
  <si>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</si>
  <si>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</si>
  <si>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</si>
  <si>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</si>
  <si>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</si>
  <si>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</si>
  <si>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</si>
  <si>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</si>
  <si>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</si>
  <si>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</si>
  <si>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</si>
  <si>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</si>
  <si>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</si>
  <si>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</si>
  <si>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</si>
  <si>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</si>
  <si>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</si>
  <si>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</si>
  <si>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</si>
  <si>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</si>
  <si>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</si>
  <si>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</si>
  <si>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</si>
  <si>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</si>
  <si>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</si>
  <si>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</si>
  <si>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</si>
  <si>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</si>
  <si>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</si>
  <si>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</si>
  <si>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</si>
  <si>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</si>
  <si>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</si>
  <si>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</si>
  <si>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</si>
  <si>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</si>
  <si>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</si>
  <si>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</si>
  <si>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</si>
  <si>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</si>
  <si>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</si>
  <si>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</si>
  <si>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</si>
  <si>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</si>
  <si>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</si>
  <si>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</si>
  <si>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</si>
  <si>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</si>
  <si>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</si>
  <si>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</si>
  <si>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</si>
  <si>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</si>
  <si>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</si>
  <si>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</si>
  <si>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</si>
  <si>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</si>
  <si>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</si>
  <si>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</si>
  <si>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</si>
  <si>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</si>
  <si>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</si>
  <si>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</si>
  <si>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</si>
  <si>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</si>
  <si>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</si>
  <si>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</si>
  <si>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</si>
  <si>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</si>
  <si>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</si>
  <si>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</si>
  <si>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</si>
  <si>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</si>
  <si>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</si>
  <si>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</si>
  <si>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</si>
  <si>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</si>
  <si>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</si>
  <si>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</si>
  <si>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</si>
  <si>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</si>
  <si>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</si>
  <si>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</si>
  <si>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</si>
  <si>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</si>
  <si>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</si>
  <si>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</si>
  <si>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</si>
  <si>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</si>
  <si>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</si>
  <si>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</si>
  <si>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</si>
  <si>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</si>
  <si>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</si>
  <si>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</si>
  <si>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</si>
  <si>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</si>
  <si>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</si>
  <si>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</si>
  <si>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</si>
  <si>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</si>
  <si>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</si>
  <si>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</si>
  <si>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</si>
  <si>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</si>
  <si>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</si>
  <si>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</si>
  <si>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</si>
  <si>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</si>
  <si>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</si>
  <si>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</si>
  <si>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</si>
  <si>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</si>
  <si>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</si>
  <si>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</si>
  <si>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</si>
  <si>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</si>
  <si>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</si>
  <si>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</si>
  <si>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</si>
  <si>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</si>
  <si>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</si>
  <si>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</si>
  <si>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</si>
  <si>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</si>
  <si>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</si>
  <si>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</si>
  <si>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</si>
  <si>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</si>
  <si>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</si>
  <si>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</si>
  <si>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</si>
  <si>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</si>
  <si>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</si>
  <si>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</si>
  <si>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</si>
  <si>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</si>
  <si>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</si>
  <si>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</si>
  <si>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</si>
  <si>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</si>
  <si>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</si>
  <si>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</si>
  <si>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</si>
  <si>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</si>
  <si>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</si>
  <si>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</si>
  <si>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</si>
  <si>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</si>
  <si>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</si>
  <si>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</si>
  <si>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</si>
  <si>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</si>
  <si>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</si>
  <si>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</si>
  <si>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</si>
  <si>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</si>
  <si>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</si>
  <si>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</si>
  <si>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</si>
  <si>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</si>
  <si>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</si>
  <si>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</si>
  <si>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</si>
  <si>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</si>
  <si>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</si>
  <si>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</si>
  <si>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</si>
  <si>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</si>
  <si>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</si>
  <si>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</si>
  <si>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</si>
  <si>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</si>
  <si>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</si>
  <si>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</si>
  <si>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</si>
  <si>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</si>
  <si>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</si>
  <si>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</si>
  <si>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</si>
  <si>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</si>
  <si>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</si>
  <si>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</si>
  <si>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</si>
  <si>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</si>
  <si>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</si>
  <si>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</si>
  <si>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</si>
  <si>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</si>
  <si>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</si>
  <si>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</si>
  <si>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</si>
  <si>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</si>
  <si>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</si>
  <si>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</si>
  <si>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</si>
  <si>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</si>
  <si>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</si>
  <si>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</si>
  <si>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</si>
  <si>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</si>
  <si>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</si>
  <si>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</si>
  <si>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</si>
  <si>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</si>
  <si>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</si>
  <si>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</si>
  <si>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</si>
  <si>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</si>
  <si>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</si>
  <si>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</si>
  <si>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</si>
  <si>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</si>
  <si>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</si>
  <si>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</si>
  <si>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</si>
  <si>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</si>
  <si>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</si>
  <si>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</si>
  <si>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</si>
  <si>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</si>
  <si>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</si>
  <si>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</si>
  <si>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</si>
  <si>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</si>
  <si>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</si>
  <si>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</si>
  <si>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</si>
  <si>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</si>
  <si>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</si>
  <si>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</si>
  <si>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</si>
  <si>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</si>
  <si>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</si>
  <si>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</si>
  <si>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</si>
  <si>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</si>
  <si>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</si>
  <si>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</si>
  <si>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</si>
  <si>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</si>
  <si>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</si>
  <si>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</si>
  <si>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</si>
  <si>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</si>
  <si>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</si>
  <si>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</si>
  <si>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</si>
  <si>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</si>
  <si>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</si>
  <si>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</si>
  <si>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</si>
  <si>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</si>
  <si>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</si>
  <si>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</si>
  <si>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</si>
  <si>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</si>
  <si>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</si>
  <si>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</si>
  <si>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</si>
  <si>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</si>
  <si>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</si>
  <si>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</si>
  <si>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</si>
  <si>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</si>
  <si>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</si>
  <si>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</si>
  <si>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</si>
  <si>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</si>
  <si>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</si>
  <si>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</si>
  <si>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</si>
  <si>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</si>
  <si>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</si>
  <si>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</si>
  <si>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</si>
  <si>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</si>
  <si>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</si>
  <si>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</si>
  <si>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</si>
  <si>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</si>
  <si>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</si>
  <si>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</si>
  <si>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</si>
  <si>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</si>
  <si>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</si>
  <si>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</si>
  <si>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</si>
  <si>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</si>
  <si>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</si>
  <si>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</si>
  <si>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</si>
  <si>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</si>
  <si>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</si>
  <si>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</si>
  <si>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</si>
  <si>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</si>
  <si>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</si>
  <si>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</si>
  <si>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</si>
  <si>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</si>
  <si>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</si>
  <si>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</si>
  <si>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</si>
  <si>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</si>
  <si>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</si>
  <si>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</si>
  <si>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</si>
  <si>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</si>
  <si>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</si>
  <si>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</si>
  <si>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</si>
  <si>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</si>
  <si>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</si>
  <si>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</si>
  <si>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</si>
  <si>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</si>
  <si>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</si>
  <si>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</si>
  <si>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</si>
  <si>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</si>
  <si>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</si>
  <si>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</si>
  <si>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</si>
  <si>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</si>
  <si>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</si>
  <si>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</si>
  <si>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</si>
  <si>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</si>
  <si>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</si>
  <si>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</si>
  <si>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</si>
  <si>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</si>
  <si>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</si>
  <si>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</si>
  <si>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</si>
  <si>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</si>
  <si>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</si>
  <si>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</si>
  <si>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</si>
  <si>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</si>
  <si>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</si>
  <si>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</si>
  <si>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</si>
  <si>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</si>
  <si>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</si>
  <si>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</si>
  <si>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</si>
  <si>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</si>
  <si>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</si>
  <si>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</si>
  <si>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</si>
  <si>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</si>
  <si>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</si>
  <si>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</si>
  <si>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</si>
  <si>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</si>
  <si>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</si>
  <si>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</si>
  <si>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</si>
  <si>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</si>
  <si>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</si>
  <si>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</si>
  <si>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</si>
  <si>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</si>
  <si>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</si>
  <si>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</si>
  <si>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</si>
  <si>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</si>
  <si>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</si>
  <si>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</si>
  <si>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</si>
  <si>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</si>
  <si>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</si>
  <si>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</si>
  <si>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</si>
  <si>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</si>
  <si>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</si>
  <si>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</si>
  <si>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</si>
  <si>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</si>
  <si>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</si>
  <si>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</si>
  <si>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</si>
  <si>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</si>
  <si>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</si>
  <si>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</si>
  <si>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</si>
  <si>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</si>
  <si>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</si>
  <si>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</si>
  <si>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</si>
  <si>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</si>
  <si>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</si>
  <si>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</si>
  <si>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</si>
  <si>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</si>
  <si>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</si>
  <si>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</si>
  <si>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</si>
  <si>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</si>
  <si>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</si>
  <si>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</si>
  <si>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</si>
  <si>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</si>
  <si>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</si>
  <si>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</si>
  <si>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</si>
  <si>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</si>
  <si>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</si>
  <si>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</si>
  <si>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</si>
  <si>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</si>
  <si>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</si>
  <si>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</si>
  <si>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</si>
  <si>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</si>
  <si>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</si>
  <si>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</si>
  <si>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</si>
  <si>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</si>
  <si>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</si>
  <si>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</si>
  <si>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</si>
  <si>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</si>
  <si>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</si>
  <si>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</si>
  <si>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</si>
  <si>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</si>
  <si>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</si>
  <si>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</si>
  <si>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</si>
  <si>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</si>
  <si>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</si>
  <si>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</si>
  <si>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</si>
  <si>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</si>
  <si>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</si>
  <si>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</si>
  <si>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</si>
  <si>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</si>
  <si>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</si>
  <si>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</si>
  <si>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</si>
  <si>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</si>
  <si>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</si>
  <si>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</si>
  <si>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</si>
  <si>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</si>
  <si>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</si>
  <si>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</si>
  <si>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</si>
  <si>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</si>
  <si>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</si>
  <si>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</si>
  <si>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</si>
  <si>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</si>
  <si>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</si>
  <si>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</si>
  <si>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</si>
  <si>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</si>
  <si>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</si>
  <si>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</si>
  <si>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</si>
  <si>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</si>
  <si>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</si>
  <si>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</si>
  <si>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</si>
  <si>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</si>
  <si>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</si>
  <si>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</si>
  <si>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</si>
  <si>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</si>
  <si>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</si>
  <si>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</si>
  <si>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</si>
  <si>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</si>
  <si>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</si>
  <si>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</si>
  <si>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</si>
  <si>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</si>
  <si>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</si>
  <si>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</si>
  <si>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</si>
  <si>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</si>
  <si>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</si>
  <si>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</si>
  <si>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</si>
  <si>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</si>
  <si>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</si>
  <si>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</si>
  <si>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</si>
  <si>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</si>
  <si>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</si>
  <si>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</si>
  <si>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</si>
  <si>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</si>
  <si>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</si>
  <si>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</si>
  <si>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</si>
  <si>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</si>
  <si>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</si>
  <si>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</si>
  <si>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</si>
  <si>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</si>
  <si>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</si>
  <si>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</si>
  <si>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</si>
  <si>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</si>
  <si>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</si>
  <si>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</si>
  <si>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</si>
  <si>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</si>
  <si>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</si>
  <si>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</si>
  <si>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</si>
  <si>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</si>
  <si>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</si>
  <si>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</si>
  <si>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</si>
  <si>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</si>
  <si>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</si>
  <si>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</si>
  <si>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</si>
  <si>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</si>
  <si>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</si>
  <si>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</si>
  <si>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</si>
  <si>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</si>
  <si>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</si>
  <si>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</si>
  <si>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</si>
  <si>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</si>
  <si>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</si>
  <si>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</si>
  <si>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</si>
  <si>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</si>
  <si>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</si>
  <si>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</si>
  <si>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</si>
  <si>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</si>
  <si>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</si>
  <si>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</si>
  <si>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</si>
  <si>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</si>
  <si>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</si>
  <si>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</si>
  <si>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</si>
  <si>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</si>
  <si>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</si>
  <si>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</si>
  <si>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</si>
  <si>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</si>
  <si>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</si>
  <si>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</si>
  <si>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</si>
  <si>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</si>
  <si>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</si>
  <si>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</si>
  <si>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</si>
  <si>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</si>
  <si>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</si>
  <si>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</si>
  <si>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</si>
  <si>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</si>
  <si>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</si>
  <si>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</si>
  <si>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</si>
  <si>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</si>
  <si>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</si>
  <si>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</si>
  <si>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</si>
  <si>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</si>
  <si>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</si>
  <si>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</si>
  <si>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</si>
  <si>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</si>
  <si>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</si>
  <si>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</si>
  <si>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</si>
  <si>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</si>
  <si>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</si>
  <si>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</si>
  <si>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</si>
  <si>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</si>
  <si>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</si>
  <si>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</si>
  <si>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</si>
  <si>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</si>
  <si>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</si>
  <si>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</si>
  <si>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</si>
  <si>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</si>
  <si>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</si>
  <si>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</si>
  <si>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</si>
  <si>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</si>
  <si>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</si>
  <si>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</si>
  <si>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</si>
  <si>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</si>
  <si>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</si>
  <si>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</si>
  <si>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</si>
  <si>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</si>
  <si>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</si>
  <si>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</si>
  <si>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</si>
  <si>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</si>
  <si>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</si>
  <si>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</si>
  <si>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</si>
  <si>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</si>
  <si>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</si>
  <si>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</si>
  <si>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</si>
  <si>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</si>
  <si>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</si>
  <si>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</si>
  <si>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</si>
  <si>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</si>
  <si>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</si>
  <si>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</si>
  <si>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</si>
  <si>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</si>
  <si>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</si>
  <si>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</si>
  <si>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</si>
  <si>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</si>
  <si>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</si>
  <si>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</si>
  <si>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</si>
  <si>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</si>
  <si>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</si>
  <si>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</si>
  <si>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</si>
  <si>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</si>
  <si>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</si>
  <si>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</si>
  <si>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</si>
  <si>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</si>
  <si>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</si>
  <si>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</si>
  <si>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</si>
  <si>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</si>
  <si>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</si>
  <si>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</si>
  <si>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</si>
  <si>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</si>
  <si>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</si>
  <si>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</si>
  <si>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</si>
  <si>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</si>
  <si>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</si>
  <si>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</si>
  <si>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</si>
  <si>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</si>
  <si>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</si>
  <si>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</si>
  <si>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</si>
  <si>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</si>
  <si>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</si>
  <si>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</si>
  <si>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</si>
  <si>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</si>
  <si>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</si>
  <si>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</si>
  <si>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</si>
  <si>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</si>
  <si>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</si>
  <si>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</si>
  <si>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</si>
  <si>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</si>
  <si>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</si>
  <si>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</si>
  <si>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</si>
  <si>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</si>
  <si>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</si>
  <si>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</si>
  <si>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</si>
  <si>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</si>
  <si>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</si>
  <si>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</si>
  <si>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</si>
  <si>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</si>
  <si>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</si>
  <si>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</si>
  <si>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</si>
  <si>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</si>
  <si>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</si>
  <si>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</si>
  <si>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</si>
  <si>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</si>
  <si>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</si>
  <si>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</si>
  <si>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</si>
  <si>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</si>
  <si>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</si>
  <si>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</si>
  <si>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</si>
  <si>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</si>
  <si>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</si>
  <si>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</si>
  <si>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</si>
  <si>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</si>
  <si>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</si>
  <si>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</si>
  <si>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</si>
  <si>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</si>
  <si>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</si>
  <si>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</si>
  <si>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</si>
  <si>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</si>
  <si>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</si>
  <si>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</si>
  <si>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</si>
  <si>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</si>
  <si>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</si>
  <si>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</si>
  <si>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</si>
  <si>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</si>
  <si>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</si>
  <si>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</si>
  <si>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</si>
  <si>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</si>
  <si>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</si>
  <si>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</si>
  <si>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</si>
  <si>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</si>
  <si>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</si>
  <si>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</si>
  <si>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</si>
  <si>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</si>
  <si>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</si>
  <si>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</si>
  <si>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</si>
  <si>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</si>
  <si>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</si>
  <si>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</si>
  <si>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</si>
  <si>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</si>
  <si>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</si>
  <si>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</si>
  <si>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</si>
  <si>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</si>
  <si>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</si>
  <si>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</si>
  <si>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</si>
  <si>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</si>
  <si>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</si>
  <si>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</si>
  <si>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</si>
  <si>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</si>
  <si>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</si>
  <si>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</si>
  <si>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</si>
  <si>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</si>
  <si>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</si>
  <si>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</si>
  <si>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</si>
  <si>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</si>
  <si>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</si>
  <si>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</si>
  <si>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</si>
  <si>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</si>
  <si>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</si>
  <si>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</si>
  <si>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</si>
  <si>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</si>
  <si>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</si>
  <si>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</si>
  <si>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</si>
  <si>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</si>
  <si>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</si>
  <si>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</si>
  <si>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</si>
  <si>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</si>
  <si>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</si>
  <si>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</si>
  <si>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</si>
  <si>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</si>
  <si>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</si>
  <si>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</si>
  <si>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</si>
  <si>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</si>
  <si>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</si>
  <si>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</si>
  <si>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</si>
  <si>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</si>
  <si>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</si>
  <si>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</si>
  <si>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</si>
  <si>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</si>
  <si>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</si>
  <si>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</si>
  <si>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</si>
  <si>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</si>
  <si>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</si>
  <si>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</si>
  <si>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</si>
  <si>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</si>
  <si>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</si>
  <si>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</si>
  <si>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</si>
  <si>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</si>
  <si>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</si>
  <si>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</si>
  <si>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</si>
  <si>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</si>
  <si>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</si>
  <si>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</si>
  <si>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</si>
  <si>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</si>
  <si>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</si>
  <si>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</si>
  <si>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</si>
  <si>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</si>
  <si>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</si>
  <si>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</si>
  <si>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</si>
  <si>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</si>
  <si>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</si>
  <si>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</si>
  <si>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</si>
  <si>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</si>
  <si>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</si>
  <si>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</si>
  <si>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</si>
  <si>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</si>
  <si>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</si>
  <si>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</si>
  <si>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</si>
  <si>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</si>
  <si>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</si>
  <si>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</si>
  <si>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</si>
  <si>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</si>
  <si>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</si>
  <si>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</si>
  <si>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</si>
  <si>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</si>
  <si>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</si>
  <si>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</si>
  <si>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</si>
  <si>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</si>
  <si>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</si>
  <si>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</si>
  <si>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</si>
  <si>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</si>
  <si>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</si>
  <si>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</si>
  <si>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</si>
  <si>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</si>
  <si>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</si>
  <si>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</si>
  <si>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</si>
  <si>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</si>
  <si>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</si>
  <si>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</si>
  <si>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</si>
  <si>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</si>
  <si>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</si>
  <si>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</si>
  <si>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</si>
  <si>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</si>
  <si>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</si>
  <si>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</si>
  <si>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</si>
  <si>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</si>
  <si>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</si>
  <si>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</si>
  <si>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</si>
  <si>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</si>
  <si>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</si>
  <si>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</si>
  <si>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</si>
  <si>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</si>
  <si>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</si>
  <si>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</si>
  <si>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</si>
  <si>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</si>
  <si>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</si>
  <si>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</si>
  <si>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</si>
  <si>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</si>
  <si>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</si>
  <si>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</si>
  <si>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</si>
  <si>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</si>
  <si>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</si>
  <si>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</si>
  <si>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</si>
  <si>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</si>
  <si>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</si>
  <si>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</si>
  <si>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</si>
  <si>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</si>
  <si>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</si>
  <si>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</si>
  <si>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</si>
  <si>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</si>
  <si>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</si>
  <si>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</si>
  <si>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</si>
  <si>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</si>
  <si>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</si>
  <si>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</si>
  <si>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</si>
  <si>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</si>
  <si>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</si>
  <si>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</si>
  <si>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</si>
  <si>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</si>
  <si>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</si>
  <si>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</si>
  <si>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</si>
  <si>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</si>
  <si>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</si>
  <si>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</si>
  <si>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</si>
  <si>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</si>
  <si>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</si>
  <si>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</si>
  <si>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</si>
  <si>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</si>
  <si>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</si>
  <si>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</si>
  <si>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</si>
  <si>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</si>
  <si>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</si>
  <si>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</si>
  <si>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</si>
  <si>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</si>
  <si>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</si>
  <si>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</si>
  <si>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</si>
  <si>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</si>
  <si>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</si>
  <si>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</si>
  <si>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</si>
  <si>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</si>
  <si>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</si>
  <si>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</si>
  <si>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</si>
  <si>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</si>
  <si>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</si>
  <si>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</si>
  <si>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</si>
  <si>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</si>
  <si>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</si>
  <si>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</si>
  <si>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</si>
  <si>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</si>
  <si>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</si>
  <si>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</si>
  <si>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</si>
  <si>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</si>
  <si>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</si>
  <si>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</si>
  <si>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</si>
  <si>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</si>
  <si>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</si>
  <si>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</si>
  <si>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</si>
  <si>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</si>
  <si>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</si>
  <si>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</si>
  <si>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</si>
  <si>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</si>
  <si>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</si>
  <si>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</si>
  <si>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</si>
  <si>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</si>
  <si>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</si>
  <si>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</si>
  <si>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</si>
  <si>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</si>
  <si>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</si>
  <si>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</si>
  <si>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</si>
  <si>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</si>
  <si>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</si>
  <si>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</si>
  <si>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</si>
  <si>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</si>
  <si>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</si>
  <si>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</si>
  <si>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</si>
  <si>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</si>
  <si>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</si>
  <si>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</si>
  <si>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</si>
  <si>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</si>
  <si>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</si>
  <si>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</si>
  <si>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</si>
  <si>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</si>
  <si>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</si>
  <si>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</si>
  <si>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</si>
  <si>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</si>
  <si>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</si>
  <si>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</si>
  <si>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</si>
  <si>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</si>
  <si>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</si>
  <si>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</si>
  <si>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</si>
  <si>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</si>
  <si>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</si>
  <si>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</si>
  <si>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</si>
  <si>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</si>
  <si>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</si>
  <si>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</si>
  <si>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</si>
  <si>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</si>
  <si>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</si>
  <si>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</si>
  <si>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</si>
  <si>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</si>
  <si>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</si>
  <si>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</si>
  <si>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</si>
  <si>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</si>
  <si>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</si>
  <si>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</si>
  <si>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</si>
  <si>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</si>
  <si>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</si>
  <si>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</si>
  <si>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</si>
  <si>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</si>
  <si>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</si>
  <si>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</si>
  <si>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</si>
  <si>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</si>
  <si>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</si>
  <si>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</si>
  <si>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</si>
  <si>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</si>
  <si>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</si>
  <si>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</si>
  <si>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</si>
  <si>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</si>
  <si>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</si>
  <si>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</si>
  <si>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</si>
  <si>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</si>
  <si>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</si>
  <si>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</si>
  <si>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</si>
  <si>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</si>
  <si>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</si>
  <si>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</si>
  <si>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</si>
  <si>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</si>
  <si>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</si>
  <si>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</si>
  <si>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</si>
  <si>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</si>
  <si>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</si>
  <si>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</si>
  <si>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</si>
  <si>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</si>
  <si>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</si>
  <si>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</si>
  <si>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</si>
  <si>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</si>
  <si>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</si>
  <si>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</si>
  <si>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</si>
  <si>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</si>
  <si>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</si>
  <si>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</si>
  <si>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</si>
  <si>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</si>
  <si>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</si>
  <si>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</si>
  <si>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</si>
  <si>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</si>
  <si>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</si>
  <si>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</si>
  <si>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</si>
  <si>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</si>
  <si>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</si>
  <si>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</si>
  <si>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</si>
  <si>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</si>
  <si>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</si>
  <si>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</si>
  <si>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</si>
  <si>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</si>
  <si>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</si>
  <si>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</si>
  <si>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</si>
  <si>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</si>
  <si>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</si>
  <si>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</si>
  <si>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</si>
  <si>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</si>
  <si>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</si>
  <si>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</si>
  <si>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</si>
  <si>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</si>
  <si>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</si>
  <si>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</si>
  <si>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</si>
  <si>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</si>
  <si>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</si>
  <si>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</si>
  <si>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</si>
  <si>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</si>
  <si>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</si>
  <si>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</si>
  <si>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</si>
  <si>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</si>
  <si>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</si>
  <si>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</si>
  <si>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</si>
  <si>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</si>
  <si>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</si>
  <si>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</si>
  <si>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</si>
  <si>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</si>
  <si>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</si>
  <si>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</si>
  <si>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</si>
  <si>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</si>
  <si>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</si>
  <si>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</si>
  <si>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</si>
  <si>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</si>
  <si>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</si>
  <si>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</si>
  <si>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</si>
  <si>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</si>
  <si>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</si>
  <si>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</si>
  <si>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</si>
  <si>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</si>
  <si>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</si>
  <si>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</si>
  <si>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</si>
  <si>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</si>
  <si>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</si>
  <si>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</si>
  <si>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</si>
  <si>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</si>
  <si>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</si>
  <si>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</si>
  <si>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</si>
  <si>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</si>
  <si>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</si>
  <si>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</si>
  <si>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</si>
  <si>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</si>
  <si>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</si>
  <si>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</si>
  <si>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</si>
  <si>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</si>
  <si>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</si>
  <si>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</si>
  <si>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</si>
  <si>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</si>
  <si>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</si>
  <si>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</si>
  <si>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</si>
  <si>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</si>
  <si>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</si>
  <si>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</si>
  <si>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</si>
  <si>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</si>
  <si>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</si>
  <si>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</si>
  <si>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</si>
  <si>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</si>
  <si>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</si>
  <si>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</si>
  <si>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</si>
  <si>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</si>
  <si>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</si>
  <si>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</si>
  <si>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</si>
  <si>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</si>
  <si>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</si>
  <si>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</si>
  <si>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</si>
  <si>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</si>
  <si>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</si>
  <si>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</si>
  <si>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</si>
  <si>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</si>
  <si>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</si>
  <si>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</si>
  <si>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</si>
  <si>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</si>
  <si>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</si>
  <si>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</si>
  <si>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</si>
  <si>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</si>
  <si>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</si>
  <si>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</si>
  <si>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</si>
  <si>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</si>
  <si>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</si>
  <si>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</si>
  <si>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</si>
  <si>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</si>
  <si>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</si>
  <si>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</si>
  <si>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</si>
  <si>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</si>
  <si>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</si>
  <si>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</si>
  <si>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</si>
  <si>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</si>
  <si>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</si>
  <si>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</si>
  <si>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</si>
  <si>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</si>
  <si>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</si>
  <si>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</si>
  <si>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</si>
  <si>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</si>
  <si>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</si>
  <si>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</si>
  <si>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</si>
  <si>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</si>
  <si>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</si>
  <si>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</si>
  <si>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</si>
  <si>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</si>
  <si>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</si>
  <si>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</si>
  <si>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</si>
  <si>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</si>
  <si>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</si>
  <si>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</si>
  <si>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</si>
  <si>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</si>
  <si>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</si>
  <si>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</si>
  <si>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</si>
  <si>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</si>
  <si>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</si>
  <si>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</si>
  <si>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</si>
  <si>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</si>
  <si>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</si>
  <si>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</si>
  <si>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</si>
  <si>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</si>
  <si>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</si>
  <si>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</si>
  <si>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</si>
  <si>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</si>
  <si>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</si>
  <si>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</si>
  <si>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</si>
  <si>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</si>
  <si>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</si>
  <si>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</si>
  <si>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</si>
  <si>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</si>
  <si>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</si>
  <si>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</si>
  <si>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</si>
  <si>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</si>
  <si>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</si>
  <si>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</si>
  <si>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</si>
  <si>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</si>
  <si>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</si>
  <si>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</si>
  <si>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</si>
  <si>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</si>
  <si>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</si>
  <si>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</si>
  <si>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</si>
  <si>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</si>
  <si>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</si>
  <si>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</si>
  <si>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</si>
  <si>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</si>
  <si>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</si>
  <si>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</si>
  <si>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</si>
  <si>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</si>
  <si>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</si>
  <si>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</si>
  <si>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</si>
  <si>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</si>
  <si>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</si>
  <si>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</si>
  <si>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</si>
  <si>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</si>
  <si>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</si>
  <si>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</si>
  <si>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</si>
  <si>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</si>
  <si>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</si>
  <si>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</si>
  <si>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</si>
  <si>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</si>
  <si>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</si>
  <si>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</si>
  <si>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</si>
  <si>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</si>
  <si>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</si>
  <si>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</si>
  <si>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</si>
  <si>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</si>
  <si>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</si>
  <si>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</si>
  <si>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</si>
  <si>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</si>
  <si>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</si>
  <si>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</si>
  <si>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</si>
  <si>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</si>
  <si>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</si>
  <si>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</si>
  <si>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</si>
  <si>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</si>
  <si>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</si>
  <si>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</si>
  <si>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</si>
  <si>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</si>
  <si>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</si>
  <si>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</si>
  <si>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</si>
  <si>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</si>
  <si>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</si>
  <si>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</si>
  <si>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</si>
  <si>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</si>
  <si>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</si>
  <si>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</si>
  <si>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</si>
  <si>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</si>
  <si>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</si>
  <si>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</si>
  <si>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</si>
  <si>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</si>
  <si>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</si>
  <si>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</si>
  <si>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</si>
  <si>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</si>
  <si>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</si>
  <si>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</si>
  <si>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</si>
  <si>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</si>
  <si>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</si>
  <si>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</si>
  <si>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</si>
  <si>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</si>
  <si>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</si>
  <si>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</si>
  <si>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</si>
  <si>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</si>
  <si>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</si>
  <si>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</si>
  <si>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</si>
  <si>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</si>
  <si>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</si>
  <si>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</si>
  <si>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</si>
  <si>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</si>
  <si>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</si>
  <si>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</si>
  <si>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</si>
  <si>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</si>
  <si>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</si>
  <si>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</si>
  <si>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</si>
  <si>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</si>
  <si>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</si>
  <si>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</si>
  <si>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</si>
  <si>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</si>
  <si>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</si>
  <si>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</si>
  <si>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</si>
  <si>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</si>
  <si>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</si>
  <si>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</si>
  <si>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</si>
  <si>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</si>
  <si>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</si>
  <si>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</si>
  <si>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</si>
  <si>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</si>
  <si>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</si>
  <si>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</si>
  <si>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</si>
  <si>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</si>
  <si>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</si>
  <si>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</si>
  <si>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</si>
  <si>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</si>
  <si>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</si>
  <si>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</si>
  <si>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</si>
  <si>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</si>
  <si>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</si>
  <si>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</si>
  <si>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</si>
  <si>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</si>
  <si>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</si>
  <si>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</si>
  <si>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</si>
  <si>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</si>
  <si>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</si>
  <si>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</si>
  <si>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</si>
  <si>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</si>
  <si>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</si>
  <si>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</si>
  <si>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</si>
  <si>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</si>
  <si>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</si>
  <si>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</si>
  <si>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</si>
  <si>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</si>
  <si>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</si>
  <si>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</si>
  <si>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</si>
  <si>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</si>
  <si>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</si>
  <si>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</si>
  <si>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</si>
  <si>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</si>
  <si>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</si>
  <si>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</si>
  <si>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</si>
  <si>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</si>
  <si>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</si>
  <si>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</si>
  <si>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</si>
  <si>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</si>
  <si>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</si>
  <si>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</si>
  <si>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</si>
  <si>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</si>
  <si>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</si>
  <si>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</si>
  <si>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</si>
  <si>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</si>
  <si>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</si>
  <si>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</si>
  <si>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</si>
  <si>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</si>
  <si>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</si>
  <si>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</si>
  <si>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</si>
  <si>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</si>
  <si>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</si>
  <si>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</si>
  <si>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</si>
  <si>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</si>
  <si>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</si>
  <si>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</si>
  <si>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</si>
  <si>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</si>
  <si>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</si>
  <si>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</si>
  <si>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</si>
  <si>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</si>
  <si>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</si>
  <si>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</si>
  <si>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</si>
  <si>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</si>
  <si>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</si>
  <si>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</si>
  <si>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</si>
  <si>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</si>
  <si>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</si>
  <si>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</si>
  <si>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</si>
  <si>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</si>
  <si>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</si>
  <si>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</si>
  <si>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</si>
  <si>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</si>
  <si>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</si>
  <si>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</si>
  <si>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</si>
  <si>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</si>
  <si>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</si>
  <si>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</si>
  <si>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</si>
  <si>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</si>
  <si>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</si>
  <si>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</si>
  <si>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</si>
  <si>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</si>
  <si>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</si>
  <si>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</si>
  <si>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</si>
  <si>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</si>
  <si>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</si>
  <si>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</si>
  <si>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</si>
  <si>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</si>
  <si>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</si>
  <si>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</si>
  <si>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</si>
  <si>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</si>
  <si>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</si>
  <si>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</si>
  <si>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</si>
  <si>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</si>
  <si>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</si>
  <si>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</si>
  <si>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</si>
  <si>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</si>
  <si>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</si>
  <si>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</si>
  <si>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</si>
  <si>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</si>
  <si>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</si>
  <si>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</si>
  <si>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</si>
  <si>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</si>
  <si>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</si>
  <si>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</si>
  <si>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</si>
  <si>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</si>
  <si>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</si>
  <si>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</si>
  <si>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</si>
  <si>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</si>
  <si>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</si>
  <si>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</si>
  <si>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</si>
  <si>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</si>
  <si>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</si>
  <si>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</si>
  <si>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</si>
  <si>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</si>
  <si>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</si>
  <si>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</si>
  <si>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</si>
  <si>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</si>
  <si>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</si>
  <si>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</si>
  <si>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</si>
  <si>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</si>
  <si>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</si>
  <si>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</si>
  <si>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</si>
  <si>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</si>
  <si>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</si>
  <si>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</si>
  <si>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</si>
  <si>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</si>
  <si>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</si>
  <si>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</si>
  <si>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</si>
  <si>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</si>
  <si>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</si>
  <si>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</si>
  <si>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</si>
  <si>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</si>
  <si>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</si>
  <si>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</si>
  <si>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</si>
  <si>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</si>
  <si>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</si>
  <si>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</si>
  <si>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</si>
  <si>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</si>
  <si>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</si>
  <si>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</si>
  <si>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</si>
  <si>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</si>
  <si>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</si>
  <si>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</si>
  <si>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</si>
  <si>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</si>
  <si>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</si>
  <si>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</si>
  <si>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</si>
  <si>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</si>
  <si>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</si>
  <si>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</si>
  <si>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</si>
  <si>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</si>
  <si>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</si>
  <si>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</si>
  <si>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</si>
  <si>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</si>
  <si>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</si>
  <si>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</si>
  <si>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</si>
  <si>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</si>
  <si>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</si>
  <si>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</si>
  <si>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</si>
  <si>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</si>
  <si>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</si>
  <si>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</si>
  <si>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</si>
  <si>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</si>
  <si>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</si>
  <si>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</si>
  <si>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</si>
  <si>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</si>
  <si>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</si>
  <si>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</si>
  <si>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</si>
  <si>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</si>
  <si>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</si>
  <si>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</si>
  <si>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</si>
  <si>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</si>
  <si>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</si>
  <si>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</si>
  <si>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</si>
  <si>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</si>
  <si>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</si>
  <si>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</si>
  <si>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</si>
  <si>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</si>
  <si>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</si>
  <si>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</si>
  <si>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</si>
  <si>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</si>
  <si>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</si>
  <si>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</si>
  <si>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</si>
  <si>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</si>
  <si>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</si>
  <si>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</si>
  <si>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</si>
  <si>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</si>
  <si>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</si>
  <si>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</si>
  <si>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</si>
  <si>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</si>
  <si>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</si>
  <si>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</si>
  <si>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</si>
  <si>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</si>
  <si>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</si>
  <si>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</si>
  <si>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</si>
  <si>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</si>
  <si>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</si>
  <si>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</si>
  <si>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</si>
  <si>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</si>
  <si>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</si>
  <si>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</si>
  <si>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</si>
  <si>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</si>
  <si>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</si>
  <si>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</si>
  <si>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</si>
  <si>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</si>
  <si>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</si>
  <si>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</si>
  <si>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</si>
  <si>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</si>
  <si>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</si>
  <si>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</si>
  <si>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</si>
  <si>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</si>
  <si>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</si>
  <si>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</si>
  <si>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</si>
  <si>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</si>
  <si>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</si>
  <si>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</si>
  <si>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</si>
  <si>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</si>
  <si>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</si>
  <si>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</si>
  <si>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</si>
  <si>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</si>
  <si>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</si>
  <si>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</si>
  <si>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</si>
  <si>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</si>
  <si>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</si>
  <si>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</si>
  <si>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</si>
  <si>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</si>
  <si>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</si>
  <si>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</si>
  <si>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</si>
  <si>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</si>
  <si>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</si>
  <si>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</si>
  <si>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</si>
  <si>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</si>
  <si>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</si>
  <si>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</si>
  <si>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</si>
  <si>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</si>
  <si>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</si>
  <si>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</si>
  <si>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</si>
  <si>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</si>
  <si>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</si>
  <si>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</si>
  <si>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</si>
  <si>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</si>
  <si>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</si>
  <si>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</si>
  <si>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</si>
  <si>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</si>
  <si>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</si>
  <si>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</si>
  <si>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</si>
  <si>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</si>
  <si>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</si>
  <si>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</si>
  <si>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</si>
  <si>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</si>
  <si>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</si>
  <si>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</si>
  <si>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</si>
  <si>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</si>
  <si>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</si>
  <si>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</si>
  <si>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</si>
  <si>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</si>
  <si>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</si>
  <si>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</si>
  <si>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</si>
  <si>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</si>
  <si>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</si>
  <si>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</si>
  <si>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</si>
  <si>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</si>
  <si>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</si>
  <si>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</si>
  <si>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</si>
  <si>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</si>
  <si>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</si>
  <si>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</si>
  <si>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</si>
  <si>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</si>
  <si>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</si>
  <si>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</si>
  <si>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</si>
  <si>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</si>
  <si>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</si>
  <si>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</si>
  <si>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</si>
  <si>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</si>
  <si>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</si>
  <si>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</si>
  <si>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</si>
  <si>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</si>
  <si>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</si>
  <si>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</si>
  <si>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</si>
  <si>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</si>
  <si>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</si>
  <si>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</si>
  <si>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</si>
  <si>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</si>
  <si>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</si>
  <si>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</si>
  <si>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</si>
  <si>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</si>
  <si>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</si>
  <si>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</si>
  <si>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</si>
  <si>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</si>
  <si>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</si>
  <si>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</si>
  <si>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</si>
  <si>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</si>
  <si>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</si>
  <si>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</si>
  <si>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</si>
  <si>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</si>
  <si>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</si>
  <si>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</si>
  <si>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</si>
  <si>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</si>
  <si>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</si>
  <si>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</si>
  <si>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</si>
  <si>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</si>
  <si>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</si>
  <si>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</si>
  <si>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</si>
  <si>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</si>
  <si>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</si>
  <si>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</si>
  <si>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</si>
  <si>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</si>
  <si>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</si>
  <si>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</si>
  <si>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</si>
  <si>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</si>
  <si>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</si>
  <si>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</si>
  <si>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</si>
  <si>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</si>
  <si>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</si>
  <si>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</si>
  <si>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</si>
  <si>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</si>
  <si>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</si>
  <si>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</si>
  <si>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</si>
  <si>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</si>
  <si>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</si>
  <si>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</si>
  <si>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</si>
  <si>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</si>
  <si>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</si>
  <si>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</si>
  <si>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</si>
  <si>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</si>
  <si>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</si>
  <si>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</si>
  <si>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</si>
  <si>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</si>
  <si>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</si>
  <si>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</si>
  <si>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</si>
  <si>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</si>
  <si>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</si>
  <si>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</si>
  <si>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</si>
  <si>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</si>
  <si>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</si>
  <si>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</si>
  <si>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</si>
  <si>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</si>
  <si>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</si>
  <si>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</si>
  <si>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</si>
  <si>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</si>
  <si>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</si>
  <si>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</si>
  <si>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</si>
  <si>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</si>
  <si>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</si>
  <si>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</si>
  <si>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</si>
  <si>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</si>
  <si>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</si>
  <si>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</si>
  <si>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</si>
  <si>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</si>
  <si>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</si>
  <si>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</si>
  <si>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</si>
  <si>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</si>
  <si>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</si>
  <si>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</si>
  <si>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</si>
  <si>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</si>
  <si>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</si>
  <si>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</si>
  <si>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</si>
  <si>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</si>
  <si>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</si>
  <si>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</si>
  <si>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</si>
  <si>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</si>
  <si>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</si>
  <si>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</si>
  <si>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</si>
  <si>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</si>
  <si>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</si>
  <si>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</si>
  <si>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</si>
  <si>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</si>
  <si>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</si>
  <si>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</si>
  <si>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</si>
  <si>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</si>
  <si>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</si>
  <si>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</si>
  <si>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</si>
  <si>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</si>
  <si>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</si>
  <si>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</si>
  <si>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</si>
  <si>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</si>
  <si>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</si>
  <si>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</si>
  <si>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</si>
  <si>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</si>
  <si>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</si>
  <si>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</si>
  <si>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</si>
  <si>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</si>
  <si>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</si>
  <si>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</si>
  <si>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</si>
  <si>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</si>
  <si>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</si>
  <si>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</si>
  <si>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</si>
  <si>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</si>
  <si>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</si>
  <si>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</si>
  <si>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</si>
  <si>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</si>
  <si>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</si>
  <si>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</si>
  <si>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</si>
  <si>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</si>
  <si>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</si>
  <si>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</si>
  <si>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</si>
  <si>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</si>
  <si>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</si>
  <si>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</si>
  <si>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</si>
  <si>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</si>
  <si>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</si>
  <si>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</si>
  <si>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</si>
  <si>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</si>
  <si>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</si>
  <si>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</si>
  <si>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</si>
  <si>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</si>
  <si>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</si>
  <si>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</si>
  <si>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</si>
  <si>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</si>
  <si>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</si>
  <si>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</si>
  <si>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</si>
  <si>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</si>
  <si>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</si>
  <si>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</si>
  <si>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</si>
  <si>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</si>
  <si>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</si>
  <si>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</si>
  <si>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</si>
  <si>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</si>
  <si>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</si>
  <si>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</si>
  <si>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</si>
  <si>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</si>
  <si>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</si>
  <si>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</si>
  <si>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</si>
  <si>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</si>
  <si>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</si>
  <si>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</si>
  <si>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</si>
  <si>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</si>
  <si>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</si>
  <si>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</si>
  <si>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</si>
  <si>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</si>
  <si>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</si>
  <si>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</si>
  <si>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</si>
  <si>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</si>
  <si>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</si>
  <si>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</si>
  <si>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</si>
  <si>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</si>
  <si>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</si>
  <si>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</si>
  <si>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</si>
  <si>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</si>
  <si>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</si>
  <si>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</si>
  <si>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</si>
  <si>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</si>
  <si>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</si>
  <si>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</si>
  <si>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</si>
  <si>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</si>
  <si>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</si>
  <si>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</si>
  <si>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</si>
  <si>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</si>
  <si>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</si>
  <si>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</si>
  <si>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</si>
  <si>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</si>
  <si>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</si>
  <si>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</si>
  <si>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</si>
  <si>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</si>
  <si>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</si>
  <si>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</si>
  <si>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</si>
  <si>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</si>
  <si>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</si>
  <si>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</si>
  <si>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</si>
  <si>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</si>
  <si>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</si>
  <si>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</si>
  <si>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</si>
  <si>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</si>
  <si>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</si>
  <si>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</si>
  <si>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</si>
  <si>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</si>
  <si>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</si>
  <si>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</si>
  <si>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</si>
  <si>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</si>
  <si>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</si>
  <si>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</si>
  <si>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</si>
  <si>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</si>
  <si>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</si>
  <si>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</si>
  <si>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</si>
  <si>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</si>
  <si>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</si>
  <si>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</si>
  <si>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</si>
  <si>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</si>
  <si>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</si>
  <si>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</si>
  <si>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</si>
  <si>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</si>
  <si>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</si>
  <si>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</si>
  <si>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</si>
  <si>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</si>
  <si>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</si>
  <si>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</si>
  <si>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</si>
  <si>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</si>
  <si>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</si>
  <si>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</si>
  <si>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</si>
  <si>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</si>
  <si>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</si>
  <si>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</si>
  <si>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</si>
  <si>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</si>
  <si>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</si>
  <si>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</si>
  <si>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</si>
  <si>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</si>
  <si>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</si>
  <si>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</si>
  <si>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</si>
  <si>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</si>
  <si>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</si>
  <si>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</si>
  <si>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</si>
  <si>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</si>
  <si>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</si>
  <si>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</si>
  <si>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</si>
  <si>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</si>
  <si>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</si>
  <si>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</si>
  <si>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</si>
  <si>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</si>
  <si>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</si>
  <si>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</si>
  <si>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</si>
  <si>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</si>
  <si>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</si>
  <si>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</si>
  <si>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</si>
  <si>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</si>
  <si>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</si>
  <si>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</si>
  <si>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</si>
  <si>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</si>
  <si>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</si>
  <si>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</si>
  <si>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</si>
  <si>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</si>
  <si>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</si>
  <si>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</si>
  <si>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</si>
  <si>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</si>
  <si>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</si>
  <si>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</si>
  <si>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</si>
  <si>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</si>
  <si>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</si>
  <si>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</si>
  <si>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</si>
  <si>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</si>
  <si>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</si>
  <si>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</si>
  <si>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</si>
  <si>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</si>
  <si>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</si>
  <si>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</si>
  <si>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</si>
  <si>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</si>
  <si>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</si>
  <si>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</si>
  <si>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</si>
  <si>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</si>
  <si>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</si>
  <si>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</si>
  <si>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</si>
  <si>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</si>
  <si>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</si>
  <si>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</si>
  <si>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</si>
  <si>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</si>
  <si>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</si>
  <si>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</si>
  <si>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</si>
  <si>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</si>
  <si>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</si>
  <si>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</si>
  <si>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</si>
  <si>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</si>
  <si>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</si>
  <si>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</si>
  <si>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</si>
  <si>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</si>
  <si>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</si>
  <si>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</si>
  <si>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</si>
  <si>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</si>
  <si>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</si>
  <si>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</si>
  <si>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</si>
  <si>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</si>
  <si>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</si>
  <si>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</si>
  <si>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</si>
  <si>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</si>
  <si>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</si>
  <si>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</si>
  <si>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</si>
  <si>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</si>
  <si>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</si>
  <si>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</si>
  <si>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</si>
  <si>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</si>
  <si>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</si>
  <si>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</si>
  <si>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</si>
  <si>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</si>
  <si>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</si>
  <si>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</si>
  <si>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</si>
  <si>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</si>
  <si>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</si>
  <si>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</si>
  <si>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</si>
  <si>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</si>
  <si>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</si>
  <si>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</si>
  <si>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</si>
  <si>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</si>
  <si>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</si>
  <si>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</si>
  <si>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</si>
  <si>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</si>
  <si>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</si>
  <si>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</si>
  <si>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</si>
  <si>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</si>
  <si>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</si>
  <si>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</si>
  <si>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</si>
  <si>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</si>
  <si>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</si>
  <si>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</si>
  <si>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</si>
  <si>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</si>
  <si>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</si>
  <si>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</si>
  <si>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</si>
  <si>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</si>
  <si>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</si>
  <si>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</si>
  <si>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</si>
  <si>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</si>
  <si>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</si>
  <si>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</si>
  <si>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</si>
  <si>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</si>
  <si>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</si>
  <si>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</si>
  <si>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</si>
  <si>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</si>
  <si>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</si>
  <si>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</si>
  <si>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</si>
  <si>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</si>
  <si>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</si>
  <si>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</si>
  <si>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</si>
  <si>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</si>
  <si>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</si>
  <si>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</si>
  <si>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</si>
  <si>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</si>
  <si>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</si>
  <si>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</si>
  <si>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</si>
  <si>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</si>
  <si>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</si>
  <si>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</si>
  <si>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</si>
  <si>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</si>
  <si>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</si>
  <si>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</si>
  <si>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</si>
  <si>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</si>
  <si>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</si>
  <si>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</si>
  <si>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</si>
  <si>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</si>
  <si>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</si>
  <si>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</si>
  <si>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</si>
  <si>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</si>
  <si>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</si>
  <si>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</si>
  <si>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</si>
  <si>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</si>
  <si>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</si>
  <si>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</si>
  <si>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</si>
  <si>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</si>
  <si>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</si>
  <si>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</si>
  <si>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</si>
  <si>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</si>
  <si>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</si>
  <si>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</si>
  <si>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</si>
  <si>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</si>
  <si>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</si>
  <si>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</si>
  <si>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</si>
  <si>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</si>
  <si>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</si>
  <si>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</si>
  <si>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</si>
  <si>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</si>
  <si>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</si>
  <si>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</si>
  <si>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</si>
  <si>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</si>
  <si>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</si>
  <si>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</si>
  <si>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</si>
  <si>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</si>
  <si>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</si>
  <si>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</si>
  <si>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</si>
  <si>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</si>
  <si>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</si>
  <si>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</si>
  <si>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</si>
  <si>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</si>
  <si>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</si>
  <si>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</si>
  <si>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</si>
  <si>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</si>
  <si>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</si>
  <si>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</si>
  <si>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</si>
  <si>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</si>
  <si>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</si>
  <si>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</si>
  <si>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</si>
  <si>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</si>
  <si>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</si>
  <si>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</si>
  <si>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</si>
  <si>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</si>
  <si>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</si>
  <si>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</si>
  <si>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</si>
  <si>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</si>
  <si>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</si>
  <si>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</si>
  <si>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</si>
  <si>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</si>
  <si>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</si>
  <si>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</si>
  <si>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</si>
  <si>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</si>
  <si>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</si>
  <si>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</si>
  <si>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</si>
  <si>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</si>
  <si>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</si>
  <si>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</si>
  <si>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</si>
  <si>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</si>
  <si>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</si>
  <si>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</si>
  <si>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</si>
  <si>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</si>
  <si>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</si>
  <si>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</si>
  <si>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</si>
  <si>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</si>
  <si>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</si>
  <si>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</si>
  <si>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</si>
  <si>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</si>
  <si>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</si>
  <si>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</si>
  <si>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</si>
  <si>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</si>
  <si>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</si>
  <si>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</si>
  <si>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</si>
  <si>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</si>
  <si>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</si>
  <si>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</si>
  <si>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</si>
  <si>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</si>
  <si>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</si>
  <si>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</si>
  <si>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</si>
  <si>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</si>
  <si>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</si>
  <si>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</si>
  <si>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</si>
  <si>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</si>
  <si>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</si>
  <si>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</si>
  <si>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</si>
  <si>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</si>
  <si>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</si>
  <si>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</si>
  <si>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</si>
  <si>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</si>
  <si>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</si>
  <si>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</si>
  <si>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</si>
  <si>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</si>
  <si>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</si>
  <si>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</si>
  <si>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</si>
  <si>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</si>
  <si>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</si>
  <si>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</si>
  <si>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</si>
  <si>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</si>
  <si>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</si>
  <si>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</si>
  <si>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</si>
  <si>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</si>
  <si>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</si>
  <si>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</si>
  <si>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</si>
  <si>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</si>
  <si>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</si>
  <si>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</si>
  <si>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</si>
  <si>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</si>
  <si>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</si>
  <si>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</si>
  <si>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</si>
  <si>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</si>
  <si>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</si>
  <si>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</si>
  <si>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</si>
  <si>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</si>
  <si>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</si>
  <si>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</si>
  <si>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</si>
  <si>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</si>
  <si>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</si>
  <si>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</si>
  <si>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</si>
  <si>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</si>
  <si>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</si>
  <si>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</si>
  <si>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</si>
  <si>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</si>
  <si>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</si>
  <si>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</si>
  <si>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</si>
  <si>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</si>
  <si>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</si>
  <si>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</si>
  <si>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</si>
  <si>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</si>
  <si>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</si>
  <si>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</si>
  <si>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</si>
  <si>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</si>
  <si>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</si>
  <si>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</si>
  <si>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</si>
  <si>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</si>
  <si>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</si>
  <si>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</si>
  <si>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</si>
  <si>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</si>
  <si>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</si>
  <si>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</si>
  <si>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</si>
  <si>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</si>
  <si>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</si>
  <si>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</si>
  <si>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</si>
  <si>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</si>
  <si>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</si>
  <si>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</si>
  <si>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</si>
  <si>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</si>
  <si>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</si>
  <si>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</si>
  <si>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</si>
  <si>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</si>
  <si>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</si>
  <si>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</si>
  <si>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</si>
  <si>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</si>
  <si>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</si>
  <si>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</si>
  <si>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</si>
  <si>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</si>
  <si>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</si>
  <si>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</si>
  <si>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</si>
  <si>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</si>
  <si>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</si>
  <si>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</si>
  <si>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</si>
  <si>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</si>
  <si>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</si>
  <si>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</si>
  <si>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</si>
  <si>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</si>
  <si>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</si>
  <si>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</si>
  <si>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</si>
  <si>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</si>
  <si>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</si>
  <si>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</si>
  <si>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</si>
  <si>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</si>
  <si>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</si>
  <si>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</si>
  <si>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</si>
  <si>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</si>
  <si>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</si>
  <si>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</si>
  <si>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</si>
  <si>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</si>
  <si>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</si>
  <si>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</si>
  <si>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</si>
  <si>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</si>
  <si>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</si>
  <si>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</si>
  <si>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</si>
  <si>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</si>
  <si>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</si>
  <si>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</si>
  <si>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</si>
  <si>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</si>
  <si>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</si>
  <si>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</si>
  <si>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</si>
  <si>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</si>
  <si>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</si>
  <si>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</si>
  <si>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</si>
  <si>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</si>
  <si>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</si>
  <si>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</si>
  <si>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</si>
  <si>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</si>
  <si>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</si>
  <si>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</si>
  <si>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</si>
  <si>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</si>
  <si>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</si>
  <si>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</si>
  <si>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</si>
  <si>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</si>
  <si>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</si>
  <si>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</si>
  <si>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</si>
  <si>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</si>
  <si>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</si>
  <si>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</si>
  <si>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</si>
  <si>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</si>
  <si>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</si>
  <si>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</si>
  <si>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</si>
  <si>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</si>
  <si>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</si>
  <si>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</si>
  <si>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</si>
  <si>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</si>
  <si>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</si>
  <si>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</si>
  <si>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</si>
  <si>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</si>
  <si>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</si>
  <si>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</si>
  <si>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</si>
  <si>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</si>
  <si>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</si>
  <si>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</si>
  <si>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</si>
  <si>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</si>
  <si>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</si>
  <si>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</si>
  <si>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</si>
  <si>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</si>
  <si>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</si>
  <si>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</si>
  <si>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</si>
  <si>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</si>
  <si>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</si>
  <si>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</si>
  <si>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</si>
  <si>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</si>
  <si>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</si>
  <si>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</si>
  <si>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</si>
  <si>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</si>
  <si>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</si>
  <si>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</si>
  <si>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</si>
  <si>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</si>
  <si>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</si>
  <si>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</si>
  <si>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</si>
  <si>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</si>
  <si>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</si>
  <si>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</si>
  <si>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</si>
  <si>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</si>
  <si>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</si>
  <si>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</si>
  <si>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</si>
  <si>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</si>
  <si>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</si>
  <si>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</si>
  <si>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</si>
  <si>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</si>
  <si>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</si>
  <si>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</si>
  <si>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</si>
  <si>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</si>
  <si>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</si>
  <si>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</si>
  <si>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</si>
  <si>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</si>
  <si>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</si>
  <si>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</si>
  <si>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</si>
  <si>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</si>
  <si>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</si>
  <si>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</si>
  <si>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</si>
  <si>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</si>
  <si>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</si>
  <si>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</si>
  <si>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</si>
  <si>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</si>
  <si>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</si>
  <si>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</si>
  <si>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</si>
  <si>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</si>
  <si>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</si>
  <si>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</si>
  <si>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</si>
  <si>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</si>
  <si>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</si>
  <si>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</si>
  <si>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</si>
  <si>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</si>
  <si>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</si>
  <si>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</si>
  <si>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</si>
  <si>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</si>
  <si>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</si>
  <si>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</si>
  <si>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</si>
  <si>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</si>
  <si>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</si>
  <si>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</si>
  <si>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</si>
  <si>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</si>
  <si>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</si>
  <si>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</si>
  <si>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</si>
  <si>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</si>
  <si>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</si>
  <si>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</si>
  <si>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</si>
  <si>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</si>
  <si>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</si>
  <si>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</si>
  <si>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</si>
  <si>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</si>
  <si>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</si>
  <si>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</si>
  <si>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</si>
  <si>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</si>
  <si>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</si>
  <si>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</si>
  <si>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</si>
  <si>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</si>
  <si>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</si>
  <si>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</si>
  <si>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</si>
  <si>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</si>
  <si>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</si>
  <si>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</si>
  <si>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</si>
  <si>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</si>
  <si>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</si>
  <si>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</si>
  <si>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</si>
  <si>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</si>
  <si>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</si>
  <si>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</si>
  <si>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</si>
  <si>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</si>
  <si>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</si>
  <si>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</si>
  <si>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</si>
  <si>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</si>
  <si>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</si>
  <si>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</si>
  <si>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</si>
  <si>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</si>
  <si>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</si>
  <si>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</si>
  <si>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</si>
  <si>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</si>
  <si>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</si>
  <si>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</si>
  <si>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</si>
  <si>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</si>
  <si>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</si>
  <si>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</si>
  <si>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</si>
  <si>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</si>
  <si>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</si>
  <si>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</si>
  <si>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</si>
  <si>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</si>
  <si>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</si>
  <si>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</si>
  <si>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</si>
  <si>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</si>
  <si>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</si>
  <si>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</si>
  <si>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</si>
  <si>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</si>
  <si>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</si>
  <si>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</si>
  <si>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</si>
  <si>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</si>
  <si>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</si>
  <si>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</si>
  <si>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</si>
  <si>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</si>
  <si>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</si>
  <si>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</si>
  <si>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</si>
  <si>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</si>
  <si>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</si>
  <si>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</si>
  <si>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</si>
  <si>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</si>
  <si>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</si>
  <si>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企业</t>
  </si>
  <si>
    <t>北京市</t>
  </si>
  <si>
    <t>核定资产</t>
  </si>
  <si>
    <t>房地产市场价值</t>
  </si>
  <si>
    <t>Ⅺ-平1</t>
  </si>
  <si>
    <t>现房</t>
  </si>
  <si>
    <t>地上</t>
  </si>
  <si>
    <t>是</t>
  </si>
  <si>
    <r>
      <t>平谷区峪口镇南杨家桥中路3</t>
    </r>
    <r>
      <rPr>
        <sz val="11"/>
        <color theme="1"/>
        <rFont val="宋体"/>
        <family val="3"/>
        <charset val="134"/>
        <scheme val="minor"/>
      </rPr>
      <t>9号26幢1层全部</t>
    </r>
    <phoneticPr fontId="135" type="noConversion"/>
  </si>
  <si>
    <t>工交</t>
    <phoneticPr fontId="135" type="noConversion"/>
  </si>
  <si>
    <r>
      <t>平谷区峪口镇南杨家桥中路39号19幢1层全部</t>
    </r>
    <r>
      <rPr>
        <sz val="11"/>
        <color theme="1"/>
        <rFont val="宋体"/>
        <family val="2"/>
        <scheme val="minor"/>
      </rPr>
      <t/>
    </r>
    <phoneticPr fontId="135" type="noConversion"/>
  </si>
  <si>
    <r>
      <t>平谷区峪口镇南杨家桥中路39号24幢1层全部</t>
    </r>
    <r>
      <rPr>
        <sz val="11"/>
        <color theme="1"/>
        <rFont val="宋体"/>
        <family val="2"/>
        <scheme val="minor"/>
      </rPr>
      <t/>
    </r>
    <phoneticPr fontId="135" type="noConversion"/>
  </si>
  <si>
    <r>
      <t>平谷区峪口镇南杨家桥中路39号17幢1层全部</t>
    </r>
    <r>
      <rPr>
        <sz val="11"/>
        <color theme="1"/>
        <rFont val="宋体"/>
        <family val="2"/>
        <scheme val="minor"/>
      </rPr>
      <t/>
    </r>
    <phoneticPr fontId="135" type="noConversion"/>
  </si>
  <si>
    <r>
      <t>平谷区峪口镇南杨家桥中路39号5幢1层全部</t>
    </r>
    <r>
      <rPr>
        <sz val="11"/>
        <color theme="1"/>
        <rFont val="宋体"/>
        <family val="2"/>
        <scheme val="minor"/>
      </rPr>
      <t/>
    </r>
    <phoneticPr fontId="135" type="noConversion"/>
  </si>
  <si>
    <r>
      <t>平谷区峪口镇南杨家桥中路39号2幢1层全部</t>
    </r>
    <r>
      <rPr>
        <sz val="11"/>
        <color theme="1"/>
        <rFont val="宋体"/>
        <family val="2"/>
        <scheme val="minor"/>
      </rPr>
      <t/>
    </r>
    <phoneticPr fontId="135" type="noConversion"/>
  </si>
  <si>
    <r>
      <t>平谷区峪口镇南杨家桥中路39号16幢1层全部</t>
    </r>
    <r>
      <rPr>
        <sz val="11"/>
        <color theme="1"/>
        <rFont val="宋体"/>
        <family val="2"/>
        <scheme val="minor"/>
      </rPr>
      <t/>
    </r>
    <phoneticPr fontId="135" type="noConversion"/>
  </si>
  <si>
    <r>
      <t>平谷区峪口镇南杨家桥中路39号8幢1-2层全部</t>
    </r>
    <r>
      <rPr>
        <sz val="11"/>
        <color theme="1"/>
        <rFont val="宋体"/>
        <family val="2"/>
        <scheme val="minor"/>
      </rPr>
      <t/>
    </r>
    <phoneticPr fontId="135" type="noConversion"/>
  </si>
  <si>
    <r>
      <t>平谷区峪口镇南杨家桥中路39号11幢1层全部</t>
    </r>
    <r>
      <rPr>
        <sz val="11"/>
        <color theme="1"/>
        <rFont val="宋体"/>
        <family val="2"/>
        <scheme val="minor"/>
      </rPr>
      <t/>
    </r>
    <phoneticPr fontId="135" type="noConversion"/>
  </si>
  <si>
    <r>
      <t>平谷区峪口镇南杨家桥中路39号22幢1层全部</t>
    </r>
    <r>
      <rPr>
        <sz val="11"/>
        <color theme="1"/>
        <rFont val="宋体"/>
        <family val="2"/>
        <scheme val="minor"/>
      </rPr>
      <t/>
    </r>
    <phoneticPr fontId="135" type="noConversion"/>
  </si>
  <si>
    <r>
      <t>平谷区峪口镇南杨家桥中路39号9幢1层全部</t>
    </r>
    <r>
      <rPr>
        <sz val="11"/>
        <color theme="1"/>
        <rFont val="宋体"/>
        <family val="2"/>
        <scheme val="minor"/>
      </rPr>
      <t/>
    </r>
    <phoneticPr fontId="135" type="noConversion"/>
  </si>
  <si>
    <r>
      <t>平谷区峪口镇南杨家桥中路39号15幢1层全部</t>
    </r>
    <r>
      <rPr>
        <sz val="11"/>
        <color theme="1"/>
        <rFont val="宋体"/>
        <family val="2"/>
        <scheme val="minor"/>
      </rPr>
      <t/>
    </r>
    <phoneticPr fontId="135" type="noConversion"/>
  </si>
  <si>
    <r>
      <t>平谷区峪口镇南杨家桥中路39号13幢1层全部</t>
    </r>
    <r>
      <rPr>
        <sz val="11"/>
        <color theme="1"/>
        <rFont val="宋体"/>
        <family val="2"/>
        <scheme val="minor"/>
      </rPr>
      <t/>
    </r>
    <phoneticPr fontId="135" type="noConversion"/>
  </si>
  <si>
    <r>
      <t>平谷区峪口镇南杨家桥中路39号25幢1层全部</t>
    </r>
    <r>
      <rPr>
        <sz val="11"/>
        <color theme="1"/>
        <rFont val="宋体"/>
        <family val="2"/>
        <scheme val="minor"/>
      </rPr>
      <t/>
    </r>
    <phoneticPr fontId="135" type="noConversion"/>
  </si>
  <si>
    <r>
      <t>平谷区峪口镇南杨家桥中路39号27幢1层全部</t>
    </r>
    <r>
      <rPr>
        <sz val="11"/>
        <color theme="1"/>
        <rFont val="宋体"/>
        <family val="2"/>
        <scheme val="minor"/>
      </rPr>
      <t/>
    </r>
    <phoneticPr fontId="135" type="noConversion"/>
  </si>
  <si>
    <r>
      <t>平谷区峪口镇南杨家桥中路39号23幢1层全部</t>
    </r>
    <r>
      <rPr>
        <sz val="11"/>
        <color theme="1"/>
        <rFont val="宋体"/>
        <family val="2"/>
        <scheme val="minor"/>
      </rPr>
      <t/>
    </r>
    <phoneticPr fontId="135" type="noConversion"/>
  </si>
  <si>
    <r>
      <t>平谷区峪口镇南杨家桥中路39号7幢1层全部</t>
    </r>
    <r>
      <rPr>
        <sz val="11"/>
        <color theme="1"/>
        <rFont val="宋体"/>
        <family val="2"/>
        <scheme val="minor"/>
      </rPr>
      <t/>
    </r>
    <phoneticPr fontId="135" type="noConversion"/>
  </si>
  <si>
    <r>
      <t>平谷区峪口镇南杨家桥中路39号1幢1层全部</t>
    </r>
    <r>
      <rPr>
        <sz val="11"/>
        <color theme="1"/>
        <rFont val="宋体"/>
        <family val="2"/>
        <scheme val="minor"/>
      </rPr>
      <t/>
    </r>
    <phoneticPr fontId="135" type="noConversion"/>
  </si>
  <si>
    <r>
      <t>平谷区峪口镇南杨家桥中路39号18幢1层全部</t>
    </r>
    <r>
      <rPr>
        <sz val="11"/>
        <color theme="1"/>
        <rFont val="宋体"/>
        <family val="2"/>
        <scheme val="minor"/>
      </rPr>
      <t/>
    </r>
    <phoneticPr fontId="135" type="noConversion"/>
  </si>
  <si>
    <r>
      <t>平谷区峪口镇南杨家桥中路39号12幢1层全部</t>
    </r>
    <r>
      <rPr>
        <sz val="11"/>
        <color theme="1"/>
        <rFont val="宋体"/>
        <family val="2"/>
        <scheme val="minor"/>
      </rPr>
      <t/>
    </r>
    <phoneticPr fontId="135" type="noConversion"/>
  </si>
  <si>
    <r>
      <t>平谷区峪口镇南杨家桥中路39号20幢1层全部</t>
    </r>
    <r>
      <rPr>
        <sz val="11"/>
        <color theme="1"/>
        <rFont val="宋体"/>
        <family val="2"/>
        <scheme val="minor"/>
      </rPr>
      <t/>
    </r>
    <phoneticPr fontId="135" type="noConversion"/>
  </si>
  <si>
    <r>
      <t>平谷区峪口镇南杨家桥中路39号3幢1层全部</t>
    </r>
    <r>
      <rPr>
        <sz val="11"/>
        <color theme="1"/>
        <rFont val="宋体"/>
        <family val="2"/>
        <scheme val="minor"/>
      </rPr>
      <t/>
    </r>
    <phoneticPr fontId="135" type="noConversion"/>
  </si>
  <si>
    <r>
      <t>平谷区峪口镇南杨家桥中路39号10幢1层全部</t>
    </r>
    <r>
      <rPr>
        <sz val="11"/>
        <color theme="1"/>
        <rFont val="宋体"/>
        <family val="2"/>
        <scheme val="minor"/>
      </rPr>
      <t/>
    </r>
    <phoneticPr fontId="135" type="noConversion"/>
  </si>
  <si>
    <r>
      <t>平谷区峪口镇南杨家桥中路39号14幢1层全部</t>
    </r>
    <r>
      <rPr>
        <sz val="11"/>
        <color theme="1"/>
        <rFont val="宋体"/>
        <family val="2"/>
        <scheme val="minor"/>
      </rPr>
      <t/>
    </r>
    <phoneticPr fontId="135" type="noConversion"/>
  </si>
  <si>
    <r>
      <t>平谷区峪口镇南杨家桥中路39号6幢1层全部</t>
    </r>
    <r>
      <rPr>
        <sz val="11"/>
        <color theme="1"/>
        <rFont val="宋体"/>
        <family val="2"/>
        <scheme val="minor"/>
      </rPr>
      <t/>
    </r>
    <phoneticPr fontId="135" type="noConversion"/>
  </si>
  <si>
    <r>
      <t>平谷区峪口镇南杨家桥中路39号21幢1层全部</t>
    </r>
    <r>
      <rPr>
        <sz val="11"/>
        <color theme="1"/>
        <rFont val="宋体"/>
        <family val="2"/>
        <scheme val="minor"/>
      </rPr>
      <t/>
    </r>
    <phoneticPr fontId="135" type="noConversion"/>
  </si>
  <si>
    <t>工业</t>
    <phoneticPr fontId="8" type="noConversion"/>
  </si>
  <si>
    <t>成新度</t>
  </si>
  <si>
    <r>
      <t>平谷区峪口镇南杨家桥中路39号4幢1层全部</t>
    </r>
    <r>
      <rPr>
        <sz val="11"/>
        <color theme="1"/>
        <rFont val="宋体"/>
        <family val="2"/>
        <scheme val="minor"/>
      </rPr>
      <t/>
    </r>
    <phoneticPr fontId="135" type="noConversion"/>
  </si>
  <si>
    <t>混合</t>
    <phoneticPr fontId="135" type="noConversion"/>
  </si>
  <si>
    <t>砖木</t>
    <phoneticPr fontId="135" type="noConversion"/>
  </si>
  <si>
    <t>自定义容积率</t>
  </si>
  <si>
    <t>通路</t>
  </si>
  <si>
    <t>通电</t>
  </si>
  <si>
    <t>通讯</t>
  </si>
  <si>
    <t>通上水</t>
  </si>
  <si>
    <t>通下水</t>
  </si>
  <si>
    <t>平整</t>
  </si>
  <si>
    <t>与级别开发程度一致</t>
  </si>
  <si>
    <t>按公示增长率计算</t>
  </si>
  <si>
    <t>2026-1</t>
    <phoneticPr fontId="4" type="noConversion"/>
  </si>
  <si>
    <t>中心城区</t>
  </si>
  <si>
    <t>未包含在土地购买价格中</t>
  </si>
  <si>
    <t>全部缴纳</t>
  </si>
  <si>
    <t>已包含在土地取得成本中</t>
  </si>
  <si>
    <t>一般</t>
  </si>
  <si>
    <t>较好</t>
  </si>
  <si>
    <t>收益法</t>
  </si>
  <si>
    <t>北京卡乐佳艺科技有限公司</t>
    <phoneticPr fontId="135" type="noConversion"/>
  </si>
  <si>
    <r>
      <t>2</t>
    </r>
    <r>
      <rPr>
        <sz val="11"/>
        <color theme="1"/>
        <rFont val="宋体"/>
        <family val="3"/>
        <charset val="134"/>
        <scheme val="minor"/>
      </rPr>
      <t>025.1.1-2026.12.31</t>
    </r>
    <phoneticPr fontId="135" type="noConversion"/>
  </si>
  <si>
    <t>北京景艺时代舞台工程有限公司</t>
    <phoneticPr fontId="135" type="noConversion"/>
  </si>
  <si>
    <t>北京祥艺时代文化艺术有限公司</t>
    <phoneticPr fontId="135" type="noConversion"/>
  </si>
  <si>
    <t>押一</t>
  </si>
  <si>
    <t>砖混</t>
  </si>
  <si>
    <t>非生产用房</t>
  </si>
  <si>
    <t>否</t>
  </si>
  <si>
    <t>基准地价</t>
  </si>
  <si>
    <t>成本法</t>
  </si>
  <si>
    <t>楼房占地面积</t>
    <phoneticPr fontId="135" type="noConversion"/>
  </si>
  <si>
    <t>土地面积</t>
    <phoneticPr fontId="135" type="noConversion"/>
  </si>
  <si>
    <t>空余土地面积</t>
    <phoneticPr fontId="135" type="noConversion"/>
  </si>
  <si>
    <t>租约</t>
    <phoneticPr fontId="135" type="noConversion"/>
  </si>
  <si>
    <t>【6图】厂房500平米㎡宿舍办公300多平米㎡,北京平谷平谷周边厂房/仓库/土地/车位出租-北京58同城</t>
  </si>
  <si>
    <t>【1图】厂房库房 房主直租 随时看房 详情面议,北京平谷平谷周边厂房/仓库/土地/车位出租-北京58同城</t>
  </si>
  <si>
    <t>【9图】平谷大厂房，大院子，配套设施完善，现招租,北京平谷金海湖厂房/仓库/土地/车位出租-北京58同城</t>
  </si>
  <si>
    <t>东高村镇</t>
    <phoneticPr fontId="135" type="noConversion"/>
  </si>
  <si>
    <t>桥头村</t>
    <phoneticPr fontId="135" type="noConversion"/>
  </si>
  <si>
    <t>甘营村</t>
    <phoneticPr fontId="135" type="noConversion"/>
  </si>
  <si>
    <t>五通</t>
  </si>
  <si>
    <t>租金</t>
  </si>
  <si>
    <t>精装修</t>
    <phoneticPr fontId="32" type="noConversion"/>
  </si>
  <si>
    <t>普通装修</t>
  </si>
  <si>
    <t>普通装修</t>
    <phoneticPr fontId="32" type="noConversion"/>
  </si>
  <si>
    <t>毛坯</t>
  </si>
  <si>
    <t>毛坯</t>
    <phoneticPr fontId="32" type="noConversion"/>
  </si>
  <si>
    <t>较差</t>
  </si>
  <si>
    <t>【6图】崔杏路旁占地5亩场院出租,北京平谷平谷周边厂房/仓库/土地/车位出租-北京58同城</t>
  </si>
  <si>
    <t>【17图】占地1亩半、道路通畅、能进大车,北京平谷马坊厂房/仓库/土地/车位出租-北京58同城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</si>
</sst>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applyNumberFormat="0" applyFill="0" applyBorder="0" applyAlignment="0" applyProtection="0">
      <alignment vertical="center"/>
    </xf>
  </cellStyleXfs>
  <cellXfs count="35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272" fillId="0" borderId="0" xfId="0" applyFont="1">
      <alignment vertical="center"/>
    </xf>
    <xf numFmtId="0" fontId="272" fillId="5" borderId="0" xfId="0" applyFont="1" applyFill="1">
      <alignment vertical="center"/>
    </xf>
    <xf numFmtId="10" fontId="0" fillId="0" borderId="0" xfId="17" applyNumberFormat="1" applyFont="1">
      <alignment vertical="center"/>
    </xf>
    <xf numFmtId="0" fontId="241" fillId="6" borderId="119" xfId="10" applyFont="1" applyFill="1" applyBorder="1" applyAlignment="1">
      <alignment horizontal="left" vertical="center"/>
    </xf>
    <xf numFmtId="0" fontId="114" fillId="15" borderId="163" xfId="9" applyFont="1" applyFill="1" applyBorder="1" applyAlignment="1">
      <alignment horizontal="left" vertical="center"/>
    </xf>
    <xf numFmtId="0" fontId="114" fillId="0" borderId="165" xfId="9" applyFont="1" applyBorder="1" applyAlignment="1">
      <alignment horizontal="left" vertical="center"/>
    </xf>
    <xf numFmtId="0" fontId="114" fillId="18" borderId="171" xfId="9" applyFont="1" applyFill="1" applyBorder="1" applyAlignment="1">
      <alignment horizontal="left" vertical="center"/>
    </xf>
    <xf numFmtId="0" fontId="140" fillId="21" borderId="0" xfId="9" applyFont="1" applyFill="1" applyAlignment="1">
      <alignment horizontal="left" vertical="center"/>
    </xf>
    <xf numFmtId="49" fontId="54" fillId="10" borderId="1" xfId="9" applyNumberFormat="1" applyFont="1" applyFill="1" applyBorder="1" applyAlignment="1">
      <alignment horizontal="left" vertical="center" wrapText="1"/>
    </xf>
    <xf numFmtId="0" fontId="144" fillId="10" borderId="125" xfId="9" applyFont="1" applyFill="1" applyBorder="1" applyAlignment="1">
      <alignment horizontal="left" vertical="center" wrapText="1"/>
    </xf>
    <xf numFmtId="0" fontId="144" fillId="10" borderId="126" xfId="9" applyFont="1" applyFill="1" applyBorder="1" applyAlignment="1">
      <alignment horizontal="left" vertical="center" wrapText="1"/>
    </xf>
    <xf numFmtId="0" fontId="144" fillId="10" borderId="126" xfId="16" applyFont="1" applyFill="1" applyBorder="1" applyAlignment="1">
      <alignment horizontal="left" vertical="center" wrapText="1"/>
    </xf>
    <xf numFmtId="0" fontId="144" fillId="10" borderId="130" xfId="16" applyFont="1" applyFill="1" applyBorder="1" applyAlignment="1">
      <alignment horizontal="left" vertical="center" wrapText="1"/>
    </xf>
    <xf numFmtId="0" fontId="100" fillId="10" borderId="0" xfId="9" applyFont="1" applyFill="1" applyAlignment="1">
      <alignment horizontal="left" vertical="center"/>
    </xf>
    <xf numFmtId="10" fontId="100" fillId="10" borderId="121" xfId="9" applyNumberFormat="1" applyFont="1" applyFill="1" applyBorder="1" applyAlignment="1">
      <alignment horizontal="left" vertical="center"/>
    </xf>
    <xf numFmtId="10" fontId="100" fillId="10" borderId="0" xfId="9" applyNumberFormat="1" applyFont="1" applyFill="1" applyAlignment="1">
      <alignment horizontal="left" vertical="center"/>
    </xf>
    <xf numFmtId="0" fontId="114" fillId="10" borderId="0" xfId="9" applyFont="1" applyFill="1" applyAlignment="1">
      <alignment horizontal="left" vertical="center"/>
    </xf>
    <xf numFmtId="0" fontId="145" fillId="10" borderId="0" xfId="9" applyFont="1" applyFill="1" applyAlignment="1">
      <alignment horizontal="left" vertical="center"/>
    </xf>
    <xf numFmtId="2" fontId="145" fillId="10" borderId="0" xfId="9" applyNumberFormat="1" applyFont="1" applyFill="1" applyAlignment="1">
      <alignment horizontal="right" vertical="center"/>
    </xf>
    <xf numFmtId="0" fontId="0" fillId="10" borderId="0" xfId="0" applyFill="1" applyAlignment="1">
      <alignment horizontal="right" vertical="center"/>
    </xf>
    <xf numFmtId="0" fontId="273" fillId="0" borderId="0" xfId="19">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96" fillId="15" borderId="0" xfId="0" applyFont="1" applyFill="1">
      <alignment vertical="center"/>
    </xf>
    <xf numFmtId="0" fontId="129" fillId="0" borderId="44"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94467</xdr:colOff>
      <xdr:row>31</xdr:row>
      <xdr:rowOff>8859</xdr:rowOff>
    </xdr:to>
    <xdr:pic>
      <xdr:nvPicPr>
        <xdr:cNvPr id="2" name="图片 1">
          <a:extLst>
            <a:ext uri="{FF2B5EF4-FFF2-40B4-BE49-F238E27FC236}">
              <a16:creationId xmlns:a16="http://schemas.microsoft.com/office/drawing/2014/main" id="{3962447A-808E-B80E-A849-8239100E4DCE}"/>
            </a:ext>
          </a:extLst>
        </xdr:cNvPr>
        <xdr:cNvPicPr>
          <a:picLocks noChangeAspect="1"/>
        </xdr:cNvPicPr>
      </xdr:nvPicPr>
      <xdr:blipFill>
        <a:blip xmlns:r="http://schemas.openxmlformats.org/officeDocument/2006/relationships" r:embed="rId1"/>
        <a:stretch>
          <a:fillRect/>
        </a:stretch>
      </xdr:blipFill>
      <xdr:spPr>
        <a:xfrm>
          <a:off x="0" y="0"/>
          <a:ext cx="6266667" cy="5323809"/>
        </a:xfrm>
        <a:prstGeom prst="rect">
          <a:avLst/>
        </a:prstGeom>
      </xdr:spPr>
    </xdr:pic>
    <xdr:clientData/>
  </xdr:twoCellAnchor>
  <xdr:twoCellAnchor editAs="oneCell">
    <xdr:from>
      <xdr:col>0</xdr:col>
      <xdr:colOff>0</xdr:colOff>
      <xdr:row>24</xdr:row>
      <xdr:rowOff>114300</xdr:rowOff>
    </xdr:from>
    <xdr:to>
      <xdr:col>9</xdr:col>
      <xdr:colOff>47624</xdr:colOff>
      <xdr:row>67</xdr:row>
      <xdr:rowOff>123720</xdr:rowOff>
    </xdr:to>
    <xdr:pic>
      <xdr:nvPicPr>
        <xdr:cNvPr id="3" name="图片 2">
          <a:extLst>
            <a:ext uri="{FF2B5EF4-FFF2-40B4-BE49-F238E27FC236}">
              <a16:creationId xmlns:a16="http://schemas.microsoft.com/office/drawing/2014/main" id="{D5DB4C53-EC70-F2C8-A9C1-CA38F5B6495B}"/>
            </a:ext>
          </a:extLst>
        </xdr:cNvPr>
        <xdr:cNvPicPr>
          <a:picLocks noChangeAspect="1"/>
        </xdr:cNvPicPr>
      </xdr:nvPicPr>
      <xdr:blipFill>
        <a:blip xmlns:r="http://schemas.openxmlformats.org/officeDocument/2006/relationships" r:embed="rId2"/>
        <a:stretch>
          <a:fillRect/>
        </a:stretch>
      </xdr:blipFill>
      <xdr:spPr>
        <a:xfrm>
          <a:off x="0" y="4229100"/>
          <a:ext cx="6219824" cy="7381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15</xdr:col>
      <xdr:colOff>591309</xdr:colOff>
      <xdr:row>32</xdr:row>
      <xdr:rowOff>170721</xdr:rowOff>
    </xdr:to>
    <xdr:pic>
      <xdr:nvPicPr>
        <xdr:cNvPr id="2" name="图片 1">
          <a:extLst>
            <a:ext uri="{FF2B5EF4-FFF2-40B4-BE49-F238E27FC236}">
              <a16:creationId xmlns:a16="http://schemas.microsoft.com/office/drawing/2014/main" id="{DA2C64C5-24B1-4550-B3B6-70A3244DE918}"/>
            </a:ext>
          </a:extLst>
        </xdr:cNvPr>
        <xdr:cNvPicPr>
          <a:picLocks noChangeAspect="1"/>
        </xdr:cNvPicPr>
      </xdr:nvPicPr>
      <xdr:blipFill>
        <a:blip xmlns:r="http://schemas.openxmlformats.org/officeDocument/2006/relationships" r:embed="rId1"/>
        <a:stretch>
          <a:fillRect/>
        </a:stretch>
      </xdr:blipFill>
      <xdr:spPr>
        <a:xfrm>
          <a:off x="0" y="419100"/>
          <a:ext cx="10878309" cy="5238021"/>
        </a:xfrm>
        <a:prstGeom prst="rect">
          <a:avLst/>
        </a:prstGeom>
      </xdr:spPr>
    </xdr:pic>
    <xdr:clientData/>
  </xdr:twoCellAnchor>
  <xdr:twoCellAnchor editAs="oneCell">
    <xdr:from>
      <xdr:col>0</xdr:col>
      <xdr:colOff>152400</xdr:colOff>
      <xdr:row>38</xdr:row>
      <xdr:rowOff>145960</xdr:rowOff>
    </xdr:from>
    <xdr:to>
      <xdr:col>15</xdr:col>
      <xdr:colOff>512843</xdr:colOff>
      <xdr:row>67</xdr:row>
      <xdr:rowOff>161219</xdr:rowOff>
    </xdr:to>
    <xdr:pic>
      <xdr:nvPicPr>
        <xdr:cNvPr id="3" name="图片 2">
          <a:extLst>
            <a:ext uri="{FF2B5EF4-FFF2-40B4-BE49-F238E27FC236}">
              <a16:creationId xmlns:a16="http://schemas.microsoft.com/office/drawing/2014/main" id="{738ED997-8F04-C932-1C39-46DD331536C9}"/>
            </a:ext>
          </a:extLst>
        </xdr:cNvPr>
        <xdr:cNvPicPr>
          <a:picLocks noChangeAspect="1"/>
        </xdr:cNvPicPr>
      </xdr:nvPicPr>
      <xdr:blipFill>
        <a:blip xmlns:r="http://schemas.openxmlformats.org/officeDocument/2006/relationships" r:embed="rId2"/>
        <a:stretch>
          <a:fillRect/>
        </a:stretch>
      </xdr:blipFill>
      <xdr:spPr>
        <a:xfrm>
          <a:off x="152400" y="6661060"/>
          <a:ext cx="10647443" cy="4987309"/>
        </a:xfrm>
        <a:prstGeom prst="rect">
          <a:avLst/>
        </a:prstGeom>
      </xdr:spPr>
    </xdr:pic>
    <xdr:clientData/>
  </xdr:twoCellAnchor>
  <xdr:twoCellAnchor editAs="oneCell">
    <xdr:from>
      <xdr:col>0</xdr:col>
      <xdr:colOff>53528</xdr:colOff>
      <xdr:row>69</xdr:row>
      <xdr:rowOff>161925</xdr:rowOff>
    </xdr:from>
    <xdr:to>
      <xdr:col>14</xdr:col>
      <xdr:colOff>284299</xdr:colOff>
      <xdr:row>97</xdr:row>
      <xdr:rowOff>75505</xdr:rowOff>
    </xdr:to>
    <xdr:pic>
      <xdr:nvPicPr>
        <xdr:cNvPr id="4" name="图片 3">
          <a:extLst>
            <a:ext uri="{FF2B5EF4-FFF2-40B4-BE49-F238E27FC236}">
              <a16:creationId xmlns:a16="http://schemas.microsoft.com/office/drawing/2014/main" id="{2B16E5C3-3707-3F0C-C6F3-D6BD47D26EA5}"/>
            </a:ext>
          </a:extLst>
        </xdr:cNvPr>
        <xdr:cNvPicPr>
          <a:picLocks noChangeAspect="1"/>
        </xdr:cNvPicPr>
      </xdr:nvPicPr>
      <xdr:blipFill>
        <a:blip xmlns:r="http://schemas.openxmlformats.org/officeDocument/2006/relationships" r:embed="rId3"/>
        <a:stretch>
          <a:fillRect/>
        </a:stretch>
      </xdr:blipFill>
      <xdr:spPr>
        <a:xfrm>
          <a:off x="53528" y="11991975"/>
          <a:ext cx="9831971" cy="4714180"/>
        </a:xfrm>
        <a:prstGeom prst="rect">
          <a:avLst/>
        </a:prstGeom>
      </xdr:spPr>
    </xdr:pic>
    <xdr:clientData/>
  </xdr:twoCellAnchor>
  <xdr:twoCellAnchor>
    <xdr:from>
      <xdr:col>0</xdr:col>
      <xdr:colOff>0</xdr:colOff>
      <xdr:row>70</xdr:row>
      <xdr:rowOff>0</xdr:rowOff>
    </xdr:from>
    <xdr:to>
      <xdr:col>1</xdr:col>
      <xdr:colOff>76200</xdr:colOff>
      <xdr:row>73</xdr:row>
      <xdr:rowOff>0</xdr:rowOff>
    </xdr:to>
    <xdr:sp macro="" textlink="">
      <xdr:nvSpPr>
        <xdr:cNvPr id="139265" name="Text Box 1">
          <a:extLst>
            <a:ext uri="{FF2B5EF4-FFF2-40B4-BE49-F238E27FC236}">
              <a16:creationId xmlns:a16="http://schemas.microsoft.com/office/drawing/2014/main" id="{64FB9827-9C21-7FE6-0298-ACA845BF9C11}"/>
            </a:ext>
          </a:extLst>
        </xdr:cNvPr>
        <xdr:cNvSpPr txBox="1">
          <a:spLocks noChangeArrowheads="1"/>
        </xdr:cNvSpPr>
      </xdr:nvSpPr>
      <xdr:spPr bwMode="auto">
        <a:xfrm>
          <a:off x="0" y="12001500"/>
          <a:ext cx="762000" cy="5143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zh-CN" altLang="en-US" sz="1100" b="0" i="0" u="none" strike="noStrike" baseline="0">
              <a:solidFill>
                <a:srgbClr val="000000"/>
              </a:solidFill>
              <a:latin typeface="宋体"/>
              <a:ea typeface="宋体"/>
            </a:rPr>
            <a: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a:t>
          </a:r>
        </a:p>
      </xdr:txBody>
    </xdr:sp>
    <xdr:clientData/>
  </xdr:twoCellAnchor>
  <xdr:twoCellAnchor editAs="oneCell">
    <xdr:from>
      <xdr:col>15</xdr:col>
      <xdr:colOff>342900</xdr:colOff>
      <xdr:row>41</xdr:row>
      <xdr:rowOff>66675</xdr:rowOff>
    </xdr:from>
    <xdr:to>
      <xdr:col>25</xdr:col>
      <xdr:colOff>608709</xdr:colOff>
      <xdr:row>84</xdr:row>
      <xdr:rowOff>151468</xdr:rowOff>
    </xdr:to>
    <xdr:pic>
      <xdr:nvPicPr>
        <xdr:cNvPr id="5" name="图片 4">
          <a:extLst>
            <a:ext uri="{FF2B5EF4-FFF2-40B4-BE49-F238E27FC236}">
              <a16:creationId xmlns:a16="http://schemas.microsoft.com/office/drawing/2014/main" id="{E6081292-34AD-3464-6495-4801F9D0256E}"/>
            </a:ext>
          </a:extLst>
        </xdr:cNvPr>
        <xdr:cNvPicPr>
          <a:picLocks noChangeAspect="1"/>
        </xdr:cNvPicPr>
      </xdr:nvPicPr>
      <xdr:blipFill>
        <a:blip xmlns:r="http://schemas.openxmlformats.org/officeDocument/2006/relationships" r:embed="rId4"/>
        <a:stretch>
          <a:fillRect/>
        </a:stretch>
      </xdr:blipFill>
      <xdr:spPr>
        <a:xfrm>
          <a:off x="10629900" y="7096125"/>
          <a:ext cx="7123809" cy="7457143"/>
        </a:xfrm>
        <a:prstGeom prst="rect">
          <a:avLst/>
        </a:prstGeom>
      </xdr:spPr>
    </xdr:pic>
    <xdr:clientData/>
  </xdr:twoCellAnchor>
  <xdr:twoCellAnchor editAs="oneCell">
    <xdr:from>
      <xdr:col>23</xdr:col>
      <xdr:colOff>114638</xdr:colOff>
      <xdr:row>3</xdr:row>
      <xdr:rowOff>47624</xdr:rowOff>
    </xdr:from>
    <xdr:to>
      <xdr:col>34</xdr:col>
      <xdr:colOff>551199</xdr:colOff>
      <xdr:row>30</xdr:row>
      <xdr:rowOff>123087</xdr:rowOff>
    </xdr:to>
    <xdr:pic>
      <xdr:nvPicPr>
        <xdr:cNvPr id="6" name="图片 5">
          <a:extLst>
            <a:ext uri="{FF2B5EF4-FFF2-40B4-BE49-F238E27FC236}">
              <a16:creationId xmlns:a16="http://schemas.microsoft.com/office/drawing/2014/main" id="{67D86A5D-49DF-93FA-777F-FFC160F0C8E6}"/>
            </a:ext>
          </a:extLst>
        </xdr:cNvPr>
        <xdr:cNvPicPr>
          <a:picLocks noChangeAspect="1"/>
        </xdr:cNvPicPr>
      </xdr:nvPicPr>
      <xdr:blipFill>
        <a:blip xmlns:r="http://schemas.openxmlformats.org/officeDocument/2006/relationships" r:embed="rId5"/>
        <a:stretch>
          <a:fillRect/>
        </a:stretch>
      </xdr:blipFill>
      <xdr:spPr>
        <a:xfrm>
          <a:off x="15888038" y="561974"/>
          <a:ext cx="7980361" cy="4704613"/>
        </a:xfrm>
        <a:prstGeom prst="rect">
          <a:avLst/>
        </a:prstGeom>
      </xdr:spPr>
    </xdr:pic>
    <xdr:clientData/>
  </xdr:twoCellAnchor>
  <xdr:twoCellAnchor editAs="oneCell">
    <xdr:from>
      <xdr:col>24</xdr:col>
      <xdr:colOff>323850</xdr:colOff>
      <xdr:row>32</xdr:row>
      <xdr:rowOff>104775</xdr:rowOff>
    </xdr:from>
    <xdr:to>
      <xdr:col>38</xdr:col>
      <xdr:colOff>684555</xdr:colOff>
      <xdr:row>65</xdr:row>
      <xdr:rowOff>85020</xdr:rowOff>
    </xdr:to>
    <xdr:pic>
      <xdr:nvPicPr>
        <xdr:cNvPr id="7" name="图片 6">
          <a:extLst>
            <a:ext uri="{FF2B5EF4-FFF2-40B4-BE49-F238E27FC236}">
              <a16:creationId xmlns:a16="http://schemas.microsoft.com/office/drawing/2014/main" id="{5534E759-51C5-6306-78A2-0E951D51325B}"/>
            </a:ext>
          </a:extLst>
        </xdr:cNvPr>
        <xdr:cNvPicPr>
          <a:picLocks noChangeAspect="1"/>
        </xdr:cNvPicPr>
      </xdr:nvPicPr>
      <xdr:blipFill>
        <a:blip xmlns:r="http://schemas.openxmlformats.org/officeDocument/2006/relationships" r:embed="rId6"/>
        <a:stretch>
          <a:fillRect/>
        </a:stretch>
      </xdr:blipFill>
      <xdr:spPr>
        <a:xfrm>
          <a:off x="16783050" y="5591175"/>
          <a:ext cx="9961905"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hyperlink" Target="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TargetMode="External"/><Relationship Id="rId2" Type="http://schemas.openxmlformats.org/officeDocument/2006/relationships/hyperlink" Target="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TargetMode="External"/><Relationship Id="rId1" Type="http://schemas.openxmlformats.org/officeDocument/2006/relationships/hyperlink" Target="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TargetMode="External"/><Relationship Id="rId6" Type="http://schemas.openxmlformats.org/officeDocument/2006/relationships/drawing" Target="../drawings/drawing2.xml"/><Relationship Id="rId5" Type="http://schemas.openxmlformats.org/officeDocument/2006/relationships/hyperlink" Target="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TargetMode="External"/><Relationship Id="rId4" Type="http://schemas.openxmlformats.org/officeDocument/2006/relationships/hyperlink" Target="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估价对象为北京市房地产，为所有。根据《国有土地使用证》[]，估价对象（分摊）出让国有建设用地使用权面积为12462.11平方米，建筑面积为6420.54平方米。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估价对象为北京市房地产,属开发建设的，该项目尚在开发建设中。根据《国有土地使用证》[]，估价对象（分摊）出让国有建设用地使用权面积为12462.11平方米，规划建筑面积为6420.54平方米。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2026年3月11日（评估专业人员实地查勘之日）</v>
      </c>
    </row>
    <row r="13" spans="1:2">
      <c r="A13" s="1119" t="s">
        <v>529</v>
      </c>
      <c r="B13" s="1120"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6420.54</v>
      </c>
    </row>
    <row r="44" spans="1:2">
      <c r="A44" s="1119" t="s">
        <v>575</v>
      </c>
      <c r="B44" s="1120" t="str">
        <f>'预评函-3'!C2</f>
        <v>(分摊)土地面积</v>
      </c>
    </row>
    <row r="45" spans="1:2">
      <c r="A45" s="1119" t="s">
        <v>547</v>
      </c>
      <c r="B45" s="1120">
        <f>'预评函-3'!C4</f>
        <v>12462.11</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7" t="s">
        <v>385</v>
      </c>
      <c r="C54" s="1445" t="s">
        <v>583</v>
      </c>
    </row>
    <row r="55" spans="1:4">
      <c r="A55" s="3230"/>
      <c r="B55" s="1447" t="s">
        <v>386</v>
      </c>
      <c r="C55" s="1445" t="s">
        <v>584</v>
      </c>
    </row>
    <row r="56" spans="1:4">
      <c r="A56" s="3230"/>
      <c r="B56" s="1447" t="s">
        <v>387</v>
      </c>
      <c r="C56" s="1445" t="s">
        <v>588</v>
      </c>
    </row>
    <row r="57" spans="1:4">
      <c r="A57" s="323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4" t="s">
        <v>2593</v>
      </c>
      <c r="J1" s="2783"/>
      <c r="K1" s="2783"/>
      <c r="L1" s="2783"/>
      <c r="M1" s="2783"/>
      <c r="N1" s="2967"/>
      <c r="O1" s="2967"/>
      <c r="P1" s="2967"/>
      <c r="Q1" s="2967"/>
      <c r="R1" s="2967"/>
    </row>
    <row r="2" spans="1:18">
      <c r="A2" s="2760"/>
      <c r="B2" s="2761"/>
      <c r="C2" s="2761"/>
      <c r="D2" s="2761"/>
      <c r="E2" s="2761"/>
      <c r="F2" s="2762"/>
      <c r="I2" s="3231" t="s">
        <v>2580</v>
      </c>
      <c r="J2" s="3231"/>
      <c r="K2" s="3231"/>
      <c r="L2" s="3231"/>
      <c r="M2" s="3231"/>
      <c r="N2" s="3231"/>
      <c r="O2" s="3231"/>
      <c r="P2" s="3231"/>
      <c r="Q2" s="3231"/>
      <c r="R2" s="3231"/>
    </row>
    <row r="3" spans="1:18">
      <c r="A3" s="2763" t="s">
        <v>2501</v>
      </c>
      <c r="B3" s="2764">
        <f>项目基本情况!D3</f>
        <v>46092</v>
      </c>
      <c r="C3" s="2766"/>
      <c r="D3" s="2766"/>
      <c r="E3" s="2766"/>
      <c r="F3" s="2762"/>
      <c r="I3" s="2778"/>
      <c r="J3" s="2778" t="s">
        <v>2584</v>
      </c>
      <c r="K3" s="2778" t="s">
        <v>2585</v>
      </c>
      <c r="L3" s="2778" t="s">
        <v>2586</v>
      </c>
      <c r="M3" s="2778" t="s">
        <v>2587</v>
      </c>
      <c r="N3" s="3135" t="s">
        <v>2588</v>
      </c>
      <c r="O3" s="3135" t="s">
        <v>2589</v>
      </c>
      <c r="P3" s="3135" t="s">
        <v>2590</v>
      </c>
      <c r="Q3" s="3135" t="s">
        <v>2591</v>
      </c>
      <c r="R3" s="3135"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0.77</v>
      </c>
      <c r="D5" s="2768">
        <f>IF(ISERROR(ROUND(POWER(1+E5,A5-C5)*(POWER(1+E5,C5)-1)/(POWER(1+E5,A5)-1),3)),0,ROUND(POWER(1+E5,A5-C5)*(POWER(1+E5,C5)-1)/(POWER(1+E5,A5)-1),4))</f>
        <v>3.7600000000000001E-2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10.78</v>
      </c>
      <c r="D6" s="2768">
        <f>IF(ISERROR(ROUND(POWER(1+E6,A6-C6)*(POWER(1+E6,C6)-1)/(POWER(1+E6,A6)-1),3)),0,ROUND(POWER(1+E6,A6-C6)*(POWER(1+E6,C6)-1)/(POWER(1+E6,A6)-1),4))</f>
        <v>0.40129999999999999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30.79</v>
      </c>
      <c r="D7" s="2768">
        <f>IF(ISERROR(ROUND(POWER(1+E7,A7-C7)*(POWER(1+E7,C7)-1)/(POWER(1+E7,A7)-1),3)),0,ROUND(POWER(1+E7,A7-C7)*(POWER(1+E7,C7)-1)/(POWER(1+E7,A7)-1),4))</f>
        <v>0.74919999999999998</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2"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2">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2">
        <v>8</v>
      </c>
    </row>
    <row r="26" spans="1:14">
      <c r="A26" s="2782"/>
      <c r="B26" s="2783"/>
      <c r="C26" s="2783"/>
      <c r="D26" s="2783"/>
      <c r="E26" s="2783"/>
      <c r="F26" s="2783"/>
      <c r="G26" s="2784"/>
      <c r="I26" s="2800">
        <v>30</v>
      </c>
      <c r="J26" s="2800">
        <v>90.5</v>
      </c>
      <c r="K26" s="2800">
        <f t="shared" si="2"/>
        <v>4.2000000000000028</v>
      </c>
      <c r="L26" s="2800" t="s">
        <v>2571</v>
      </c>
      <c r="N26" s="3152">
        <v>5</v>
      </c>
    </row>
    <row r="27" spans="1:14">
      <c r="A27" s="2782" t="s">
        <v>2530</v>
      </c>
      <c r="B27" s="2783"/>
      <c r="C27" s="2783"/>
      <c r="D27" s="2783"/>
      <c r="E27" s="2783"/>
      <c r="F27" s="2783"/>
      <c r="G27" s="2784"/>
      <c r="I27" s="2800">
        <v>35</v>
      </c>
      <c r="J27" s="2800">
        <v>93.8</v>
      </c>
      <c r="K27" s="2800">
        <f t="shared" si="2"/>
        <v>3.2999999999999972</v>
      </c>
      <c r="L27" s="2800" t="s">
        <v>2572</v>
      </c>
      <c r="N27" s="3152">
        <v>3</v>
      </c>
    </row>
    <row r="28" spans="1:14">
      <c r="A28" s="2782" t="s">
        <v>2531</v>
      </c>
      <c r="B28" s="2783"/>
      <c r="C28" s="2783"/>
      <c r="D28" s="2783"/>
      <c r="E28" s="2783"/>
      <c r="F28" s="2783"/>
      <c r="G28" s="2784"/>
      <c r="I28" s="2800">
        <v>40</v>
      </c>
      <c r="J28" s="2800">
        <v>96.4</v>
      </c>
      <c r="K28" s="2800">
        <f t="shared" si="2"/>
        <v>2.6000000000000085</v>
      </c>
      <c r="L28" s="2800" t="s">
        <v>2573</v>
      </c>
      <c r="N28" s="3152">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2" t="s">
        <v>2568</v>
      </c>
    </row>
    <row r="37" spans="1:14">
      <c r="A37" s="2782" t="s">
        <v>2540</v>
      </c>
      <c r="B37" s="2783"/>
      <c r="C37" s="2783"/>
      <c r="D37" s="2783"/>
      <c r="E37" s="2783"/>
      <c r="F37" s="2783"/>
      <c r="G37" s="2784"/>
      <c r="I37" s="2800">
        <v>20</v>
      </c>
      <c r="J37" s="2800">
        <v>83.6</v>
      </c>
      <c r="K37" s="2800">
        <f t="shared" si="3"/>
        <v>7.2999999999999972</v>
      </c>
      <c r="L37" s="2800" t="s">
        <v>2566</v>
      </c>
      <c r="N37" s="3152">
        <v>10</v>
      </c>
    </row>
    <row r="38" spans="1:14">
      <c r="A38" s="2782" t="s">
        <v>2541</v>
      </c>
      <c r="B38" s="2783"/>
      <c r="C38" s="2783"/>
      <c r="D38" s="2783"/>
      <c r="E38" s="2783"/>
      <c r="F38" s="2783"/>
      <c r="G38" s="2784"/>
      <c r="I38" s="2800">
        <v>25</v>
      </c>
      <c r="J38" s="2800">
        <v>89.3</v>
      </c>
      <c r="K38" s="2800">
        <f t="shared" si="3"/>
        <v>5.7000000000000028</v>
      </c>
      <c r="L38" s="2800" t="s">
        <v>2570</v>
      </c>
      <c r="N38" s="3152">
        <v>8</v>
      </c>
    </row>
    <row r="39" spans="1:14">
      <c r="A39" s="2782"/>
      <c r="B39" s="2783"/>
      <c r="C39" s="2783"/>
      <c r="D39" s="2783"/>
      <c r="E39" s="2783"/>
      <c r="F39" s="2783"/>
      <c r="G39" s="2784"/>
      <c r="I39" s="2800">
        <v>30</v>
      </c>
      <c r="J39" s="2800">
        <v>93.8</v>
      </c>
      <c r="K39" s="2800">
        <f t="shared" si="3"/>
        <v>4.5</v>
      </c>
      <c r="L39" s="2800" t="s">
        <v>2571</v>
      </c>
      <c r="N39" s="3152">
        <v>6</v>
      </c>
    </row>
    <row r="40" spans="1:14">
      <c r="A40" s="2785" t="s">
        <v>2542</v>
      </c>
      <c r="B40" s="2786"/>
      <c r="C40" s="2786"/>
      <c r="D40" s="2786"/>
      <c r="E40" s="2786"/>
      <c r="F40" s="2786"/>
      <c r="G40" s="2787"/>
      <c r="I40" s="2800">
        <v>35</v>
      </c>
      <c r="J40" s="2800">
        <v>97.2</v>
      </c>
      <c r="K40" s="2800">
        <f t="shared" si="3"/>
        <v>3.4000000000000057</v>
      </c>
      <c r="L40" s="2800" t="s">
        <v>2572</v>
      </c>
      <c r="N40" s="3152">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4" t="s">
        <v>3386</v>
      </c>
      <c r="B50" s="3144" t="s">
        <v>3387</v>
      </c>
      <c r="C50" s="3144" t="s">
        <v>3388</v>
      </c>
      <c r="D50" s="3144" t="s">
        <v>3389</v>
      </c>
    </row>
    <row r="51" spans="1:4">
      <c r="A51" s="3144" t="s">
        <v>3390</v>
      </c>
      <c r="B51" s="2765">
        <f>B52+B53</f>
        <v>15000</v>
      </c>
      <c r="C51" s="3145">
        <f>D51/B51</f>
        <v>2666.6666666666665</v>
      </c>
      <c r="D51" s="2765">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5">
        <f>B51</f>
        <v>15000</v>
      </c>
      <c r="C54" s="2771">
        <v>700</v>
      </c>
      <c r="D54" s="2765">
        <f t="shared" ref="D54:D55" si="5">C54*B54</f>
        <v>10500000</v>
      </c>
    </row>
    <row r="55" spans="1:4">
      <c r="A55" s="3144" t="s">
        <v>3394</v>
      </c>
      <c r="B55" s="2765">
        <f>B51</f>
        <v>15000</v>
      </c>
      <c r="C55" s="2771">
        <v>1500</v>
      </c>
      <c r="D55" s="2765">
        <f t="shared" si="5"/>
        <v>22500000</v>
      </c>
    </row>
    <row r="56" spans="1:4">
      <c r="A56" s="3144" t="s">
        <v>3395</v>
      </c>
      <c r="B56" s="2765">
        <f>B51</f>
        <v>15000</v>
      </c>
      <c r="C56" s="3149">
        <f>C51+C54+C55</f>
        <v>4866.6666666666661</v>
      </c>
      <c r="D56" s="2765">
        <f>D51+D54+D55</f>
        <v>73000000</v>
      </c>
    </row>
    <row r="58" spans="1:4">
      <c r="A58" s="3144" t="s">
        <v>3396</v>
      </c>
      <c r="B58" s="3150">
        <v>0.05</v>
      </c>
      <c r="C58" s="2765">
        <f>C56*(1+B58)</f>
        <v>5110</v>
      </c>
      <c r="D58" s="2765">
        <f>D56*B58</f>
        <v>3650000</v>
      </c>
    </row>
    <row r="60" spans="1:4">
      <c r="A60" s="3144" t="s">
        <v>3397</v>
      </c>
      <c r="B60" s="2771">
        <v>3500</v>
      </c>
      <c r="C60" s="2771">
        <f>C53</f>
        <v>5000</v>
      </c>
      <c r="D60" s="2765">
        <f>C60*B60</f>
        <v>17500000</v>
      </c>
    </row>
    <row r="62" spans="1:4">
      <c r="A62" s="3144" t="s">
        <v>3398</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B32" sqref="B3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2" t="str">
        <f>IF(B10="北京市","北京市",C10)&amp;F10&amp;IF(结果表!G1="在建","出让国有建设用地使用权及在建建筑物",IF(结果表!G1="土地","出让国有建设用地使用权",))&amp;B9&amp;"预评估"</f>
        <v>北京市房地产市场价值预评估</v>
      </c>
      <c r="C1" s="3233"/>
      <c r="D1" s="3233"/>
      <c r="E1" s="3233"/>
      <c r="F1" s="3233"/>
      <c r="G1" s="3233"/>
      <c r="H1" s="3233"/>
      <c r="I1" s="323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46092</v>
      </c>
      <c r="C3" s="2186" t="s">
        <v>2171</v>
      </c>
      <c r="D3" s="2185">
        <f>B3</f>
        <v>46092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3419</v>
      </c>
      <c r="C8" s="2201"/>
      <c r="D8" s="3235" t="s">
        <v>2177</v>
      </c>
      <c r="E8" s="2202"/>
      <c r="F8" s="2203"/>
      <c r="G8" s="2442"/>
      <c r="H8" s="2442"/>
      <c r="I8" s="2442"/>
      <c r="J8" s="2245"/>
      <c r="K8" s="2400"/>
      <c r="L8" s="2399"/>
      <c r="M8" s="2399"/>
      <c r="N8" s="2245"/>
      <c r="O8" s="1670"/>
      <c r="P8" s="2245"/>
      <c r="Q8" s="2245"/>
      <c r="R8" s="2245"/>
    </row>
    <row r="9" spans="1:30" ht="13.5" thickBot="1">
      <c r="A9" s="2204" t="s">
        <v>2178</v>
      </c>
      <c r="B9" s="2205" t="s">
        <v>3420</v>
      </c>
      <c r="C9" s="2206"/>
      <c r="D9" s="3236"/>
      <c r="E9" s="2205"/>
      <c r="F9" s="2207"/>
      <c r="G9" s="2443"/>
      <c r="H9" s="2443"/>
      <c r="I9" s="2443"/>
      <c r="J9" s="2245"/>
      <c r="K9" s="2402"/>
      <c r="L9" s="2399"/>
      <c r="M9" s="2399"/>
      <c r="N9" s="2245"/>
      <c r="O9" s="1670"/>
      <c r="P9" s="2245"/>
      <c r="Q9" s="2245"/>
      <c r="R9" s="2245"/>
    </row>
    <row r="10" spans="1:30" ht="13.5" thickTop="1">
      <c r="A10" s="2208" t="s">
        <v>2179</v>
      </c>
      <c r="B10" s="2209" t="s">
        <v>3418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1" t="s">
        <v>3330</v>
      </c>
      <c r="B13" s="2218" t="s">
        <v>2190</v>
      </c>
      <c r="C13" s="803"/>
      <c r="D13" s="803"/>
      <c r="E13" s="803"/>
      <c r="F13" s="803"/>
      <c r="G13" s="803"/>
      <c r="H13" s="803">
        <v>56165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27.59</v>
      </c>
      <c r="I15" s="2221" t="str">
        <f>IF(A13="出让",IF(I13="","",ROUNDDOWN(MIN((I13-$D$3)/365,I14),2)),I14)</f>
        <v/>
      </c>
      <c r="J15" s="2805"/>
      <c r="K15" s="1670"/>
      <c r="L15" s="1670"/>
      <c r="M15" s="2245"/>
      <c r="N15" s="1670"/>
      <c r="O15" s="2245"/>
      <c r="P15" s="2245"/>
      <c r="Q15" s="2245"/>
      <c r="AD15" s="1618"/>
    </row>
    <row r="16" spans="1:30">
      <c r="A16" s="2211" t="s">
        <v>2193</v>
      </c>
      <c r="B16" s="3242"/>
      <c r="C16" s="3243"/>
      <c r="D16" s="3244"/>
      <c r="E16" s="2222" t="s">
        <v>2194</v>
      </c>
      <c r="F16" s="3245"/>
      <c r="G16" s="3246"/>
      <c r="H16" s="3246"/>
      <c r="I16" s="3247"/>
      <c r="J16" s="2245"/>
      <c r="K16" s="2403"/>
      <c r="L16" s="1670"/>
      <c r="M16" s="1670"/>
      <c r="N16" s="2245"/>
      <c r="O16" s="1670"/>
      <c r="P16" s="2245"/>
      <c r="Q16" s="2245"/>
      <c r="R16" s="2245"/>
    </row>
    <row r="17" spans="1:28">
      <c r="A17" s="305" t="s">
        <v>2195</v>
      </c>
      <c r="B17" s="294" t="s">
        <v>2196</v>
      </c>
      <c r="C17" s="8">
        <f>'数据-汇总表'!E3</f>
        <v>6420.54</v>
      </c>
      <c r="D17" s="1256" t="s">
        <v>2197</v>
      </c>
      <c r="E17" s="3248" t="s">
        <v>2198</v>
      </c>
      <c r="F17" s="3249"/>
      <c r="G17" s="3249"/>
      <c r="H17" s="3249"/>
      <c r="I17" s="325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12462.11</v>
      </c>
      <c r="D18" s="1029" t="s">
        <v>2201</v>
      </c>
      <c r="E18" s="3251" t="s">
        <v>2202</v>
      </c>
      <c r="F18" s="3252"/>
      <c r="G18" s="3252"/>
      <c r="H18" s="3252"/>
      <c r="I18" s="325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8" t="s">
        <v>2206</v>
      </c>
      <c r="C20" s="3239"/>
      <c r="D20" s="3240" t="s">
        <v>2207</v>
      </c>
      <c r="E20" s="3241"/>
      <c r="F20" s="2430" t="s">
        <v>1056</v>
      </c>
      <c r="G20" s="2442"/>
      <c r="H20" s="2442"/>
      <c r="I20" s="2442"/>
      <c r="J20" s="2245"/>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6"/>
      <c r="B30" s="294" t="s">
        <v>2218</v>
      </c>
      <c r="C30" s="3257"/>
      <c r="D30" s="3258"/>
      <c r="E30" s="2442"/>
      <c r="F30" s="2442"/>
      <c r="G30" s="2442"/>
      <c r="H30" s="2442"/>
      <c r="I30" s="2442"/>
      <c r="J30" s="2245"/>
      <c r="K30" s="2402"/>
      <c r="L30" s="2399"/>
      <c r="M30" s="2399"/>
      <c r="N30" s="2245"/>
      <c r="O30" s="1670"/>
      <c r="P30" s="2245"/>
      <c r="Q30" s="2245"/>
      <c r="R30" s="2245"/>
      <c r="S30" s="2245"/>
      <c r="T30" s="2245"/>
      <c r="U30" s="2245"/>
      <c r="V30" s="2245"/>
    </row>
    <row r="31" spans="1:28">
      <c r="A31" s="3259" t="s">
        <v>2219</v>
      </c>
      <c r="B31" s="2231" t="s">
        <v>3422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4" t="s">
        <v>2228</v>
      </c>
      <c r="T34" s="315" t="str">
        <f>NUMBERSTRING(7-K34,1)&amp;"通"</f>
        <v>七通</v>
      </c>
      <c r="U34" s="2245"/>
      <c r="V34" s="2245"/>
    </row>
    <row r="35" spans="1:30">
      <c r="A35" s="2236"/>
      <c r="B35" s="3254" t="s">
        <v>2229</v>
      </c>
      <c r="C35" s="3254"/>
      <c r="D35" s="3254"/>
      <c r="E35" s="325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369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3421</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5" sqref="N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12462.11</v>
      </c>
      <c r="B3" s="11">
        <f>IF(C3="否",G5-AT5,G5)</f>
        <v>6420.54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6420.54</v>
      </c>
      <c r="H5" s="13">
        <f t="shared" ref="H5:AT5" si="0">SUM(H13:H656)</f>
        <v>6420.54</v>
      </c>
      <c r="I5" s="13">
        <f t="shared" si="0"/>
        <v>6420.54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6420.54</v>
      </c>
      <c r="BA5" s="15">
        <f t="shared" si="1"/>
        <v>6420.54</v>
      </c>
      <c r="BB5" s="15">
        <f t="shared" si="1"/>
        <v>6420.54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12462.11</v>
      </c>
      <c r="F6" s="13" t="s">
        <v>0</v>
      </c>
      <c r="G6" s="13" t="s">
        <v>1</v>
      </c>
      <c r="H6" s="17">
        <f>SUMIF(I$12:AB$12,"总值",I6:AB6)</f>
        <v>12462.11</v>
      </c>
      <c r="I6" s="13">
        <f t="shared" ref="I6:AB6" si="2">ROUND($A$3*I5/$B$3,2)</f>
        <v>12462.11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12462.11</v>
      </c>
      <c r="AZ6" s="13" t="s">
        <v>2</v>
      </c>
      <c r="BA6" s="13">
        <f>ROUND($AY$6*BA5/$AZ$5,2)</f>
        <v>12462.11</v>
      </c>
      <c r="BB6" s="13">
        <f>ROUND($AY$6*BB5/$AZ$5,2)</f>
        <v>12462.11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3424</v>
      </c>
      <c r="E13" s="13">
        <f>IF($C$3="是",ROUND($A$3*G13/$B$3,2),ROUND($A$3*(G13-AT13)/$B$3,2))</f>
        <v>12462.11</v>
      </c>
      <c r="F13" s="29"/>
      <c r="G13" s="30">
        <f>H13+AC13+AT13</f>
        <v>6420.54</v>
      </c>
      <c r="H13" s="17">
        <f>SUMIF(I$12:AB$12,"总值",I13:AB13)</f>
        <v>6420.54</v>
      </c>
      <c r="I13" s="1514">
        <v>6420.54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12462.11</v>
      </c>
      <c r="AZ13" s="13">
        <f>BA13+BL13</f>
        <v>6420.54</v>
      </c>
      <c r="BA13" s="13">
        <f>SUM(BB13:BK13)</f>
        <v>6420.54</v>
      </c>
      <c r="BB13" s="13">
        <f>IF($D13="是",I13-J13,0)</f>
        <v>6420.54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0" t="s">
        <v>1131</v>
      </c>
      <c r="B2" s="3270"/>
      <c r="C2" s="3270"/>
      <c r="D2" s="748" t="s">
        <v>1107</v>
      </c>
      <c r="E2" s="1523" t="s">
        <v>1108</v>
      </c>
      <c r="F2" s="2439"/>
      <c r="G2" s="2432"/>
      <c r="H2" s="2433"/>
      <c r="I2" s="2146" t="s">
        <v>1132</v>
      </c>
      <c r="J2" s="2439"/>
      <c r="K2" s="2439"/>
      <c r="L2" s="2439"/>
      <c r="M2" s="2439"/>
      <c r="N2" s="2440"/>
      <c r="O2" s="2439"/>
      <c r="P2" s="2439"/>
    </row>
    <row r="3" spans="1:16" ht="15.75" thickBot="1">
      <c r="A3" s="3271" t="s">
        <v>1105</v>
      </c>
      <c r="B3" s="3271"/>
      <c r="C3" s="3271"/>
      <c r="D3" s="41">
        <f>'数据-基础表'!AY6</f>
        <v>12462.11</v>
      </c>
      <c r="E3" s="41">
        <f>'数据-基础表'!AZ5</f>
        <v>6420.54</v>
      </c>
      <c r="F3" s="2439"/>
      <c r="G3" s="42"/>
      <c r="H3" s="43" t="s">
        <v>1106</v>
      </c>
      <c r="I3" s="802">
        <f>ROUND('数据-基础表'!B3/'数据-基础表'!A3,2)</f>
        <v>0.52</v>
      </c>
      <c r="J3" s="2439"/>
      <c r="K3" s="2439"/>
      <c r="L3" s="2439"/>
      <c r="M3" s="2439"/>
      <c r="N3" s="2440"/>
      <c r="O3" s="2439"/>
      <c r="P3" s="2439"/>
    </row>
    <row r="4" spans="1:16" ht="15">
      <c r="A4" s="3272"/>
      <c r="B4" s="3273"/>
      <c r="C4" s="3274"/>
      <c r="D4" s="1524" t="s">
        <v>1107</v>
      </c>
      <c r="E4" s="1525" t="s">
        <v>1108</v>
      </c>
      <c r="F4" s="2439"/>
      <c r="G4" s="2434" t="s">
        <v>1133</v>
      </c>
      <c r="H4" s="43" t="s">
        <v>1113</v>
      </c>
      <c r="I4" s="802">
        <f>ROUND(SUMIF('数据-基础表'!I9:AS9,"地上",'数据-基础表'!I5:AS5)/'数据-基础表'!A3,2)</f>
        <v>0.52</v>
      </c>
      <c r="J4" s="2439"/>
      <c r="K4" s="2439"/>
      <c r="L4" s="2439"/>
      <c r="M4" s="2439"/>
      <c r="N4" s="2440"/>
      <c r="O4" s="2439"/>
      <c r="P4" s="2439"/>
    </row>
    <row r="5" spans="1:16">
      <c r="A5" s="42" t="s">
        <v>1109</v>
      </c>
      <c r="B5" s="3275" t="s">
        <v>1110</v>
      </c>
      <c r="C5" s="3275"/>
      <c r="D5" s="43">
        <f>ROUND($D$3*E5/$E$3,2)</f>
        <v>0</v>
      </c>
      <c r="E5" s="44">
        <f>SUMIF('数据-基础表'!$11:$11,"住宅",'数据-基础表'!$5:$5)</f>
        <v>0</v>
      </c>
      <c r="F5" s="2439"/>
      <c r="G5" s="42"/>
      <c r="H5" s="43" t="s">
        <v>1106</v>
      </c>
      <c r="I5" s="802">
        <f>ROUND(E31/D31,2)</f>
        <v>0.52</v>
      </c>
      <c r="J5" s="2439"/>
      <c r="K5" s="2439"/>
      <c r="L5" s="2439"/>
      <c r="M5" s="2439"/>
      <c r="N5" s="2439"/>
      <c r="O5" s="2439"/>
      <c r="P5" s="2439"/>
    </row>
    <row r="6" spans="1:16" ht="15" thickBot="1">
      <c r="A6" s="1527"/>
      <c r="B6" s="3275" t="s">
        <v>1111</v>
      </c>
      <c r="C6" s="3275"/>
      <c r="D6" s="43">
        <f>ROUND($D$3*E6/$E$3,2)</f>
        <v>12462.11</v>
      </c>
      <c r="E6" s="44">
        <f>E3-E5</f>
        <v>6420.54</v>
      </c>
      <c r="F6" s="2439"/>
      <c r="G6" s="1529" t="s">
        <v>1112</v>
      </c>
      <c r="H6" s="45" t="s">
        <v>1113</v>
      </c>
      <c r="I6" s="2435">
        <f>ROUND(F31/D31,2)</f>
        <v>0.52</v>
      </c>
      <c r="J6" s="2439"/>
      <c r="K6" s="2439"/>
      <c r="L6" s="2439"/>
      <c r="M6" s="2439"/>
      <c r="N6" s="2439"/>
      <c r="O6" s="2439"/>
      <c r="P6" s="2439"/>
    </row>
    <row r="7" spans="1:16" ht="15.75" thickBot="1">
      <c r="A7" s="3267"/>
      <c r="B7" s="3268"/>
      <c r="C7" s="3269"/>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12462.11</v>
      </c>
      <c r="E8" s="46">
        <f>SUMIF('数据-基础表'!BB10:BK10,"地上",'数据-基础表'!BB5:BK5)</f>
        <v>6420.54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12462.11</v>
      </c>
      <c r="E16" s="48">
        <f>SUM(E8:E15)</f>
        <v>6420.54</v>
      </c>
      <c r="F16" s="2439"/>
      <c r="G16" s="2439"/>
      <c r="H16" s="1531" t="s">
        <v>1135</v>
      </c>
      <c r="I16" s="1532"/>
      <c r="J16" s="1071"/>
      <c r="K16" s="3264" t="s">
        <v>1135</v>
      </c>
      <c r="L16" s="3265"/>
      <c r="M16" s="3265"/>
      <c r="N16" s="3265"/>
      <c r="O16" s="3265"/>
      <c r="P16" s="3266"/>
    </row>
    <row r="17" spans="1:19" ht="15">
      <c r="A17" s="1533" t="s">
        <v>1136</v>
      </c>
      <c r="B17" s="1534" t="s">
        <v>1137</v>
      </c>
      <c r="C17" s="1535" t="s">
        <v>1138</v>
      </c>
      <c r="D17" s="1536" t="s">
        <v>1126</v>
      </c>
      <c r="E17" s="1537" t="s">
        <v>1127</v>
      </c>
      <c r="F17" s="1538"/>
      <c r="G17" s="1539"/>
      <c r="H17" s="1540" t="s">
        <v>1139</v>
      </c>
      <c r="I17" s="1541" t="s">
        <v>1124</v>
      </c>
      <c r="J17" s="1071"/>
      <c r="K17" s="3261" t="s">
        <v>1140</v>
      </c>
      <c r="L17" s="3262"/>
      <c r="M17" s="3263"/>
      <c r="N17" s="3261" t="s">
        <v>1141</v>
      </c>
      <c r="O17" s="3262"/>
      <c r="P17" s="326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3452</v>
      </c>
      <c r="D19" s="43">
        <f>ROUND($D$3*E19/$E$3,2)</f>
        <v>12462.11</v>
      </c>
      <c r="E19" s="51">
        <f t="shared" ref="E19:E26" si="1">SUM(F19:G19)</f>
        <v>6420.54</v>
      </c>
      <c r="F19" s="2558">
        <f>'数据-基础表'!I13</f>
        <v>6420.54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12462.11</v>
      </c>
      <c r="S19" s="51">
        <f t="shared" si="5"/>
        <v>6420.54</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12462.11</v>
      </c>
      <c r="E27" s="1073">
        <f>IF(SUM(E19:E26)='数据-基础表'!BA5,SUM(E19:E26),IF(F27="地上面积有误","面积有误","地下面积有误"))</f>
        <v>6420.54</v>
      </c>
      <c r="F27" s="1072">
        <f>IF(SUM(F19:F26)=E8,SUM(F19:F26),"地上面积有误")</f>
        <v>6420.54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12462.11</v>
      </c>
      <c r="S27" s="43">
        <f>IF(SUM(S19:S26)=$E$3,SUM(S19:S26),SUM(S19:S26)&amp;"误差"&amp;ROUND(SUM(S19:S26)-E3,2))</f>
        <v>6420.54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12462.11</v>
      </c>
      <c r="E31" s="643">
        <f>E27+E30</f>
        <v>6420.54</v>
      </c>
      <c r="F31" s="644">
        <f>F27+F30</f>
        <v>6420.54</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56165</v>
      </c>
      <c r="F6" s="61">
        <f>SUMIF(项目基本情况!C$12:I$12,C6,项目基本情况!C$15:I$15)</f>
        <v>27.59</v>
      </c>
      <c r="G6" s="62">
        <f>IF(ISERROR(ROUND(POWER(1+H6,D6-F6)*(POWER(1+H6,F6)-1)/(POWER(1+H6,D6)-1),3)),0,ROUND(POWER(1+H6,D6-F6)*(POWER(1+H6,F6)-1)/(POWER(1+H6,D6)-1),3))</f>
        <v>0.81</v>
      </c>
      <c r="H6" s="691">
        <v>0.05</v>
      </c>
      <c r="I6" s="691">
        <v>0.05</v>
      </c>
      <c r="J6" s="63">
        <v>0.06</v>
      </c>
      <c r="K6" s="970">
        <f>SUMIF('数据-汇总表'!C$19:C$33,A6,'数据-汇总表'!E$19:E$33)</f>
        <v>6420.54</v>
      </c>
      <c r="L6" s="692">
        <v>3500</v>
      </c>
      <c r="M6" s="64">
        <f t="shared" ref="M6:M14" si="0">ROUND(K6*L6/10000,0)</f>
        <v>2247</v>
      </c>
      <c r="N6" s="690">
        <v>0.6</v>
      </c>
      <c r="O6" s="64" t="str">
        <f>IF($N$5="成新度","——",ROUND(M6*N6,0))</f>
        <v>——</v>
      </c>
      <c r="P6" s="65" t="str">
        <f>IF($N$5="成新度","——",M6-O6)</f>
        <v>——</v>
      </c>
      <c r="Q6" s="693">
        <v>0.05</v>
      </c>
      <c r="R6" s="66">
        <f ca="1">SUMIF('数据-汇总表'!C$19:C$33,A6,'数据-汇总表'!R$19:R$27)</f>
        <v>12462.11</v>
      </c>
      <c r="S6" s="49">
        <f>IF('数据-汇总表'!$I$17="按面积比例",SUMIF('数据-汇总表'!C$19:C$33,A6,'数据-汇总表'!K$19:K$33),SUMIF('数据-汇总表'!C$19:C$33,A6,'数据-汇总表'!N$19:N$33))</f>
        <v>0</v>
      </c>
      <c r="T6" s="1092">
        <f>ROUND($L$14*S6/10000,0)</f>
        <v>0</v>
      </c>
      <c r="U6" s="3126">
        <f>ROUND(0.2/1.09,2)</f>
        <v>0.18</v>
      </c>
      <c r="V6" s="67">
        <v>0</v>
      </c>
      <c r="W6" s="67">
        <v>0.1</v>
      </c>
      <c r="X6" s="979"/>
      <c r="Y6" s="68">
        <f>N6</f>
        <v>0.6</v>
      </c>
      <c r="Z6" s="69"/>
      <c r="AA6" s="63"/>
      <c r="AB6" s="63"/>
      <c r="AC6" s="979"/>
      <c r="AD6" s="70"/>
      <c r="AE6" s="980">
        <f ca="1">IF(AN6="",0,SUMIF(INDIRECT("'"&amp;AN6&amp;"'"&amp;"!E:E"),$AE$5,INDIRECT("'"&amp;AN6&amp;"'"&amp;"!F:F")))</f>
        <v>24</v>
      </c>
      <c r="AF6" s="74"/>
      <c r="AG6" s="130">
        <f>IF(AF6="",0,AE6-AF6)</f>
        <v>0</v>
      </c>
      <c r="AH6" s="71"/>
      <c r="AI6" s="73">
        <v>365</v>
      </c>
      <c r="AJ6" s="74"/>
      <c r="AK6" s="75">
        <v>2E-3</v>
      </c>
      <c r="AL6" s="76">
        <v>1E-3</v>
      </c>
      <c r="AM6" s="77">
        <v>0.01</v>
      </c>
      <c r="AN6" s="1589" t="s">
        <v>3473</v>
      </c>
      <c r="AO6" s="50">
        <f ca="1">SUMIF(INDIRECT("'"&amp;AN6&amp;"'"&amp;"!A:A"),"总价",INDIRECT("'"&amp;AN6&amp;"'"&amp;"!B:B"))</f>
        <v>304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v>
      </c>
      <c r="H16" s="84">
        <f>ROUND(SUMPRODUCT(H6:H13,K6:K13)/SUMPRODUCT((H6:H13&gt;0)*(K6:K13)),3)</f>
        <v>0.05</v>
      </c>
      <c r="I16" s="85"/>
      <c r="J16" s="85"/>
      <c r="K16" s="86">
        <f>SUM(K6:K15)</f>
        <v>6420.54</v>
      </c>
      <c r="L16" s="87">
        <f>ROUND(M16*10000/SUM(K6:K14),0)</f>
        <v>3500</v>
      </c>
      <c r="M16" s="87">
        <f>SUM(M6:M14)</f>
        <v>2247</v>
      </c>
      <c r="N16" s="88">
        <f>ROUND(SUMPRODUCT(M6:M14,N6:N14)/M16,3)</f>
        <v>0.6</v>
      </c>
      <c r="O16" s="87">
        <f>SUM(O6:O14)</f>
        <v>0</v>
      </c>
      <c r="P16" s="87">
        <f>SUM(P6:P14)</f>
        <v>0</v>
      </c>
      <c r="Q16" s="89">
        <f>ROUND(SUMPRODUCT(Q6:Q13,K6:K13)/SUMPRODUCT((Q6:Q13&gt;0)*(K6:K13)),2)</f>
        <v>0.05</v>
      </c>
      <c r="R16" s="974">
        <f ca="1">SUM(R6:R13)</f>
        <v>12462.11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51</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f>基准地价修正!E21</f>
        <v>185</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185</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5</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0.05</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6" t="s">
        <v>2286</v>
      </c>
      <c r="B1" s="3277"/>
      <c r="C1" s="3277"/>
      <c r="D1" s="3277"/>
      <c r="E1" s="3277"/>
      <c r="F1" s="3277"/>
      <c r="G1" s="327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6420.54</v>
      </c>
      <c r="C1" s="2462"/>
      <c r="D1" s="2462"/>
      <c r="E1" s="2462"/>
      <c r="F1" s="2462"/>
      <c r="G1" s="2463"/>
      <c r="H1" s="2463"/>
      <c r="I1" s="2463"/>
      <c r="J1" s="2463"/>
      <c r="K1" s="2463"/>
    </row>
    <row r="2" spans="1:11" ht="16.5">
      <c r="A2" s="2300" t="s">
        <v>653</v>
      </c>
      <c r="B2" s="2300">
        <f>SUM(C14:C23)</f>
        <v>12462.11</v>
      </c>
      <c r="C2" s="2462"/>
      <c r="D2" s="2462"/>
      <c r="E2" s="2462"/>
      <c r="F2" s="2462"/>
      <c r="G2" s="2463"/>
      <c r="H2" s="2463"/>
      <c r="I2" s="2463"/>
      <c r="J2" s="2463"/>
      <c r="K2" s="2463"/>
    </row>
    <row r="3" spans="1:11" ht="16.5">
      <c r="A3" s="2300" t="s">
        <v>662</v>
      </c>
      <c r="B3" s="2302">
        <f>项目基本情况!D3</f>
        <v>46092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1198.7148</v>
      </c>
      <c r="C5" s="2300">
        <f ca="1">IF(B5=D14,结果表!H102,ROUND(B5*10000/$B$1,0))</f>
        <v>0</v>
      </c>
      <c r="D5" s="2300">
        <f ca="1">ROUND(B5*10000/$B$2,0)</f>
        <v>962</v>
      </c>
      <c r="E5" s="2462"/>
      <c r="F5" s="2463"/>
      <c r="G5" s="2463"/>
      <c r="H5" s="2463"/>
      <c r="I5" s="2463"/>
      <c r="J5" s="2463"/>
      <c r="K5" s="2463"/>
    </row>
    <row r="6" spans="1:11" ht="16.5">
      <c r="A6" s="2300" t="s">
        <v>656</v>
      </c>
      <c r="B6" s="2300">
        <f>SUM(G14:G23)</f>
        <v>0</v>
      </c>
      <c r="C6" s="2300">
        <f ca="1">IF(B6=G14,结果表!H108,ROUND(B6*10000/$B$1,0))</f>
        <v>0</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6"/>
      <c r="F10" s="3140" t="s">
        <v>3356</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6420.54</v>
      </c>
      <c r="C14" s="2306">
        <f>'数据-汇总表'!D3</f>
        <v>12462.11</v>
      </c>
      <c r="D14" s="2306">
        <f ca="1">ROUND(E14*B14/10000,4)</f>
        <v>1198.7148</v>
      </c>
      <c r="E14" s="2306">
        <f ca="1">结果表!G20</f>
        <v>1867</v>
      </c>
      <c r="F14" s="2306">
        <f ca="1">ROUND(D14*10000/C14,0)</f>
        <v>962</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5" t="str">
        <f>项目基本情况!S2</f>
        <v>北京市房地产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4" t="s">
        <v>1265</v>
      </c>
      <c r="B4" s="1625" t="s">
        <v>1266</v>
      </c>
      <c r="C4" s="1626" t="s">
        <v>3483</v>
      </c>
      <c r="D4" s="1626" t="s">
        <v>3473</v>
      </c>
      <c r="E4" s="3354" t="s">
        <v>1267</v>
      </c>
      <c r="F4" s="3355"/>
      <c r="G4" s="3355"/>
      <c r="H4" s="3355"/>
      <c r="I4" s="335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348">
        <v>25</v>
      </c>
      <c r="C5" s="3351"/>
      <c r="D5" s="3339"/>
      <c r="E5" s="123" t="s">
        <v>1269</v>
      </c>
      <c r="F5" s="1627"/>
      <c r="G5" s="1627"/>
      <c r="H5" s="1627"/>
      <c r="I5" s="1281"/>
    </row>
    <row r="6" spans="1:12" ht="12.75">
      <c r="A6" s="3293"/>
      <c r="B6" s="3348"/>
      <c r="C6" s="3353"/>
      <c r="D6" s="3339"/>
      <c r="E6" s="123" t="s">
        <v>1270</v>
      </c>
      <c r="F6" s="1627"/>
      <c r="G6" s="1627"/>
      <c r="H6" s="1627"/>
      <c r="I6" s="1281"/>
    </row>
    <row r="7" spans="1:12" ht="12.75">
      <c r="A7" s="3293"/>
      <c r="B7" s="3348"/>
      <c r="C7" s="3352"/>
      <c r="D7" s="3339"/>
      <c r="E7" s="123" t="s">
        <v>1271</v>
      </c>
      <c r="F7" s="1627"/>
      <c r="G7" s="1627"/>
      <c r="H7" s="1627"/>
      <c r="I7" s="1281"/>
    </row>
    <row r="8" spans="1:12" ht="12.75">
      <c r="A8" s="3293" t="s">
        <v>1272</v>
      </c>
      <c r="B8" s="3348">
        <v>15</v>
      </c>
      <c r="C8" s="3351"/>
      <c r="D8" s="3339"/>
      <c r="E8" s="123" t="s">
        <v>1273</v>
      </c>
      <c r="F8" s="1627"/>
      <c r="G8" s="1627"/>
      <c r="H8" s="1627"/>
      <c r="I8" s="1281"/>
    </row>
    <row r="9" spans="1:12" ht="12.75">
      <c r="A9" s="3293"/>
      <c r="B9" s="3348"/>
      <c r="C9" s="3352"/>
      <c r="D9" s="3339"/>
      <c r="E9" s="123" t="s">
        <v>1274</v>
      </c>
      <c r="F9" s="1627"/>
      <c r="G9" s="1627"/>
      <c r="H9" s="1627"/>
      <c r="I9" s="1281"/>
    </row>
    <row r="10" spans="1:12" ht="12.75">
      <c r="A10" s="3293" t="s">
        <v>1275</v>
      </c>
      <c r="B10" s="3348">
        <v>15</v>
      </c>
      <c r="C10" s="3351"/>
      <c r="D10" s="3339"/>
      <c r="E10" s="123" t="s">
        <v>1276</v>
      </c>
      <c r="F10" s="1627"/>
      <c r="G10" s="1627"/>
      <c r="H10" s="1627"/>
      <c r="I10" s="1281"/>
    </row>
    <row r="11" spans="1:12" ht="12.75">
      <c r="A11" s="3293"/>
      <c r="B11" s="3348"/>
      <c r="C11" s="3352"/>
      <c r="D11" s="3339"/>
      <c r="E11" s="123" t="s">
        <v>1277</v>
      </c>
      <c r="F11" s="1627"/>
      <c r="G11" s="1627"/>
      <c r="H11" s="1627"/>
      <c r="I11" s="1281"/>
    </row>
    <row r="12" spans="1:12" ht="12.75">
      <c r="A12" s="3293" t="s">
        <v>1278</v>
      </c>
      <c r="B12" s="3348">
        <v>15</v>
      </c>
      <c r="C12" s="3351"/>
      <c r="D12" s="3339"/>
      <c r="E12" s="123" t="s">
        <v>1279</v>
      </c>
      <c r="F12" s="1627"/>
      <c r="G12" s="1627"/>
      <c r="H12" s="1627"/>
      <c r="I12" s="1281"/>
    </row>
    <row r="13" spans="1:12" ht="12.75">
      <c r="A13" s="3293"/>
      <c r="B13" s="3348"/>
      <c r="C13" s="3352"/>
      <c r="D13" s="3339"/>
      <c r="E13" s="123" t="s">
        <v>1280</v>
      </c>
      <c r="F13" s="1627"/>
      <c r="G13" s="1627"/>
      <c r="H13" s="1627"/>
      <c r="I13" s="1281"/>
    </row>
    <row r="14" spans="1:12" ht="12.75">
      <c r="A14" s="3293" t="s">
        <v>1281</v>
      </c>
      <c r="B14" s="3348">
        <v>30</v>
      </c>
      <c r="C14" s="3351">
        <v>4</v>
      </c>
      <c r="D14" s="3339">
        <f>10-C14</f>
        <v>6</v>
      </c>
      <c r="E14" s="123" t="s">
        <v>1282</v>
      </c>
      <c r="F14" s="1627"/>
      <c r="G14" s="1627"/>
      <c r="H14" s="1627"/>
      <c r="I14" s="1281"/>
    </row>
    <row r="15" spans="1:12" ht="12.75">
      <c r="A15" s="3293"/>
      <c r="B15" s="3348"/>
      <c r="C15" s="3353"/>
      <c r="D15" s="3339"/>
      <c r="E15" s="123" t="s">
        <v>1283</v>
      </c>
      <c r="F15" s="1627"/>
      <c r="G15" s="1627"/>
      <c r="H15" s="1627"/>
      <c r="I15" s="1281"/>
    </row>
    <row r="16" spans="1:12" ht="12.75">
      <c r="A16" s="3293"/>
      <c r="B16" s="3348"/>
      <c r="C16" s="3352"/>
      <c r="D16" s="333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70" t="s">
        <v>2131</v>
      </c>
      <c r="F18" s="3371"/>
      <c r="G18" s="3371"/>
      <c r="H18" s="3371"/>
      <c r="I18" s="3371"/>
      <c r="K18" s="294" t="s">
        <v>1289</v>
      </c>
      <c r="L18" s="294">
        <f>IF(C1="",'数据-汇总表'!E3,SUMIF(项目类型,C1,'数据-汇总表'!E17:E26)+SUMIF(项目类型,C1,'数据-汇总表'!I17:I26))</f>
        <v>6420.54</v>
      </c>
      <c r="M18" s="294">
        <f>IF(C1="",'数据-汇总表'!E3,SUMIF(项目类型,C1,'数据-汇总表'!E17:E26))</f>
        <v>6420.54</v>
      </c>
    </row>
    <row r="19" spans="1:36" ht="15">
      <c r="A19" s="1630" t="s">
        <v>1290</v>
      </c>
      <c r="B19" s="1631" t="s">
        <v>1291</v>
      </c>
      <c r="C19" s="126">
        <f ca="1">SUMIF(INDIRECT("'"&amp;C4&amp;"'"&amp;"!A:A"),结果表!B19,INDIRECT("'"&amp;C4&amp;"'"&amp;"!B:B"))</f>
        <v>2542</v>
      </c>
      <c r="D19" s="127">
        <f ca="1">SUMIF(INDIRECT("'"&amp;D4&amp;"'"&amp;"!A:A"),结果表!B19,INDIRECT("'"&amp;D4&amp;"'"&amp;"!B:B"))</f>
        <v>304</v>
      </c>
      <c r="E19" s="1630" t="s">
        <v>1292</v>
      </c>
      <c r="F19" s="1631" t="s">
        <v>1291</v>
      </c>
      <c r="G19" s="128">
        <f ca="1">ROUND(C19*$C$18+D19*$D$18,0)</f>
        <v>1199</v>
      </c>
      <c r="H19" s="1632" t="s">
        <v>1293</v>
      </c>
      <c r="I19" s="121"/>
      <c r="K19" s="294" t="s">
        <v>1294</v>
      </c>
      <c r="L19" s="294">
        <f>IF(C1="",'数据-汇总表'!D3,SUMIF(项目类型,C1,'数据-汇总表'!D17:D26)+SUMIF(项目类型,C1,'数据-汇总表'!H17:H27))</f>
        <v>12462.11</v>
      </c>
      <c r="M19" s="294">
        <f>IF(C1="",'数据-汇总表'!D3,SUMIF(项目类型,C1,'数据-汇总表'!D17:D26))</f>
        <v>12462.11</v>
      </c>
    </row>
    <row r="20" spans="1:36" ht="15">
      <c r="A20" s="1633"/>
      <c r="B20" s="43" t="s">
        <v>1295</v>
      </c>
      <c r="C20" s="129">
        <f ca="1">SUMIF(INDIRECT("'"&amp;C4&amp;"'"&amp;"!A:A"),结果表!B20,INDIRECT("'"&amp;C4&amp;"'"&amp;"!B:B"))</f>
        <v>3959</v>
      </c>
      <c r="D20" s="130">
        <f ca="1">SUMIF(INDIRECT("'"&amp;D4&amp;"'"&amp;"!A:A"),结果表!B20,INDIRECT("'"&amp;D4&amp;"'"&amp;"!B:B"))</f>
        <v>473</v>
      </c>
      <c r="E20" s="1633"/>
      <c r="F20" s="43" t="s">
        <v>1295</v>
      </c>
      <c r="G20" s="131">
        <f ca="1">ROUND(C20*$C$18+D20*$D$18,0)</f>
        <v>1867</v>
      </c>
      <c r="H20" s="760" t="s">
        <v>1296</v>
      </c>
      <c r="I20" s="121"/>
    </row>
    <row r="21" spans="1:36" ht="15" customHeight="1" thickBot="1">
      <c r="A21" s="449"/>
      <c r="B21" s="93" t="s">
        <v>1297</v>
      </c>
      <c r="C21" s="678">
        <f ca="1">ROUND(C19*10000/L19,0)</f>
        <v>2040</v>
      </c>
      <c r="D21" s="679">
        <f ca="1">ROUND(D19*10000/L19,0)</f>
        <v>244</v>
      </c>
      <c r="E21" s="449"/>
      <c r="F21" s="93" t="s">
        <v>1297</v>
      </c>
      <c r="G21" s="132">
        <f ca="1">ROUND(G19*10000/L19,0)</f>
        <v>962</v>
      </c>
      <c r="H21" s="1634" t="s">
        <v>1296</v>
      </c>
      <c r="I21" s="121"/>
    </row>
    <row r="22" spans="1:36" ht="15" thickBot="1">
      <c r="A22" s="1564" t="s">
        <v>1298</v>
      </c>
      <c r="B22" s="1635"/>
      <c r="C22" s="1636"/>
      <c r="D22" s="680">
        <f ca="1">IF(C19&lt;D19,D19/C19-1,C19/D19-1)</f>
        <v>7.3618421052631575</v>
      </c>
      <c r="E22" s="121"/>
      <c r="F22" s="121"/>
      <c r="G22" s="121"/>
      <c r="H22" s="121"/>
      <c r="I22" s="121"/>
    </row>
    <row r="23" spans="1:36" ht="13.5" thickBot="1">
      <c r="A23" s="646"/>
      <c r="B23" s="646"/>
      <c r="C23" s="646"/>
      <c r="D23" s="646"/>
      <c r="E23" s="121"/>
      <c r="F23" s="121"/>
      <c r="G23" s="121"/>
      <c r="H23" s="121"/>
      <c r="I23" s="121"/>
    </row>
    <row r="24" spans="1:36" ht="14.25">
      <c r="A24" s="3363" t="s">
        <v>1299</v>
      </c>
      <c r="B24" s="1631" t="s">
        <v>1291</v>
      </c>
      <c r="C24" s="128">
        <f>IF(B30=0,0,D30)</f>
        <v>0</v>
      </c>
      <c r="D24" s="1637"/>
      <c r="E24" s="121"/>
      <c r="F24" s="121"/>
      <c r="G24" s="121"/>
      <c r="H24" s="121"/>
      <c r="I24" s="121"/>
    </row>
    <row r="25" spans="1:36" ht="14.25">
      <c r="A25" s="33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1867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0" t="s">
        <v>1312</v>
      </c>
      <c r="B36" s="1652" t="s">
        <v>1313</v>
      </c>
      <c r="C36" s="137"/>
      <c r="D36" s="1653"/>
      <c r="E36" s="1567"/>
      <c r="F36" s="1654"/>
      <c r="G36" s="121"/>
      <c r="H36" s="121"/>
      <c r="I36" s="121"/>
    </row>
    <row r="37" spans="1:15" ht="15.75" thickBot="1">
      <c r="A37" s="3341"/>
      <c r="B37" s="1555" t="s">
        <v>1314</v>
      </c>
      <c r="C37" s="139"/>
      <c r="D37" s="1071"/>
      <c r="E37" s="1071"/>
      <c r="F37" s="1654"/>
      <c r="G37" s="121"/>
      <c r="H37" s="121"/>
      <c r="I37" s="121"/>
    </row>
    <row r="38" spans="1:15" ht="15.75" thickBot="1">
      <c r="A38" s="334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0" t="s">
        <v>1326</v>
      </c>
      <c r="B45" s="3361"/>
      <c r="C45" s="3362"/>
      <c r="D45" s="147" t="e">
        <f ca="1">ROUND(H101*F45,0)</f>
        <v>#REF!</v>
      </c>
      <c r="E45" s="148" t="s">
        <v>1327</v>
      </c>
      <c r="F45" s="149">
        <v>1</v>
      </c>
      <c r="G45" s="150" t="s">
        <v>1328</v>
      </c>
      <c r="H45" s="121"/>
      <c r="I45" s="121"/>
      <c r="J45" s="3280" t="s">
        <v>1329</v>
      </c>
      <c r="K45" s="3280"/>
      <c r="L45" s="3280"/>
      <c r="M45" s="3280"/>
      <c r="N45" s="3280"/>
      <c r="O45" s="3280"/>
    </row>
    <row r="46" spans="1:15" ht="14.25" customHeight="1">
      <c r="A46" s="3357" t="s">
        <v>1330</v>
      </c>
      <c r="B46" s="3358"/>
      <c r="C46" s="3358"/>
      <c r="D46" s="3358"/>
      <c r="E46" s="3358"/>
      <c r="F46" s="3358"/>
      <c r="G46" s="3359"/>
      <c r="H46" s="1668"/>
      <c r="I46" s="151"/>
      <c r="J46" s="2310">
        <v>1</v>
      </c>
      <c r="K46" s="3281" t="s">
        <v>1331</v>
      </c>
      <c r="L46" s="3281"/>
      <c r="M46" s="3282"/>
      <c r="N46" s="3282"/>
      <c r="O46" s="3282"/>
    </row>
    <row r="47" spans="1:15" ht="12" customHeight="1">
      <c r="A47" s="152" t="s">
        <v>1332</v>
      </c>
      <c r="B47" s="153"/>
      <c r="C47" s="154"/>
      <c r="D47" s="1024" t="s">
        <v>1333</v>
      </c>
      <c r="E47" s="294" t="s">
        <v>1334</v>
      </c>
      <c r="F47" s="155" t="s">
        <v>1335</v>
      </c>
      <c r="G47" s="2333" t="s">
        <v>1336</v>
      </c>
      <c r="H47" s="2334"/>
      <c r="I47" s="151"/>
      <c r="J47" s="2310">
        <v>2</v>
      </c>
      <c r="K47" s="3281" t="s">
        <v>1337</v>
      </c>
      <c r="L47" s="3281"/>
      <c r="M47" s="3283">
        <f>'数据-取费表'!B2</f>
        <v>46092</v>
      </c>
      <c r="N47" s="3283"/>
      <c r="O47" s="3283"/>
    </row>
    <row r="48" spans="1:15" ht="25.5">
      <c r="A48" s="3343" t="s">
        <v>1338</v>
      </c>
      <c r="B48" s="3344"/>
      <c r="C48" s="334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81" t="s">
        <v>1340</v>
      </c>
      <c r="L48" s="3281"/>
      <c r="M48" s="3284" t="e">
        <f ca="1">H101</f>
        <v>#REF!</v>
      </c>
      <c r="N48" s="3284"/>
      <c r="O48" s="3284"/>
    </row>
    <row r="49" spans="1:35" ht="25.5" customHeight="1">
      <c r="A49" s="2152" t="s">
        <v>1341</v>
      </c>
      <c r="B49" s="3329" t="s">
        <v>1342</v>
      </c>
      <c r="C49" s="3329"/>
      <c r="D49" s="1478">
        <v>0</v>
      </c>
      <c r="E49" s="316" t="s">
        <v>1343</v>
      </c>
      <c r="F49" s="2233" t="s">
        <v>28</v>
      </c>
      <c r="G49" s="3312"/>
      <c r="H49" s="2134" t="s">
        <v>2134</v>
      </c>
      <c r="I49" s="2135"/>
      <c r="J49" s="2310">
        <v>4</v>
      </c>
      <c r="K49" s="3281" t="str">
        <f>IF(项目基本情况!E8="房地产抵押价值","房地产抵押价值","抵押担保权已注销时的房地产抵押价值")</f>
        <v>抵押担保权已注销时的房地产抵押价值</v>
      </c>
      <c r="L49" s="3281"/>
      <c r="M49" s="3284" t="str">
        <f>IF(项目基本情况!E8="房地产抵押价值",H107,H109)</f>
        <v>——</v>
      </c>
      <c r="N49" s="3284"/>
      <c r="O49" s="3284"/>
    </row>
    <row r="50" spans="1:35" ht="25.5" customHeight="1">
      <c r="A50" s="2338"/>
      <c r="B50" s="3329" t="s">
        <v>1344</v>
      </c>
      <c r="C50" s="3329"/>
      <c r="D50" s="2189"/>
      <c r="E50" s="323"/>
      <c r="F50" s="2233"/>
      <c r="G50" s="3313"/>
      <c r="H50" s="2136" t="s">
        <v>2135</v>
      </c>
      <c r="I50" s="2135"/>
      <c r="J50" s="3280" t="s">
        <v>1345</v>
      </c>
      <c r="K50" s="3280"/>
      <c r="L50" s="3280"/>
      <c r="M50" s="3280"/>
      <c r="N50" s="3280"/>
      <c r="O50" s="3280"/>
    </row>
    <row r="51" spans="1:35" ht="20.45" customHeight="1">
      <c r="A51" s="2339"/>
      <c r="B51" s="3329" t="s">
        <v>1346</v>
      </c>
      <c r="C51" s="3329"/>
      <c r="D51" s="1024"/>
      <c r="E51" s="319"/>
      <c r="F51" s="2233"/>
      <c r="G51" s="3314"/>
      <c r="H51" s="2136" t="s">
        <v>2136</v>
      </c>
      <c r="I51" s="2135"/>
      <c r="J51" s="2311" t="s">
        <v>1347</v>
      </c>
      <c r="K51" s="3281" t="s">
        <v>1348</v>
      </c>
      <c r="L51" s="3281"/>
      <c r="M51" s="2311" t="s">
        <v>1349</v>
      </c>
      <c r="N51" s="2311" t="s">
        <v>1350</v>
      </c>
      <c r="O51" s="2311" t="s">
        <v>1351</v>
      </c>
    </row>
    <row r="52" spans="1:35" ht="24" customHeight="1">
      <c r="A52" s="2153" t="s">
        <v>1352</v>
      </c>
      <c r="B52" s="3329" t="s">
        <v>1353</v>
      </c>
      <c r="C52" s="3329"/>
      <c r="D52" s="1024" t="e">
        <f ca="1">ROUND(D45*'数据-取费表'!B41/(1+'数据-取费表'!C42),0)</f>
        <v>#REF!</v>
      </c>
      <c r="E52" s="1256" t="s">
        <v>1354</v>
      </c>
      <c r="F52" s="2340">
        <f>'数据-取费表'!B41</f>
        <v>5.5000000000000007E-2</v>
      </c>
      <c r="G52" s="2341"/>
      <c r="H52" s="2331"/>
      <c r="I52" s="1669"/>
      <c r="J52" s="2310">
        <v>1</v>
      </c>
      <c r="K52" s="3306" t="s">
        <v>1355</v>
      </c>
      <c r="L52" s="3306"/>
      <c r="M52" s="2312" t="b">
        <f>D48</f>
        <v>0</v>
      </c>
      <c r="N52" s="2310" t="str">
        <f>E48</f>
        <v>销售额×税（费）率</v>
      </c>
      <c r="O52" s="2313">
        <f>F48</f>
        <v>5.5000000000000007E-2</v>
      </c>
    </row>
    <row r="53" spans="1:35" ht="12" customHeight="1">
      <c r="A53" s="2153" t="s">
        <v>1356</v>
      </c>
      <c r="B53" s="3330" t="s">
        <v>2291</v>
      </c>
      <c r="C53" s="3331"/>
      <c r="D53" s="1024" t="e">
        <f ca="1">ROUND(D45*'数据-取费表'!B41/(1+'数据-取费表'!C42),0)</f>
        <v>#REF!</v>
      </c>
      <c r="E53" s="1256" t="s">
        <v>1354</v>
      </c>
      <c r="F53" s="2340">
        <f>'数据-取费表'!B41</f>
        <v>5.5000000000000007E-2</v>
      </c>
      <c r="G53" s="2341"/>
      <c r="H53" s="2331"/>
      <c r="I53" s="1669"/>
      <c r="J53" s="2310">
        <v>2</v>
      </c>
      <c r="K53" s="3306" t="s">
        <v>1357</v>
      </c>
      <c r="L53" s="3306"/>
      <c r="M53" s="2312" t="e">
        <f t="shared" ref="M53:O54" ca="1" si="0">D55</f>
        <v>#REF!</v>
      </c>
      <c r="N53" s="2310" t="str">
        <f t="shared" si="0"/>
        <v>销售额×税（费）率</v>
      </c>
      <c r="O53" s="2313" t="str">
        <f t="shared" si="0"/>
        <v>免征</v>
      </c>
    </row>
    <row r="54" spans="1:35" ht="12" customHeight="1">
      <c r="A54" s="2153" t="s">
        <v>1358</v>
      </c>
      <c r="B54" s="3330" t="s">
        <v>2292</v>
      </c>
      <c r="C54" s="3331"/>
      <c r="D54" s="1024" t="e">
        <f ca="1">C68</f>
        <v>#REF!</v>
      </c>
      <c r="E54" s="319" t="s">
        <v>1359</v>
      </c>
      <c r="F54" s="2340">
        <f>'数据-取费表'!B41</f>
        <v>5.5000000000000007E-2</v>
      </c>
      <c r="G54" s="2341"/>
      <c r="H54" s="2342"/>
      <c r="I54" s="1669"/>
      <c r="J54" s="2310">
        <v>3</v>
      </c>
      <c r="K54" s="3306" t="s">
        <v>1360</v>
      </c>
      <c r="L54" s="3306"/>
      <c r="M54" s="2312" t="e">
        <f t="shared" ca="1" si="0"/>
        <v>#REF!</v>
      </c>
      <c r="N54" s="2310" t="str">
        <f t="shared" si="0"/>
        <v>增值额×税（费）率</v>
      </c>
      <c r="O54" s="2314" t="str">
        <f t="shared" si="0"/>
        <v>免征</v>
      </c>
    </row>
    <row r="55" spans="1:35" ht="24" customHeight="1">
      <c r="A55" s="3366" t="s">
        <v>1361</v>
      </c>
      <c r="B55" s="3344"/>
      <c r="C55" s="3344"/>
      <c r="D55" s="12" t="e">
        <f ca="1">IF(H55="个人住宅",0,ROUND(D45*I55,0))</f>
        <v>#REF!</v>
      </c>
      <c r="E55" s="1256" t="s">
        <v>1362</v>
      </c>
      <c r="F55" s="2340" t="str">
        <f>IF(H55="正常",I55,"免征")</f>
        <v>免征</v>
      </c>
      <c r="G55" s="2341"/>
      <c r="H55" s="2337"/>
      <c r="I55" s="157">
        <f>'数据-取费表'!B49</f>
        <v>5.0000000000000001E-4</v>
      </c>
      <c r="J55" s="2310">
        <f>IF(H59="非个人房产","",4)</f>
        <v>4</v>
      </c>
      <c r="K55" s="3306" t="str">
        <f>IF(H59="非个人房产","——","个人所得税")</f>
        <v>个人所得税</v>
      </c>
      <c r="L55" s="3306"/>
      <c r="M55" s="2315" t="e">
        <f ca="1">D59</f>
        <v>#REF!</v>
      </c>
      <c r="N55" s="1883" t="str">
        <f>E59</f>
        <v>差额计税</v>
      </c>
      <c r="O55" s="2316">
        <f>F59</f>
        <v>0.01</v>
      </c>
    </row>
    <row r="56" spans="1:35" ht="24.75">
      <c r="A56" s="3366" t="s">
        <v>1363</v>
      </c>
      <c r="B56" s="3344"/>
      <c r="C56" s="3344"/>
      <c r="D56" s="12" t="e">
        <f ca="1">IF(H56="个人住宅",D57,D58)</f>
        <v>#REF!</v>
      </c>
      <c r="E56" s="1256" t="s">
        <v>1364</v>
      </c>
      <c r="F56" s="2340" t="str">
        <f>IF(H56="正常",F58,"免征")</f>
        <v>免征</v>
      </c>
      <c r="G56" s="2343" t="s">
        <v>1365</v>
      </c>
      <c r="H56" s="2344"/>
      <c r="I56" s="1670"/>
      <c r="J56" s="2310" t="str">
        <f>IF(项目基本情况!K6="上海银行",IF(J55="",4,J55+1),"")</f>
        <v/>
      </c>
      <c r="K56" s="3287" t="str">
        <f>IF(项目基本情况!K6="上海银行","其他处置费用","")</f>
        <v/>
      </c>
      <c r="L56" s="3288"/>
      <c r="M56" s="2312" t="str">
        <f>IF(项目基本情况!K6="上海银行",M69,"")</f>
        <v/>
      </c>
      <c r="N56" s="3287" t="str">
        <f>IF(项目基本情况!K6="上海银行","包含处置中涉及的律师、诉讼、拍卖、评估等费用","")</f>
        <v/>
      </c>
      <c r="O56" s="3290"/>
    </row>
    <row r="57" spans="1:35" ht="12.75">
      <c r="A57" s="2153" t="s">
        <v>1341</v>
      </c>
      <c r="B57" s="3330" t="s">
        <v>1366</v>
      </c>
      <c r="C57" s="3331"/>
      <c r="D57" s="1478">
        <v>0</v>
      </c>
      <c r="E57" s="316" t="s">
        <v>1343</v>
      </c>
      <c r="F57" s="294"/>
      <c r="G57" s="2341"/>
      <c r="H57" s="2345"/>
      <c r="I57" s="1670"/>
      <c r="J57" s="3306">
        <f>IF(AND(J55="",J56=""),4,IF(项目基本情况!K6="上海银行",结果表!J56+1,结果表!J55+1))</f>
        <v>5</v>
      </c>
      <c r="K57" s="3306" t="s">
        <v>1367</v>
      </c>
      <c r="L57" s="2317" t="s">
        <v>1368</v>
      </c>
      <c r="M57" s="2318"/>
      <c r="N57" s="2319">
        <f ca="1">SUMIF(M52:M56,"&lt;9e307")</f>
        <v>0</v>
      </c>
      <c r="O57" s="2320"/>
      <c r="P57" s="2465" t="e">
        <f ca="1">N57/M49</f>
        <v>#VALUE!</v>
      </c>
    </row>
    <row r="58" spans="1:35" ht="24.75">
      <c r="A58" s="2153" t="s">
        <v>1352</v>
      </c>
      <c r="B58" s="3330" t="s">
        <v>1369</v>
      </c>
      <c r="C58" s="3329"/>
      <c r="D58" s="12" t="e">
        <f ca="1">IF(H58="转让取得",C81,C97)</f>
        <v>#REF!</v>
      </c>
      <c r="E58" s="1256" t="s">
        <v>1364</v>
      </c>
      <c r="F58" s="294" t="s">
        <v>28</v>
      </c>
      <c r="G58" s="2341"/>
      <c r="H58" s="2344"/>
      <c r="I58" s="1670"/>
      <c r="J58" s="3306"/>
      <c r="K58" s="3306"/>
      <c r="L58" s="2317" t="s">
        <v>1370</v>
      </c>
      <c r="M58" s="2321"/>
      <c r="N58" s="2322" t="str">
        <f ca="1">NUMBERSTRING(INT(N57*10000),2)&amp;"元整"</f>
        <v>零元整</v>
      </c>
      <c r="O58" s="2323"/>
    </row>
    <row r="59" spans="1:35" ht="24.75" thickBot="1">
      <c r="A59" s="3310" t="s">
        <v>1371</v>
      </c>
      <c r="B59" s="3311"/>
      <c r="C59" s="331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6" t="s">
        <v>1372</v>
      </c>
      <c r="L59" s="2310" t="s">
        <v>1368</v>
      </c>
      <c r="M59" s="2324"/>
      <c r="N59" s="2325" t="e">
        <f ca="1">M49-N57</f>
        <v>#VALUE!</v>
      </c>
      <c r="O59" s="2326"/>
    </row>
    <row r="60" spans="1:35" ht="12" customHeight="1">
      <c r="A60" s="1671"/>
      <c r="B60" s="646"/>
      <c r="C60" s="646"/>
      <c r="D60" s="646"/>
      <c r="E60" s="1466"/>
      <c r="F60" s="1670"/>
      <c r="G60" s="1670"/>
      <c r="H60" s="151"/>
      <c r="I60" s="121"/>
      <c r="J60" s="3309"/>
      <c r="K60" s="3306"/>
      <c r="L60" s="2317" t="s">
        <v>1370</v>
      </c>
      <c r="M60" s="2321"/>
      <c r="N60" s="2322" t="e">
        <f ca="1">NUMBERSTRING(INT(N59*10000),2)&amp;"元整"</f>
        <v>#VALUE!</v>
      </c>
      <c r="O60" s="2323"/>
    </row>
    <row r="61" spans="1:35" ht="13.5" thickBot="1">
      <c r="A61" s="3365" t="s">
        <v>1373</v>
      </c>
      <c r="B61" s="3365"/>
      <c r="C61" s="3365"/>
      <c r="D61" s="3365"/>
      <c r="E61" s="3365"/>
      <c r="F61" s="1670"/>
      <c r="G61" s="1670"/>
      <c r="H61" s="151"/>
      <c r="I61" s="121"/>
      <c r="J61" s="2310">
        <f>J59+1</f>
        <v>7</v>
      </c>
      <c r="K61" s="3306" t="s">
        <v>1374</v>
      </c>
      <c r="L61" s="3306"/>
      <c r="M61" s="2327"/>
      <c r="N61" s="2328" t="e">
        <f ca="1">ROUND(N59*10000/'数据-汇总表'!E3,0)</f>
        <v>#VALUE!</v>
      </c>
      <c r="O61" s="2329"/>
    </row>
    <row r="62" spans="1:35" ht="12.75">
      <c r="A62" s="3325" t="s">
        <v>1375</v>
      </c>
      <c r="B62" s="332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8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8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9"/>
      <c r="K69" s="1245" t="s">
        <v>1393</v>
      </c>
      <c r="L69" s="1245"/>
      <c r="M69" s="294" t="e">
        <f>ROUND(SUM(M63:M68),0)</f>
        <v>#VALUE!</v>
      </c>
      <c r="N69" s="2332" t="e">
        <f>M69/M49</f>
        <v>#VALUE!</v>
      </c>
      <c r="Z69" s="1623"/>
      <c r="AI69" s="1561"/>
    </row>
    <row r="70" spans="1:35" s="642" customFormat="1" ht="15" thickBot="1">
      <c r="A70" s="3333" t="s">
        <v>1394</v>
      </c>
      <c r="B70" s="3334"/>
      <c r="C70" s="3334"/>
      <c r="D70" s="3334"/>
      <c r="E70" s="3334"/>
      <c r="F70" s="3334"/>
      <c r="G70" s="3334"/>
      <c r="H70" s="333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5" t="s">
        <v>1375</v>
      </c>
      <c r="B71" s="332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0" t="s">
        <v>1402</v>
      </c>
      <c r="F76" s="3329"/>
      <c r="G76" s="3329"/>
      <c r="H76" s="333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22" t="s">
        <v>1406</v>
      </c>
      <c r="F78" s="3323"/>
      <c r="G78" s="3323"/>
      <c r="H78" s="332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3" t="s">
        <v>1410</v>
      </c>
      <c r="B83" s="3334"/>
      <c r="C83" s="3334"/>
      <c r="D83" s="3334"/>
      <c r="E83" s="3334"/>
      <c r="F83" s="3334"/>
      <c r="G83" s="3334"/>
      <c r="H83" s="333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5" t="s">
        <v>1375</v>
      </c>
      <c r="B84" s="332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1" t="s">
        <v>2129</v>
      </c>
      <c r="H90" s="329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2" t="s">
        <v>1419</v>
      </c>
      <c r="F91" s="3323"/>
      <c r="G91" s="332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2" t="s">
        <v>1422</v>
      </c>
      <c r="F92" s="3323"/>
      <c r="G92" s="3323"/>
      <c r="H92" s="332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22" t="s">
        <v>1406</v>
      </c>
      <c r="F93" s="3323"/>
      <c r="G93" s="3323"/>
      <c r="H93" s="332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7" t="s">
        <v>1426</v>
      </c>
      <c r="F94" s="3368"/>
      <c r="G94" s="3368"/>
      <c r="H94" s="33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2" t="s">
        <v>1428</v>
      </c>
      <c r="B100" s="3273"/>
      <c r="C100" s="3273"/>
      <c r="D100" s="3307"/>
      <c r="E100" s="3273" t="s">
        <v>1429</v>
      </c>
      <c r="F100" s="3273"/>
      <c r="G100" s="3273"/>
      <c r="H100" s="3307"/>
      <c r="I100" s="121"/>
    </row>
    <row r="101" spans="1:35" ht="18.75" customHeight="1">
      <c r="A101" s="3315" t="s">
        <v>1430</v>
      </c>
      <c r="B101" s="3316"/>
      <c r="C101" s="2371" t="str">
        <f>C4</f>
        <v>成本法</v>
      </c>
      <c r="D101" s="2372" t="str">
        <f>D4</f>
        <v>收益法</v>
      </c>
      <c r="E101" s="3285" t="s">
        <v>1431</v>
      </c>
      <c r="F101" s="3286"/>
      <c r="G101" s="1687" t="s">
        <v>1432</v>
      </c>
      <c r="H101" s="2381" t="e">
        <f ca="1">H118</f>
        <v>#REF!</v>
      </c>
      <c r="I101" s="121"/>
    </row>
    <row r="102" spans="1:35" ht="18.75" customHeight="1">
      <c r="A102" s="3317" t="s">
        <v>1433</v>
      </c>
      <c r="B102" s="2370" t="s">
        <v>1432</v>
      </c>
      <c r="C102" s="2371">
        <f ca="1">IF(D32="楼面单价",ROUND(C19,0),C19)</f>
        <v>2542</v>
      </c>
      <c r="D102" s="2372">
        <f ca="1">IF(D32="楼面单价",ROUND(D19,0),D19)</f>
        <v>304</v>
      </c>
      <c r="E102" s="3285"/>
      <c r="F102" s="3286"/>
      <c r="G102" s="1687" t="s">
        <v>1434</v>
      </c>
      <c r="H102" s="2341" t="e">
        <f ca="1">I118</f>
        <v>#REF!</v>
      </c>
      <c r="I102" s="121"/>
    </row>
    <row r="103" spans="1:35" ht="42.75" customHeight="1">
      <c r="A103" s="3317"/>
      <c r="B103" s="2370" t="s">
        <v>1434</v>
      </c>
      <c r="C103" s="2373">
        <f ca="1">C20</f>
        <v>3959</v>
      </c>
      <c r="D103" s="2374">
        <f ca="1">D20</f>
        <v>473</v>
      </c>
      <c r="E103" s="3278" t="s">
        <v>1435</v>
      </c>
      <c r="F103" s="3279"/>
      <c r="G103" s="1688" t="s">
        <v>1436</v>
      </c>
      <c r="H103" s="2381">
        <f>IF(D36="正常操作",H104+H105+H106,H105+H106)</f>
        <v>0</v>
      </c>
      <c r="I103" s="121"/>
    </row>
    <row r="104" spans="1:35" ht="18.75" customHeight="1">
      <c r="A104" s="331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8" t="str">
        <f>IF(项目基本情况!E8="已注销","——","3.房地产抵押价值")</f>
        <v>3.房地产抵押价值</v>
      </c>
      <c r="F107" s="3286"/>
      <c r="G107" s="1687" t="s">
        <v>1432</v>
      </c>
      <c r="H107" s="2381" t="e">
        <f ca="1">IF(E107="——","——",H101-H103)</f>
        <v>#REF!</v>
      </c>
      <c r="I107" s="121"/>
    </row>
    <row r="108" spans="1:35" ht="18.75" customHeight="1">
      <c r="A108" s="121"/>
      <c r="B108" s="121"/>
      <c r="C108" s="121"/>
      <c r="D108" s="121"/>
      <c r="E108" s="3318"/>
      <c r="F108" s="3286"/>
      <c r="G108" s="1687" t="s">
        <v>1434</v>
      </c>
      <c r="H108" s="2341">
        <f ca="1">IF(H107=H101,H102,ROUND(H107*10000/'数据-汇总表'!E3,0))</f>
        <v>0</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318"/>
      <c r="F110" s="3286"/>
      <c r="G110" s="1687" t="s">
        <v>1434</v>
      </c>
      <c r="H110" s="2341"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20"/>
      <c r="F112" s="3321"/>
      <c r="G112" s="1690" t="s">
        <v>1434</v>
      </c>
      <c r="H112" s="2385" t="str">
        <f>IF(E111="——","——",N61)</f>
        <v>——</v>
      </c>
      <c r="I112" s="121"/>
    </row>
    <row r="113" spans="1:27" ht="18.75" customHeight="1">
      <c r="A113" s="121"/>
      <c r="B113" s="121"/>
      <c r="C113" s="121"/>
      <c r="D113" s="121"/>
      <c r="E113" s="3328" t="s">
        <v>1440</v>
      </c>
      <c r="F113" s="3328"/>
      <c r="G113" s="3328"/>
      <c r="H113" s="3328"/>
      <c r="I113" s="121"/>
    </row>
    <row r="114" spans="1:27" ht="3.75" customHeight="1">
      <c r="A114" s="646"/>
      <c r="B114" s="646"/>
      <c r="C114" s="646"/>
      <c r="D114" s="646"/>
      <c r="E114" s="1671"/>
      <c r="F114" s="1671"/>
      <c r="G114" s="1671"/>
      <c r="H114" s="1671"/>
      <c r="I114" s="646"/>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6420.54</v>
      </c>
      <c r="C118" s="2150">
        <f>M19</f>
        <v>12462.11</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3" t="s">
        <v>1452</v>
      </c>
      <c r="B119" s="3293"/>
      <c r="C119" s="3293"/>
      <c r="D119" s="3299" t="e">
        <f ca="1">NUMBERSTRING(INT(D118*10000),2)&amp;"元整"</f>
        <v>#REF!</v>
      </c>
      <c r="E119" s="3300"/>
      <c r="F119" s="3299" t="e">
        <f ca="1">NUMBERSTRING(INT(F118*10000),2)&amp;"元整"</f>
        <v>#REF!</v>
      </c>
      <c r="G119" s="3300"/>
      <c r="H119" s="3299" t="e">
        <f ca="1">NUMBERSTRING(INT(H118*10000),2)&amp;"元整"</f>
        <v>#REF!</v>
      </c>
      <c r="I119" s="3300"/>
    </row>
    <row r="120" spans="1:27" ht="18.75" customHeight="1">
      <c r="A120" s="3294" t="str">
        <f>IF(项目基本情况!B9="房地产市场价值","",MID(E103,3,LEN(E103)-2))</f>
        <v/>
      </c>
      <c r="B120" s="3295"/>
      <c r="C120" s="3296"/>
      <c r="D120" s="3294">
        <f>H103</f>
        <v>0</v>
      </c>
      <c r="E120" s="3295"/>
      <c r="F120" s="3295"/>
      <c r="G120" s="3295"/>
      <c r="H120" s="3295"/>
      <c r="I120" s="329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9" t="s">
        <v>1452</v>
      </c>
      <c r="B121" s="3301"/>
      <c r="C121" s="3300"/>
      <c r="D121" s="3299" t="str">
        <f>IF(D120=0,"零元整",NUMBERSTRING(INT(D120*10000),2)&amp;"元整")</f>
        <v>零元整</v>
      </c>
      <c r="E121" s="3301"/>
      <c r="F121" s="3301"/>
      <c r="G121" s="3301"/>
      <c r="H121" s="3301"/>
      <c r="I121" s="3300"/>
      <c r="AA121" s="684"/>
    </row>
    <row r="122" spans="1:27" ht="18.75" customHeight="1">
      <c r="A122" s="3305" t="str">
        <f>IF(项目基本情况!B9="房地产市场价值","",MID(E107,3,LEN(E107)-2))</f>
        <v/>
      </c>
      <c r="B122" s="3305"/>
      <c r="C122" s="3305"/>
      <c r="D122" s="3294" t="e">
        <f ca="1">H107</f>
        <v>#REF!</v>
      </c>
      <c r="E122" s="3295"/>
      <c r="F122" s="3295"/>
      <c r="G122" s="3295"/>
      <c r="H122" s="3295"/>
      <c r="I122" s="3296"/>
      <c r="AA122" s="684"/>
    </row>
    <row r="123" spans="1:27" ht="18.75" customHeight="1">
      <c r="A123" s="3293" t="s">
        <v>1452</v>
      </c>
      <c r="B123" s="3293"/>
      <c r="C123" s="3293"/>
      <c r="D123" s="3299" t="e">
        <f ca="1">NUMBERSTRING(INT(D122*10000),2)&amp;"元整"</f>
        <v>#REF!</v>
      </c>
      <c r="E123" s="3301"/>
      <c r="F123" s="3301"/>
      <c r="G123" s="3301"/>
      <c r="H123" s="3301"/>
      <c r="I123" s="3300"/>
      <c r="AA123" s="684"/>
    </row>
    <row r="124" spans="1:27" ht="18.75" customHeight="1">
      <c r="A124" s="3305" t="str">
        <f>IF(项目基本情况!B9="房地产市场价值","",MID(E109,3,LEN(E109)-2))</f>
        <v/>
      </c>
      <c r="B124" s="3305"/>
      <c r="C124" s="3305"/>
      <c r="D124" s="3294" t="str">
        <f>H109</f>
        <v>——</v>
      </c>
      <c r="E124" s="3295"/>
      <c r="F124" s="3295"/>
      <c r="G124" s="3295"/>
      <c r="H124" s="3295"/>
      <c r="I124" s="3296"/>
      <c r="AA124" s="684"/>
    </row>
    <row r="125" spans="1:27" ht="18.75" customHeight="1">
      <c r="A125" s="3293" t="s">
        <v>1452</v>
      </c>
      <c r="B125" s="3293"/>
      <c r="C125" s="3293"/>
      <c r="D125" s="3299" t="e">
        <f>NUMBERSTRING(INT(D124*10000),2)&amp;"元整"</f>
        <v>#VALUE!</v>
      </c>
      <c r="E125" s="3301"/>
      <c r="F125" s="3301"/>
      <c r="G125" s="3301"/>
      <c r="H125" s="3301"/>
      <c r="I125" s="3300"/>
      <c r="AA125" s="684"/>
    </row>
    <row r="126" spans="1:27" ht="18.75" customHeight="1">
      <c r="A126" s="3305" t="str">
        <f>IF(项目基本情况!B9="房地产市场价值","",MID(E111,3,LEN(E111)-2))</f>
        <v/>
      </c>
      <c r="B126" s="3305"/>
      <c r="C126" s="3305"/>
      <c r="D126" s="3294" t="str">
        <f>H111</f>
        <v>——</v>
      </c>
      <c r="E126" s="3295"/>
      <c r="F126" s="3295"/>
      <c r="G126" s="3295"/>
      <c r="H126" s="3295"/>
      <c r="I126" s="3296"/>
      <c r="AA126" s="684"/>
    </row>
    <row r="127" spans="1:27" ht="18.75" customHeight="1">
      <c r="A127" s="3293" t="s">
        <v>1452</v>
      </c>
      <c r="B127" s="3293"/>
      <c r="C127" s="3293"/>
      <c r="D127" s="3299" t="e">
        <f>NUMBERSTRING(INT(D126*10000),2)&amp;"元整"</f>
        <v>#VALUE!</v>
      </c>
      <c r="E127" s="3301"/>
      <c r="F127" s="3301"/>
      <c r="G127" s="3301"/>
      <c r="H127" s="3301"/>
      <c r="I127" s="3300"/>
      <c r="AA127" s="684"/>
    </row>
    <row r="128" spans="1:27" ht="21.75" customHeight="1">
      <c r="A128" s="3302" t="s">
        <v>1453</v>
      </c>
      <c r="B128" s="3302"/>
      <c r="C128" s="3302"/>
      <c r="D128" s="3302"/>
      <c r="E128" s="3302"/>
      <c r="F128" s="3302"/>
      <c r="G128" s="3302"/>
      <c r="H128" s="3302"/>
      <c r="I128" s="330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1921.8833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2993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513643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513643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513643</v>
      </c>
      <c r="D10" s="795">
        <f ca="1">IF(B1="",'数据-汇总表'!E6,IF(INDIRECT("'数据-取费表'!c"&amp;$G$1)="住宅",INDIRECT("'数据-取费表'!s"&amp;$G$1),INDIRECT("'数据-取费表'!k"&amp;$G$1)+INDIRECT("'数据-取费表'!s"&amp;$G$1)))</f>
        <v>6420.54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1187800</v>
      </c>
      <c r="D19" s="204">
        <f ca="1">D9+D10</f>
        <v>6420.54</v>
      </c>
      <c r="E19" s="203">
        <f>'数据-取费表'!B31</f>
        <v>185</v>
      </c>
      <c r="F19" s="223"/>
      <c r="G19" s="1714"/>
    </row>
    <row r="20" spans="1:7" s="206" customFormat="1" ht="13.5" customHeight="1">
      <c r="A20" s="247" t="s">
        <v>1574</v>
      </c>
      <c r="B20" s="202" t="s">
        <v>1575</v>
      </c>
      <c r="C20" s="224">
        <f ca="1">ROUND((C5+C19)*F20,0)</f>
        <v>34029</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51553</v>
      </c>
      <c r="D22" s="227">
        <f ca="1">C26</f>
        <v>2.0000000000000001E-4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15409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35634</v>
      </c>
      <c r="D24" s="230"/>
      <c r="E24" s="230"/>
      <c r="F24" s="231"/>
      <c r="G24" s="232" t="s">
        <v>1586</v>
      </c>
    </row>
    <row r="25" spans="1:7" s="206" customFormat="1" ht="24">
      <c r="A25" s="734" t="s">
        <v>1476</v>
      </c>
      <c r="B25" s="207" t="s">
        <v>1587</v>
      </c>
      <c r="C25" s="230">
        <f ca="1">ROUND(IF('数据-取费表'!B22&lt;=1,C20*F22*'数据-取费表'!B22/2,C20*(POWER((1+F22),'数据-取费表'!B22/2)-1)),0)</f>
        <v>510</v>
      </c>
      <c r="D25" s="230"/>
      <c r="E25" s="233"/>
      <c r="F25" s="231"/>
      <c r="G25" s="234" t="s">
        <v>1588</v>
      </c>
    </row>
    <row r="26" spans="1:7" s="206" customFormat="1">
      <c r="A26" s="734"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86774</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86774</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1999999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24751183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22471890</v>
      </c>
      <c r="D34" s="209"/>
      <c r="E34" s="212"/>
      <c r="F34" s="249"/>
      <c r="G34" s="211"/>
    </row>
    <row r="35" spans="1:7" ht="13.5" customHeight="1">
      <c r="A35" s="734" t="s">
        <v>351</v>
      </c>
      <c r="B35" s="207" t="s">
        <v>1527</v>
      </c>
      <c r="C35" s="212">
        <f ca="1">ROUND(C34*F35,0)</f>
        <v>1123595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32103</v>
      </c>
      <c r="D37" s="209">
        <f ca="1">D19</f>
        <v>6420.54</v>
      </c>
      <c r="E37" s="241">
        <f>'数据-取费表'!B35</f>
        <v>5</v>
      </c>
      <c r="F37" s="251"/>
      <c r="G37" s="253"/>
    </row>
    <row r="38" spans="1:7" ht="13.5" customHeight="1">
      <c r="A38" s="734" t="s">
        <v>354</v>
      </c>
      <c r="B38" s="207" t="s">
        <v>1533</v>
      </c>
      <c r="C38" s="212">
        <f ca="1">ROUND(C34*F38,0)</f>
        <v>1123595</v>
      </c>
      <c r="D38" s="212"/>
      <c r="E38" s="212"/>
      <c r="F38" s="251">
        <f>'数据-取费表'!B36</f>
        <v>0.05</v>
      </c>
      <c r="G38" s="211" t="s">
        <v>1528</v>
      </c>
    </row>
    <row r="39" spans="1:7" s="206" customFormat="1" ht="13.5" customHeight="1">
      <c r="A39" s="247" t="s">
        <v>1534</v>
      </c>
      <c r="B39" s="202" t="s">
        <v>1535</v>
      </c>
      <c r="C39" s="224">
        <f ca="1">ROUND(C33*F20,0)</f>
        <v>495024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378693</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371268</v>
      </c>
      <c r="D42" s="230"/>
      <c r="E42" s="230"/>
      <c r="F42" s="231"/>
      <c r="G42" s="3372" t="s">
        <v>1591</v>
      </c>
    </row>
    <row r="43" spans="1:7" ht="13.5" customHeight="1">
      <c r="A43" s="734" t="s">
        <v>347</v>
      </c>
      <c r="B43" s="207" t="s">
        <v>1545</v>
      </c>
      <c r="C43" s="230">
        <f ca="1">ROUND(IF('数据-取费表'!B22&lt;=1,C39*F22*'数据-取费表'!B20/2,C39*(POWER((1+F22),'数据-取费表'!B20/2)-1)),0)</f>
        <v>7425</v>
      </c>
      <c r="D43" s="230"/>
      <c r="E43" s="230"/>
      <c r="F43" s="231"/>
      <c r="G43" s="3373"/>
    </row>
    <row r="44" spans="1:7" ht="13.5" customHeight="1">
      <c r="A44" s="734" t="s">
        <v>348</v>
      </c>
      <c r="B44" s="207" t="s">
        <v>1546</v>
      </c>
      <c r="C44" s="230">
        <f ca="1">ROUND(IF('数据-取费表'!B22&lt;=1,C40*F22*'数据-取费表'!B20/2,C40*(POWER((1+F22),'数据-取费表'!B20/2)-1)),4)</f>
        <v>2.0000000000000001E-4</v>
      </c>
      <c r="D44" s="230"/>
      <c r="E44" s="230"/>
      <c r="F44" s="231"/>
      <c r="G44" s="3374"/>
    </row>
    <row r="45" spans="1:7" s="206" customFormat="1" ht="13.5" customHeight="1">
      <c r="A45" s="247" t="s">
        <v>1547</v>
      </c>
      <c r="B45" s="236" t="s">
        <v>1513</v>
      </c>
      <c r="C45" s="237">
        <f ca="1">C46</f>
        <v>1262310</v>
      </c>
      <c r="D45" s="227">
        <f ca="1">C47</f>
        <v>5.0000000000000001E-4</v>
      </c>
      <c r="E45" s="228" t="s">
        <v>1539</v>
      </c>
      <c r="F45" s="238">
        <f ca="1">F27</f>
        <v>0.05</v>
      </c>
      <c r="G45" s="239" t="s">
        <v>1548</v>
      </c>
    </row>
    <row r="46" spans="1:7" s="206" customFormat="1" ht="13.5" customHeight="1">
      <c r="A46" s="734" t="s">
        <v>346</v>
      </c>
      <c r="B46" s="240" t="s">
        <v>1549</v>
      </c>
      <c r="C46" s="241">
        <f ca="1">ROUND((C33+C39)*F27,0)</f>
        <v>1262310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28698057</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17218834</v>
      </c>
      <c r="D51" s="224"/>
      <c r="E51" s="224"/>
      <c r="F51" s="256"/>
      <c r="G51" s="226" t="s">
        <v>1560</v>
      </c>
    </row>
    <row r="52" spans="1:7" s="200" customFormat="1" ht="16.5" thickBot="1">
      <c r="A52" s="257" t="s">
        <v>1561</v>
      </c>
      <c r="B52" s="258"/>
      <c r="C52" s="259">
        <f ca="1">C31+C51</f>
        <v>19218833</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0" t="str">
        <f>项目基本情况!B1</f>
        <v>北京市房地产市场价值预评估</v>
      </c>
      <c r="C37" s="3190"/>
      <c r="D37" s="3190"/>
      <c r="E37" s="3190"/>
      <c r="F37" s="3190"/>
      <c r="G37" s="3190"/>
      <c r="H37" s="3190"/>
      <c r="I37" s="319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6420.54</v>
      </c>
      <c r="E14" s="21">
        <f>'数据-取费表'!B35</f>
        <v>5</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0.05</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6420.54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51</v>
      </c>
      <c r="D20" s="796">
        <f ca="1">IF(C1="",'数据-汇总表'!E6,IF(INDIRECT("'数据-取费表'!c"&amp;$K$1)="住宅",INDIRECT("'数据-取费表'!s"&amp;$K$1),INDIRECT("'数据-取费表'!k"&amp;$K$1)+INDIRECT("'数据-取费表'!s"&amp;$K$1)))</f>
        <v>6420.54</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130" zoomScaleNormal="70" zoomScaleSheetLayoutView="130" workbookViewId="0">
      <selection activeCell="C6" sqref="C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304</v>
      </c>
      <c r="C2" s="1289" t="s">
        <v>805</v>
      </c>
      <c r="D2" s="1289"/>
      <c r="E2" s="1295"/>
      <c r="F2" s="1296"/>
      <c r="G2" s="2479"/>
      <c r="H2" s="2469"/>
      <c r="I2" s="2469"/>
      <c r="J2" s="2469"/>
      <c r="K2" s="2470"/>
      <c r="L2" s="2469"/>
      <c r="M2" s="2469"/>
    </row>
    <row r="3" spans="1:37" ht="18" customHeight="1" thickBot="1">
      <c r="A3" s="1297" t="s">
        <v>806</v>
      </c>
      <c r="B3" s="1298">
        <f ca="1">IF(ISERROR(B2*10000/F43),0,ROUND(B2*10000/F43,0))</f>
        <v>473</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38</v>
      </c>
      <c r="D5" s="1273" t="s">
        <v>693</v>
      </c>
      <c r="E5" s="1008"/>
      <c r="F5" s="1009"/>
      <c r="G5" s="1292"/>
      <c r="H5" s="291">
        <v>1</v>
      </c>
      <c r="I5" s="292" t="s">
        <v>692</v>
      </c>
      <c r="J5" s="1007">
        <f ca="1">J6+J10+J12</f>
        <v>0</v>
      </c>
      <c r="K5" s="1273" t="s">
        <v>693</v>
      </c>
      <c r="L5" s="1008"/>
      <c r="M5" s="1009"/>
    </row>
    <row r="6" spans="1:37" ht="18" customHeight="1">
      <c r="A6" s="1006" t="s">
        <v>398</v>
      </c>
      <c r="B6" s="3377" t="s">
        <v>694</v>
      </c>
      <c r="C6" s="1011">
        <f ca="1">ROUND(F6*F8*F7*(1-F9)/10000,0)</f>
        <v>38</v>
      </c>
      <c r="D6" s="147" t="s">
        <v>2109</v>
      </c>
      <c r="E6" s="294" t="s">
        <v>696</v>
      </c>
      <c r="F6" s="295">
        <f ca="1">INDIRECT("'数据-取费表'!u"&amp;$G$1)</f>
        <v>0.18</v>
      </c>
      <c r="G6" s="1292"/>
      <c r="H6" s="1006" t="s">
        <v>398</v>
      </c>
      <c r="I6" s="3377" t="s">
        <v>694</v>
      </c>
      <c r="J6" s="293">
        <f ca="1">ROUND(M6*M8*M7*(1-M9)/10000,0)</f>
        <v>0</v>
      </c>
      <c r="K6" s="147" t="s">
        <v>2108</v>
      </c>
      <c r="L6" s="294" t="s">
        <v>696</v>
      </c>
      <c r="M6" s="295">
        <f ca="1">INDIRECT("'数据-取费表'!z"&amp;$G$1)</f>
        <v>0</v>
      </c>
    </row>
    <row r="7" spans="1:37" ht="18" customHeight="1">
      <c r="A7" s="1010"/>
      <c r="B7" s="3378"/>
      <c r="C7" s="1012"/>
      <c r="D7" s="299"/>
      <c r="E7" s="1013" t="s">
        <v>697</v>
      </c>
      <c r="F7" s="295">
        <f ca="1">IF(INDIRECT("'数据-取费表'!ah"&amp;$G$1)="",INDIRECT("'数据-取费表'!k"&amp;$G$1),INDIRECT("'数据-取费表'!ah"&amp;$G$1))</f>
        <v>6420.54</v>
      </c>
      <c r="G7" s="1292"/>
      <c r="H7" s="296"/>
      <c r="I7" s="3378"/>
      <c r="J7" s="298"/>
      <c r="K7" s="299"/>
      <c r="L7" s="294" t="s">
        <v>697</v>
      </c>
      <c r="M7" s="295">
        <f ca="1">F7</f>
        <v>6420.54</v>
      </c>
    </row>
    <row r="8" spans="1:37" ht="18" customHeight="1">
      <c r="A8" s="296"/>
      <c r="B8" s="3378"/>
      <c r="C8" s="298"/>
      <c r="D8" s="299"/>
      <c r="E8" s="294" t="s">
        <v>698</v>
      </c>
      <c r="F8" s="295">
        <f ca="1">INDIRECT("'数据-取费表'!ai"&amp;$G$1)</f>
        <v>365</v>
      </c>
      <c r="G8" s="1292"/>
      <c r="H8" s="296"/>
      <c r="I8" s="3378"/>
      <c r="J8" s="298"/>
      <c r="K8" s="299"/>
      <c r="L8" s="294" t="s">
        <v>698</v>
      </c>
      <c r="M8" s="295">
        <f ca="1">INDIRECT("'数据-取费表'!ai"&amp;$G$1)</f>
        <v>365</v>
      </c>
    </row>
    <row r="9" spans="1:37" ht="18" customHeight="1">
      <c r="A9" s="296"/>
      <c r="B9" s="3379"/>
      <c r="C9" s="298"/>
      <c r="D9" s="299"/>
      <c r="E9" s="294" t="s">
        <v>699</v>
      </c>
      <c r="F9" s="304">
        <f ca="1">INDIRECT("'数据-取费表'!w"&amp;$G$1)</f>
        <v>0.1</v>
      </c>
      <c r="G9" s="1292"/>
      <c r="H9" s="296"/>
      <c r="I9" s="337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3478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1721</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2247</v>
      </c>
      <c r="D14" s="1257" t="s">
        <v>708</v>
      </c>
      <c r="E14" s="1255"/>
      <c r="F14" s="311"/>
      <c r="G14" s="1292"/>
      <c r="H14" s="928" t="s">
        <v>398</v>
      </c>
      <c r="I14" s="294" t="s">
        <v>709</v>
      </c>
      <c r="J14" s="21">
        <f ca="1">C29</f>
        <v>2868</v>
      </c>
      <c r="K14" s="12"/>
      <c r="L14" s="759"/>
      <c r="M14" s="760"/>
    </row>
    <row r="15" spans="1:37" s="1304" customFormat="1" ht="18" customHeight="1" thickBot="1">
      <c r="A15" s="928" t="s">
        <v>399</v>
      </c>
      <c r="B15" s="294" t="s">
        <v>710</v>
      </c>
      <c r="C15" s="21">
        <f ca="1">ROUND(C14*F15,0)</f>
        <v>112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v>
      </c>
      <c r="K16" s="1024" t="s">
        <v>715</v>
      </c>
      <c r="L16" s="1025"/>
      <c r="M16" s="1009"/>
    </row>
    <row r="17" spans="1:37" s="1304" customFormat="1" ht="18" customHeight="1">
      <c r="A17" s="928" t="s">
        <v>681</v>
      </c>
      <c r="B17" s="294" t="s">
        <v>716</v>
      </c>
      <c r="C17" s="21">
        <f ca="1">ROUND(F17*(F43+INDIRECT("'数据-取费表'!S"&amp;$G$1))/10000,0)</f>
        <v>3</v>
      </c>
      <c r="D17" s="294" t="s">
        <v>717</v>
      </c>
      <c r="E17" s="294" t="s">
        <v>718</v>
      </c>
      <c r="F17" s="23">
        <f>'数据-取费表'!B35</f>
        <v>5</v>
      </c>
      <c r="G17" s="1303"/>
      <c r="H17" s="928" t="s">
        <v>398</v>
      </c>
      <c r="I17" s="294" t="s">
        <v>719</v>
      </c>
      <c r="J17" s="2140">
        <f ca="1">ROUND(IF(AND(项目基本情况!B11="自然人",项目基本情况!B10="北京市"),J6*M17/(1+'数据-取费表'!C42),J18+J19+J20),2)</f>
        <v>1.87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112</v>
      </c>
      <c r="D18" s="294" t="s">
        <v>711</v>
      </c>
      <c r="E18" s="294" t="s">
        <v>712</v>
      </c>
      <c r="F18" s="314">
        <f>'数据-取费表'!B36</f>
        <v>0.05</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2474</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49</v>
      </c>
      <c r="D20" s="315" t="s">
        <v>729</v>
      </c>
      <c r="E20" s="294" t="s">
        <v>712</v>
      </c>
      <c r="F20" s="314">
        <f>'数据-取费表'!B37</f>
        <v>0.02</v>
      </c>
      <c r="G20" s="1303"/>
      <c r="H20" s="928" t="s">
        <v>680</v>
      </c>
      <c r="I20" s="147" t="s">
        <v>730</v>
      </c>
      <c r="J20" s="22">
        <f ca="1">ROUND(M20*M21/10000,2)</f>
        <v>1.87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12462.11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5.74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v>
      </c>
      <c r="K25" s="1032" t="s">
        <v>753</v>
      </c>
      <c r="L25" s="1033"/>
      <c r="M25" s="1034"/>
    </row>
    <row r="26" spans="1:37">
      <c r="A26" s="928" t="s">
        <v>397</v>
      </c>
      <c r="B26" s="294" t="s">
        <v>754</v>
      </c>
      <c r="C26" s="21">
        <f ca="1">ROUND((C19+C20)*F26,0)</f>
        <v>126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5.0000000000000001E-4</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2868</v>
      </c>
      <c r="D29" s="1029"/>
      <c r="E29" s="1027"/>
      <c r="F29" s="1030"/>
      <c r="G29" s="1303"/>
      <c r="H29" s="325" t="s">
        <v>396</v>
      </c>
      <c r="I29" s="326" t="s">
        <v>768</v>
      </c>
      <c r="J29" s="327">
        <f ca="1">ROUND(J26/(1+F40)^F41,0)</f>
        <v>0</v>
      </c>
      <c r="K29" s="328" t="s">
        <v>769</v>
      </c>
      <c r="L29" s="329"/>
      <c r="M29" s="330">
        <f ca="1">INDIRECT("'数据-取费表'!k"&amp;$G$1)</f>
        <v>6420.54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8.1999999999999993</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1.99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4.34</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1.87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12462.11</v>
      </c>
      <c r="G35" s="1292"/>
      <c r="H35" s="2471"/>
      <c r="I35" s="1305"/>
      <c r="J35" s="1306"/>
      <c r="K35" s="2475"/>
      <c r="L35" s="2474"/>
      <c r="M35" s="2474"/>
    </row>
    <row r="36" spans="1:18" ht="18" customHeight="1">
      <c r="A36" s="1039" t="s">
        <v>402</v>
      </c>
      <c r="B36" s="294" t="s">
        <v>738</v>
      </c>
      <c r="C36" s="21">
        <f ca="1">ROUND(C29*F36,2)</f>
        <v>5.74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1.72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0.38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304</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24</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473</v>
      </c>
      <c r="D43" s="328" t="s">
        <v>777</v>
      </c>
      <c r="E43" s="329" t="s">
        <v>778</v>
      </c>
      <c r="F43" s="330">
        <f ca="1">INDIRECT("'数据-取费表'!k"&amp;$G$1)</f>
        <v>6420.54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-428</v>
      </c>
      <c r="D46" s="1313" t="str">
        <f>C2</f>
        <v>万元</v>
      </c>
      <c r="E46" s="1307"/>
      <c r="F46" s="1307"/>
      <c r="I46" s="1314" t="s">
        <v>810</v>
      </c>
      <c r="J46" s="1315"/>
      <c r="K46" s="1316"/>
      <c r="L46" s="1317">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3479</v>
      </c>
      <c r="K47" s="1323" t="s">
        <v>816</v>
      </c>
      <c r="L47" s="1324">
        <f ca="1">INDIRECT("'数据-取费表'!d"&amp;$G$1)</f>
        <v>50</v>
      </c>
      <c r="M47" s="1288" t="str">
        <f>IF(ISNUMBER(FIND("住宅",C1)),"住宅","非住宅")</f>
        <v>非住宅</v>
      </c>
      <c r="O47" s="1325" t="s">
        <v>403</v>
      </c>
      <c r="P47" s="1326" t="s">
        <v>817</v>
      </c>
      <c r="Q47" s="1327">
        <f ca="1">C40+J29</f>
        <v>304</v>
      </c>
      <c r="R47" s="1327" t="s">
        <v>818</v>
      </c>
    </row>
    <row r="48" spans="1:18" s="1292" customFormat="1" ht="28.5" thickBot="1">
      <c r="A48" s="1047" t="s">
        <v>438</v>
      </c>
      <c r="B48" s="292" t="s">
        <v>692</v>
      </c>
      <c r="C48" s="1268">
        <f ca="1">C49+C53+C55</f>
        <v>0</v>
      </c>
      <c r="D48" s="1049"/>
      <c r="E48" s="1050"/>
      <c r="F48" s="908"/>
      <c r="G48" s="681"/>
      <c r="H48" s="682"/>
      <c r="I48" s="1328" t="s">
        <v>819</v>
      </c>
      <c r="J48" s="1329" t="s">
        <v>3480</v>
      </c>
      <c r="K48" s="1330" t="s">
        <v>820</v>
      </c>
      <c r="L48" s="1331">
        <f ca="1">INDIRECT("'数据-取费表'!f"&amp;$G$1)</f>
        <v>27.59</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2000</v>
      </c>
      <c r="K49" s="1330" t="s">
        <v>824</v>
      </c>
      <c r="L49" s="1333"/>
      <c r="O49" s="1334" t="s">
        <v>405</v>
      </c>
      <c r="P49" s="1326" t="s">
        <v>825</v>
      </c>
      <c r="Q49" s="1327">
        <f ca="1">C29</f>
        <v>2868</v>
      </c>
      <c r="R49" s="1327" t="s">
        <v>818</v>
      </c>
    </row>
    <row r="50" spans="1:18" s="1292" customFormat="1" ht="13.5" thickBot="1">
      <c r="A50" s="922"/>
      <c r="B50" s="925"/>
      <c r="C50" s="1055"/>
      <c r="D50" s="899"/>
      <c r="E50" s="993" t="s">
        <v>697</v>
      </c>
      <c r="F50" s="994">
        <f ca="1">F7</f>
        <v>6420.54</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24</v>
      </c>
      <c r="K51" s="1339" t="s">
        <v>830</v>
      </c>
      <c r="L51" s="1340">
        <f ca="1">ROUND(-PV(INDIRECT("'数据-取费表'!h"&amp;$G$1),J51,(C39-C13*C76),0),0)</f>
        <v>-1121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v>0.05</v>
      </c>
      <c r="O52" s="1334" t="s">
        <v>408</v>
      </c>
      <c r="P52" s="1326" t="s">
        <v>834</v>
      </c>
      <c r="Q52" s="1327">
        <f ca="1">J53</f>
        <v>24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v>
      </c>
      <c r="K53" s="3375" t="s">
        <v>837</v>
      </c>
      <c r="L53" s="3376"/>
      <c r="O53" s="1325" t="s">
        <v>409</v>
      </c>
      <c r="P53" s="1326" t="s">
        <v>838</v>
      </c>
      <c r="Q53" s="1327">
        <f ca="1">Q47+Q48</f>
        <v>304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3482</v>
      </c>
      <c r="O55" s="1318" t="s">
        <v>811</v>
      </c>
      <c r="P55" s="1319" t="s">
        <v>812</v>
      </c>
      <c r="Q55" s="1320" t="s">
        <v>813</v>
      </c>
      <c r="R55" s="1320" t="s">
        <v>814</v>
      </c>
    </row>
    <row r="56" spans="1:18" s="1292" customFormat="1" ht="25.5" thickTop="1" thickBot="1">
      <c r="A56" s="903">
        <v>2</v>
      </c>
      <c r="B56" s="904" t="s">
        <v>704</v>
      </c>
      <c r="C56" s="224">
        <f ca="1">C13</f>
        <v>1721</v>
      </c>
      <c r="D56" s="1352"/>
      <c r="E56" s="1353"/>
      <c r="F56" s="1345"/>
      <c r="I56" s="1354" t="s">
        <v>842</v>
      </c>
      <c r="J56" s="1355" t="s">
        <v>3481</v>
      </c>
      <c r="K56" s="1328" t="s">
        <v>843</v>
      </c>
      <c r="L56" s="1331">
        <f ca="1">IF(L48&lt;J51,"——",L48-J53)</f>
        <v>3.59</v>
      </c>
      <c r="O56" s="1325" t="s">
        <v>403</v>
      </c>
      <c r="P56" s="1326" t="s">
        <v>817</v>
      </c>
      <c r="Q56" s="1327">
        <f ca="1">C40+J29</f>
        <v>304</v>
      </c>
      <c r="R56" s="1327" t="s">
        <v>818</v>
      </c>
    </row>
    <row r="57" spans="1:18" s="1292" customFormat="1" ht="24.75" thickBot="1">
      <c r="A57" s="1356"/>
      <c r="B57" s="896" t="s">
        <v>767</v>
      </c>
      <c r="C57" s="230">
        <f ca="1">C29</f>
        <v>2868</v>
      </c>
      <c r="D57" s="1357"/>
      <c r="E57" s="1358"/>
      <c r="F57" s="1359"/>
      <c r="I57" s="1360" t="s">
        <v>844</v>
      </c>
      <c r="J57" s="1361" t="str">
        <f ca="1">IF(OR(M47="住宅",J51&lt;L48,J56="是"),"——",J51-L48)</f>
        <v>——</v>
      </c>
      <c r="K57" s="1328" t="s">
        <v>845</v>
      </c>
      <c r="L57" s="1331">
        <f ca="1">IF(L48&lt;J51,"——",IF(L55="比较法",L49,IF(L55="基准地价",L50,L51)))</f>
        <v>0</v>
      </c>
      <c r="O57" s="1325" t="s">
        <v>404</v>
      </c>
      <c r="P57" s="1326" t="s">
        <v>846</v>
      </c>
      <c r="Q57" s="1327">
        <f ca="1">L60</f>
        <v>0</v>
      </c>
      <c r="R57" s="1327" t="s">
        <v>847</v>
      </c>
    </row>
    <row r="58" spans="1:18" s="1292" customFormat="1" ht="24.75" thickBot="1">
      <c r="A58" s="307" t="s">
        <v>393</v>
      </c>
      <c r="B58" s="904" t="s">
        <v>714</v>
      </c>
      <c r="C58" s="308">
        <f ca="1">ROUND(C59+C64+C65+C66,0)</f>
        <v>9</v>
      </c>
      <c r="D58" s="906" t="s">
        <v>715</v>
      </c>
      <c r="E58" s="907"/>
      <c r="F58" s="908"/>
      <c r="I58" s="1360" t="s">
        <v>848</v>
      </c>
      <c r="J58" s="1362" t="e">
        <f ca="1">IF(J55&lt;0.4,0.4,J55)</f>
        <v>#VALUE!</v>
      </c>
      <c r="K58" s="1339" t="s">
        <v>849</v>
      </c>
      <c r="L58" s="1331">
        <f ca="1">ROUND(POWER(1+L52,L47-L48)*(POWER(1+L52,L48)-1)/(POWER(1+L52,L47)-1),4)</f>
        <v>0.81040000000000001</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0.75580000000000003</v>
      </c>
      <c r="M59" s="1288">
        <f ca="1">ROUND(POWER(1+L52,L47-(J51+'数据-取费表'!B24))*(POWER(1+L52,(J51+'数据-取费表'!B24))-1)/(POWER(1+L52,L47)-1),4)</f>
        <v>0.75580000000000003</v>
      </c>
      <c r="N59" s="1288">
        <f ca="1">ROUND(POWER(1+L52,L47-(J51+'数据-取费表'!B20))*(POWER(1+L52,(J51+'数据-取费表'!B20))-1)/(POWER(1+L52,L47)-1),4)</f>
        <v>0.77200000000000002</v>
      </c>
      <c r="O59" s="1334" t="s">
        <v>406</v>
      </c>
      <c r="P59" s="1326" t="s">
        <v>852</v>
      </c>
      <c r="Q59" s="1337">
        <f>L52</f>
        <v>0.05</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0.81040000000000001</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f ca="1">L59</f>
        <v>0.75580000000000003</v>
      </c>
      <c r="R61" s="1327" t="s">
        <v>857</v>
      </c>
    </row>
    <row r="62" spans="1:18" s="1292" customFormat="1" ht="13.5" thickBot="1">
      <c r="A62" s="928" t="s">
        <v>784</v>
      </c>
      <c r="B62" s="895" t="s">
        <v>785</v>
      </c>
      <c r="C62" s="22">
        <f ca="1">IF(项目基本情况!B11="自然人","——",ROUND(F62*F63/10000,2))</f>
        <v>1.87</v>
      </c>
      <c r="D62" s="911" t="s">
        <v>786</v>
      </c>
      <c r="E62" s="896" t="s">
        <v>787</v>
      </c>
      <c r="F62" s="317">
        <f t="shared" si="0"/>
        <v>1.5</v>
      </c>
      <c r="I62" s="1367" t="s">
        <v>858</v>
      </c>
      <c r="J62" s="610" t="s">
        <v>859</v>
      </c>
      <c r="K62" s="610" t="s">
        <v>860</v>
      </c>
      <c r="L62" s="610" t="s">
        <v>861</v>
      </c>
      <c r="M62" s="1368" t="s">
        <v>862</v>
      </c>
      <c r="O62" s="1325" t="s">
        <v>409</v>
      </c>
      <c r="P62" s="1326" t="s">
        <v>863</v>
      </c>
      <c r="Q62" s="1327">
        <f ca="1">Q56+Q57</f>
        <v>304</v>
      </c>
      <c r="R62" s="1327" t="s">
        <v>410</v>
      </c>
    </row>
    <row r="63" spans="1:18" s="1292" customFormat="1" ht="13.5" thickBot="1">
      <c r="A63" s="318"/>
      <c r="B63" s="902"/>
      <c r="C63" s="26"/>
      <c r="D63" s="912"/>
      <c r="E63" s="896" t="s">
        <v>788</v>
      </c>
      <c r="F63" s="295">
        <f t="shared" ca="1" si="0"/>
        <v>12462.11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5.74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1.72</v>
      </c>
      <c r="D65" s="910" t="s">
        <v>743</v>
      </c>
      <c r="E65" s="896" t="s">
        <v>744</v>
      </c>
      <c r="F65" s="321">
        <f t="shared" ca="1" si="0"/>
        <v>1E-3</v>
      </c>
      <c r="I65" s="1367" t="s">
        <v>867</v>
      </c>
      <c r="J65" s="610">
        <v>40</v>
      </c>
      <c r="K65" s="610">
        <v>30</v>
      </c>
      <c r="L65" s="610">
        <v>50</v>
      </c>
      <c r="M65" s="1369">
        <v>0.02</v>
      </c>
      <c r="O65" s="1325" t="s">
        <v>403</v>
      </c>
      <c r="P65" s="1326" t="s">
        <v>868</v>
      </c>
      <c r="Q65" s="1327">
        <f ca="1">C40+J29</f>
        <v>304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v>
      </c>
      <c r="D67" s="909" t="s">
        <v>753</v>
      </c>
      <c r="E67" s="914"/>
      <c r="F67" s="915"/>
      <c r="O67" s="1334" t="s">
        <v>405</v>
      </c>
      <c r="P67" s="1326" t="s">
        <v>850</v>
      </c>
      <c r="Q67" s="1370">
        <f ca="1">L51</f>
        <v>-1121</v>
      </c>
      <c r="R67" s="1327" t="s">
        <v>870</v>
      </c>
    </row>
    <row r="68" spans="1:18" s="1292" customFormat="1" ht="16.5" thickBot="1">
      <c r="A68" s="893" t="s">
        <v>395</v>
      </c>
      <c r="B68" s="894" t="s">
        <v>774</v>
      </c>
      <c r="C68" s="293">
        <f ca="1">ROUND(C67*(1-((1+F70)/(1+F68))^F69)/(F68-F70),0)</f>
        <v>-124</v>
      </c>
      <c r="D68" s="911" t="s">
        <v>758</v>
      </c>
      <c r="E68" s="896" t="s">
        <v>759</v>
      </c>
      <c r="F68" s="304">
        <f ca="1">F40</f>
        <v>0.05</v>
      </c>
      <c r="O68" s="1334" t="s">
        <v>406</v>
      </c>
      <c r="P68" s="1371" t="s">
        <v>871</v>
      </c>
      <c r="Q68" s="1327">
        <f ca="1">ROUND(Q69-Q70*Q71,0)</f>
        <v>-81</v>
      </c>
      <c r="R68" s="1327" t="s">
        <v>414</v>
      </c>
    </row>
    <row r="69" spans="1:18" s="1292" customFormat="1" ht="13.5" thickBot="1">
      <c r="A69" s="897"/>
      <c r="B69" s="898"/>
      <c r="C69" s="298"/>
      <c r="D69" s="916" t="s">
        <v>762</v>
      </c>
      <c r="E69" s="896" t="s">
        <v>763</v>
      </c>
      <c r="F69" s="324">
        <f ca="1">F41</f>
        <v>24</v>
      </c>
      <c r="O69" s="1334" t="s">
        <v>411</v>
      </c>
      <c r="P69" s="1371" t="s">
        <v>872</v>
      </c>
      <c r="Q69" s="1327">
        <f ca="1">C39</f>
        <v>22</v>
      </c>
      <c r="R69" s="1327" t="s">
        <v>818</v>
      </c>
    </row>
    <row r="70" spans="1:18" s="1292" customFormat="1" ht="13.5" thickBot="1">
      <c r="A70" s="900"/>
      <c r="B70" s="901"/>
      <c r="C70" s="302"/>
      <c r="D70" s="912"/>
      <c r="E70" s="896" t="s">
        <v>766</v>
      </c>
      <c r="F70" s="991"/>
      <c r="O70" s="1334" t="s">
        <v>412</v>
      </c>
      <c r="P70" s="1371" t="s">
        <v>873</v>
      </c>
      <c r="Q70" s="1327">
        <f ca="1">C13</f>
        <v>1721</v>
      </c>
      <c r="R70" s="1327" t="s">
        <v>818</v>
      </c>
    </row>
    <row r="71" spans="1:18" s="1292" customFormat="1" ht="13.5" thickBot="1">
      <c r="A71" s="917" t="s">
        <v>396</v>
      </c>
      <c r="B71" s="918" t="s">
        <v>776</v>
      </c>
      <c r="C71" s="327">
        <f ca="1">ROUND(C68*10000/F71,0)</f>
        <v>-193</v>
      </c>
      <c r="D71" s="919" t="s">
        <v>777</v>
      </c>
      <c r="E71" s="920" t="s">
        <v>778</v>
      </c>
      <c r="F71" s="330">
        <f ca="1">F43</f>
        <v>6420.54</v>
      </c>
      <c r="O71" s="1334" t="s">
        <v>413</v>
      </c>
      <c r="P71" s="1371" t="s">
        <v>874</v>
      </c>
      <c r="Q71" s="1337">
        <f ca="1">C76</f>
        <v>0.06</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0.81040000000000001</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0.75580000000000003</v>
      </c>
      <c r="R74" s="1327" t="s">
        <v>857</v>
      </c>
    </row>
    <row r="75" spans="1:18" ht="13.5" thickBot="1">
      <c r="A75" s="1292"/>
      <c r="B75" s="331" t="s">
        <v>795</v>
      </c>
      <c r="C75" s="332">
        <f ca="1">ROUND(C13*C76,0)</f>
        <v>103</v>
      </c>
      <c r="D75" s="1292"/>
      <c r="E75" s="1292"/>
      <c r="F75" s="1292"/>
      <c r="K75" s="1309"/>
      <c r="L75" s="1292"/>
      <c r="O75" s="1325" t="s">
        <v>409</v>
      </c>
      <c r="P75" s="1326" t="s">
        <v>838</v>
      </c>
      <c r="Q75" s="1327">
        <f ca="1">Q65+Q66</f>
        <v>304</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-3.6820000000000004</v>
      </c>
    </row>
    <row r="80" spans="1:18">
      <c r="B80" s="331" t="s">
        <v>800</v>
      </c>
      <c r="C80" s="266">
        <f ca="1">ROUND(C75/C39,3)</f>
        <v>4.6820000000000004</v>
      </c>
    </row>
    <row r="81" spans="2:3">
      <c r="B81" s="262" t="s">
        <v>801</v>
      </c>
      <c r="C81" s="230"/>
    </row>
    <row r="82" spans="2:3">
      <c r="B82" s="265" t="s">
        <v>802</v>
      </c>
      <c r="C82" s="267">
        <f ca="1">1-C83</f>
        <v>-4.6609999999999996</v>
      </c>
    </row>
    <row r="83" spans="2:3">
      <c r="B83" s="265" t="s">
        <v>803</v>
      </c>
      <c r="C83" s="266">
        <f ca="1">ROUND(C13/C40,3)</f>
        <v>5.6609999999999996</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7" t="s">
        <v>694</v>
      </c>
      <c r="C6" s="1011">
        <f ca="1">ROUND(F6*F8*F7*(1-F9),0)</f>
        <v>0</v>
      </c>
      <c r="D6" s="147" t="s">
        <v>2106</v>
      </c>
      <c r="E6" s="294" t="s">
        <v>696</v>
      </c>
      <c r="F6" s="295">
        <f ca="1">INDIRECT("'数据-取费表'!u"&amp;$G$1)</f>
        <v>0</v>
      </c>
      <c r="G6" s="1292"/>
      <c r="H6" s="1006" t="s">
        <v>398</v>
      </c>
      <c r="I6" s="3377" t="s">
        <v>694</v>
      </c>
      <c r="J6" s="293">
        <f ca="1">ROUND(M6*M8*M7*(1-M9),0)</f>
        <v>0</v>
      </c>
      <c r="K6" s="1284" t="s">
        <v>2107</v>
      </c>
      <c r="L6" s="294" t="s">
        <v>696</v>
      </c>
      <c r="M6" s="295">
        <f ca="1">INDIRECT("'数据-取费表'!z"&amp;$G$1)</f>
        <v>0</v>
      </c>
    </row>
    <row r="7" spans="1:37" ht="18" customHeight="1">
      <c r="A7" s="1010"/>
      <c r="B7" s="3378"/>
      <c r="C7" s="1012"/>
      <c r="D7" s="299"/>
      <c r="E7" s="1013" t="s">
        <v>697</v>
      </c>
      <c r="F7" s="295">
        <f ca="1">IF(INDIRECT("'数据-取费表'!ah"&amp;$G$1)="",INDIRECT("'数据-取费表'!k"&amp;$G$1),INDIRECT("'数据-取费表'!ah"&amp;$G$1))</f>
        <v>0</v>
      </c>
      <c r="G7" s="1292"/>
      <c r="H7" s="296"/>
      <c r="I7" s="3378"/>
      <c r="J7" s="298"/>
      <c r="K7" s="299"/>
      <c r="L7" s="294" t="s">
        <v>697</v>
      </c>
      <c r="M7" s="295">
        <f ca="1">F7</f>
        <v>0</v>
      </c>
    </row>
    <row r="8" spans="1:37" ht="18" customHeight="1">
      <c r="A8" s="296"/>
      <c r="B8" s="3378"/>
      <c r="C8" s="298"/>
      <c r="D8" s="299"/>
      <c r="E8" s="294" t="s">
        <v>698</v>
      </c>
      <c r="F8" s="295">
        <f ca="1">INDIRECT("'数据-取费表'!ai"&amp;$G$1)</f>
        <v>0</v>
      </c>
      <c r="G8" s="1292"/>
      <c r="H8" s="296"/>
      <c r="I8" s="3378"/>
      <c r="J8" s="298"/>
      <c r="K8" s="299"/>
      <c r="L8" s="294" t="s">
        <v>698</v>
      </c>
      <c r="M8" s="295">
        <f ca="1">INDIRECT("'数据-取费表'!ai"&amp;$G$1)</f>
        <v>0</v>
      </c>
    </row>
    <row r="9" spans="1:37" ht="18" customHeight="1">
      <c r="A9" s="296"/>
      <c r="B9" s="3379"/>
      <c r="C9" s="298"/>
      <c r="D9" s="299"/>
      <c r="E9" s="294" t="s">
        <v>699</v>
      </c>
      <c r="F9" s="304">
        <f ca="1">INDIRECT("'数据-取费表'!w"&amp;$G$1)</f>
        <v>0</v>
      </c>
      <c r="G9" s="1292"/>
      <c r="H9" s="296"/>
      <c r="I9" s="337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5</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0.05</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t="e">
        <f ca="1">ROUND((C68-C40)/10000,4)</f>
        <v>#DIV/0!</v>
      </c>
      <c r="D45" s="3130"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5" t="s">
        <v>837</v>
      </c>
      <c r="L53" s="337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8" t="s">
        <v>3357</v>
      </c>
      <c r="E2" s="3139"/>
      <c r="F2" s="2598"/>
      <c r="G2" s="2599"/>
      <c r="H2" s="2600"/>
      <c r="I2" s="2601"/>
      <c r="J2" s="3380" t="s">
        <v>2317</v>
      </c>
      <c r="K2" s="338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82" t="s">
        <v>2327</v>
      </c>
      <c r="K3" s="338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82" t="s">
        <v>2329</v>
      </c>
      <c r="K4" s="338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4" t="s">
        <v>2333</v>
      </c>
      <c r="B6" s="3385"/>
      <c r="C6" s="3386"/>
      <c r="D6" s="2622"/>
      <c r="E6" s="2623"/>
      <c r="F6" s="2624"/>
      <c r="G6" s="2625"/>
      <c r="H6" s="2600"/>
      <c r="I6" s="2601"/>
      <c r="J6" s="3387">
        <v>1</v>
      </c>
      <c r="K6" s="3388"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87"/>
      <c r="K7" s="3389"/>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1" t="s">
        <v>2347</v>
      </c>
      <c r="C8" s="3392"/>
      <c r="D8" s="2641" t="s">
        <v>2348</v>
      </c>
      <c r="E8" s="2642" t="s">
        <v>2349</v>
      </c>
      <c r="F8" s="2643" t="s">
        <v>2350</v>
      </c>
      <c r="G8" s="2644"/>
      <c r="H8" s="2600"/>
      <c r="I8" s="2601"/>
      <c r="J8" s="3387"/>
      <c r="K8" s="3389"/>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1" t="s">
        <v>2353</v>
      </c>
      <c r="C9" s="3392"/>
      <c r="D9" s="2641">
        <f>ROUND(D6*E9,0)</f>
        <v>0</v>
      </c>
      <c r="E9" s="2645"/>
      <c r="F9" s="2646" t="s">
        <v>2354</v>
      </c>
      <c r="G9" s="2625"/>
      <c r="H9" s="2600"/>
      <c r="I9" s="2601"/>
      <c r="J9" s="3387"/>
      <c r="K9" s="3389"/>
      <c r="L9" s="2635" t="s">
        <v>2355</v>
      </c>
      <c r="M9" s="2636"/>
      <c r="N9" s="2612"/>
      <c r="O9" s="2637"/>
      <c r="P9" s="2637"/>
      <c r="Q9" s="2638">
        <v>365</v>
      </c>
      <c r="R9" s="2639">
        <f t="shared" si="0"/>
        <v>0</v>
      </c>
      <c r="S9" s="2593"/>
      <c r="T9" s="2593"/>
      <c r="U9" s="2593"/>
      <c r="V9" s="2601"/>
    </row>
    <row r="10" spans="1:22" s="2605" customFormat="1" ht="13.15" customHeight="1">
      <c r="A10" s="2640">
        <v>2</v>
      </c>
      <c r="B10" s="3391" t="s">
        <v>2356</v>
      </c>
      <c r="C10" s="3392"/>
      <c r="D10" s="2641">
        <f>ROUND(D6*E10,0)</f>
        <v>0</v>
      </c>
      <c r="E10" s="2645"/>
      <c r="F10" s="2646" t="s">
        <v>2357</v>
      </c>
      <c r="G10" s="2625"/>
      <c r="H10" s="2600"/>
      <c r="I10" s="2601"/>
      <c r="J10" s="3387"/>
      <c r="K10" s="3389"/>
      <c r="L10" s="2635" t="s">
        <v>2358</v>
      </c>
      <c r="M10" s="2636"/>
      <c r="N10" s="2612"/>
      <c r="O10" s="2637"/>
      <c r="P10" s="2637"/>
      <c r="Q10" s="2638">
        <v>365</v>
      </c>
      <c r="R10" s="2639">
        <f t="shared" si="0"/>
        <v>0</v>
      </c>
      <c r="S10" s="2593"/>
      <c r="T10" s="2593"/>
      <c r="U10" s="2593"/>
      <c r="V10" s="2601"/>
    </row>
    <row r="11" spans="1:22" s="2605" customFormat="1" ht="13.15" customHeight="1">
      <c r="A11" s="2640">
        <v>3</v>
      </c>
      <c r="B11" s="3391" t="s">
        <v>2359</v>
      </c>
      <c r="C11" s="3392"/>
      <c r="D11" s="2641">
        <f>D12+D14+D15+D16</f>
        <v>0</v>
      </c>
      <c r="E11" s="2647" t="e">
        <f>D11/D6</f>
        <v>#DIV/0!</v>
      </c>
      <c r="F11" s="2643"/>
      <c r="G11" s="2644"/>
      <c r="H11" s="2600"/>
      <c r="I11" s="2601"/>
      <c r="J11" s="3387"/>
      <c r="K11" s="3389"/>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3" t="s">
        <v>2362</v>
      </c>
      <c r="C12" s="3394"/>
      <c r="D12" s="2649">
        <f>ROUND(D13*1.2%*(1-30%),0)</f>
        <v>0</v>
      </c>
      <c r="E12" s="2650">
        <v>1.2E-2</v>
      </c>
      <c r="F12" s="2643" t="s">
        <v>2363</v>
      </c>
      <c r="G12" s="2644"/>
      <c r="H12" s="2600"/>
      <c r="I12" s="2601"/>
      <c r="J12" s="3387"/>
      <c r="K12" s="3389"/>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87"/>
      <c r="K13" s="3389"/>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3" t="s">
        <v>2368</v>
      </c>
      <c r="C14" s="3394"/>
      <c r="D14" s="2649">
        <f>ROUND(E14*B5/10000,0)</f>
        <v>0</v>
      </c>
      <c r="E14" s="2638"/>
      <c r="F14" s="2643" t="s">
        <v>2369</v>
      </c>
      <c r="G14" s="2644"/>
      <c r="H14" s="2600"/>
      <c r="I14" s="2601"/>
      <c r="J14" s="3387"/>
      <c r="K14" s="3390"/>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3" t="s">
        <v>2372</v>
      </c>
      <c r="C15" s="3394"/>
      <c r="D15" s="2649">
        <f>ROUND(D6*E15,0)</f>
        <v>0</v>
      </c>
      <c r="E15" s="2650">
        <v>5.5E-2</v>
      </c>
      <c r="F15" s="2643" t="s">
        <v>2373</v>
      </c>
      <c r="G15" s="2625"/>
      <c r="H15" s="2600"/>
      <c r="I15" s="2601"/>
      <c r="J15" s="3387">
        <v>2</v>
      </c>
      <c r="K15" s="3388"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3" t="s">
        <v>2381</v>
      </c>
      <c r="C16" s="3394"/>
      <c r="D16" s="2660">
        <f>D6*E16</f>
        <v>0</v>
      </c>
      <c r="E16" s="2661"/>
      <c r="F16" s="2646" t="s">
        <v>2382</v>
      </c>
      <c r="G16" s="2625"/>
      <c r="H16" s="2600"/>
      <c r="I16" s="2601"/>
      <c r="J16" s="3387"/>
      <c r="K16" s="3389"/>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95" t="s">
        <v>2384</v>
      </c>
      <c r="C17" s="3396"/>
      <c r="D17" s="2663">
        <f>ROUND(D6*E17,0)</f>
        <v>0</v>
      </c>
      <c r="E17" s="2664"/>
      <c r="F17" s="2665" t="s">
        <v>2385</v>
      </c>
      <c r="G17" s="2625"/>
      <c r="H17" s="2600"/>
      <c r="I17" s="2601"/>
      <c r="J17" s="3387"/>
      <c r="K17" s="3389"/>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87"/>
      <c r="K18" s="3389"/>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7"/>
      <c r="K19" s="3390"/>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7">
        <v>3</v>
      </c>
      <c r="K20" s="3388"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7"/>
      <c r="K21" s="3389"/>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7"/>
      <c r="K22" s="3389"/>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87"/>
      <c r="K23" s="3389"/>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7"/>
      <c r="K24" s="3390"/>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9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0" t="s">
        <v>2317</v>
      </c>
      <c r="K32" s="338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82" t="s">
        <v>2327</v>
      </c>
      <c r="K33" s="338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82" t="s">
        <v>2329</v>
      </c>
      <c r="K34" s="338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87">
        <v>1</v>
      </c>
      <c r="K36" s="3388"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7"/>
      <c r="K37" s="3389"/>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7"/>
      <c r="K38" s="3389"/>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87"/>
      <c r="K39" s="3389"/>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87"/>
      <c r="K40" s="3390"/>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7">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304</v>
      </c>
      <c r="C2" s="1729" t="s">
        <v>1651</v>
      </c>
      <c r="D2" s="1730" t="s">
        <v>1652</v>
      </c>
      <c r="E2" s="2393">
        <f>SUM(E6:E13)</f>
        <v>6420.54</v>
      </c>
      <c r="F2" s="2480"/>
      <c r="G2" s="459"/>
      <c r="H2" s="459"/>
      <c r="I2" s="459"/>
      <c r="J2" s="459"/>
      <c r="K2" s="459"/>
      <c r="L2" s="459"/>
      <c r="M2" s="459"/>
      <c r="N2" s="459"/>
      <c r="O2" s="459"/>
      <c r="P2" s="459"/>
      <c r="Q2" s="459"/>
      <c r="R2" s="459"/>
      <c r="S2" s="459"/>
    </row>
    <row r="3" spans="1:22" ht="15.75">
      <c r="A3" s="1728" t="s">
        <v>686</v>
      </c>
      <c r="B3" s="2387">
        <f ca="1">ROUND(B2*10000/E2,0)</f>
        <v>473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9" t="s">
        <v>1654</v>
      </c>
      <c r="C5" s="340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304</v>
      </c>
      <c r="C6" s="1729" t="s">
        <v>1651</v>
      </c>
      <c r="D6" s="2480"/>
      <c r="E6" s="2392">
        <f>IF(OR(A6=0,F6="否"),0,'数据-取费表'!K6+'数据-取费表'!S6)</f>
        <v>6420.54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6420.54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9" t="s">
        <v>1667</v>
      </c>
      <c r="D4" s="3420"/>
      <c r="E4" s="3421" t="s">
        <v>1668</v>
      </c>
      <c r="F4" s="3422"/>
      <c r="G4" s="3419" t="s">
        <v>1669</v>
      </c>
      <c r="H4" s="3420"/>
      <c r="I4" s="3419" t="s">
        <v>1670</v>
      </c>
      <c r="J4" s="3420"/>
      <c r="K4" s="1744" t="s">
        <v>1671</v>
      </c>
      <c r="L4" s="2487"/>
      <c r="M4" s="2488"/>
      <c r="N4" s="2488"/>
      <c r="O4" s="2488"/>
      <c r="P4" s="3423" t="s">
        <v>1672</v>
      </c>
      <c r="Q4" s="3424"/>
      <c r="R4" s="3406" t="s">
        <v>1668</v>
      </c>
      <c r="S4" s="3407"/>
      <c r="T4" s="3406" t="s">
        <v>1669</v>
      </c>
      <c r="U4" s="3407"/>
      <c r="V4" s="3431" t="s">
        <v>1670</v>
      </c>
      <c r="W4" s="3431"/>
      <c r="X4" s="1265"/>
      <c r="Y4" s="3406" t="s">
        <v>1672</v>
      </c>
      <c r="Z4" s="3407"/>
      <c r="AA4" s="3401" t="s">
        <v>1668</v>
      </c>
      <c r="AB4" s="3401" t="s">
        <v>1669</v>
      </c>
      <c r="AC4" s="3401" t="s">
        <v>1670</v>
      </c>
    </row>
    <row r="5" spans="1:29" ht="15">
      <c r="A5" s="348"/>
      <c r="B5" s="349"/>
      <c r="C5" s="3412" t="s">
        <v>1673</v>
      </c>
      <c r="D5" s="3413"/>
      <c r="E5" s="3410" t="s">
        <v>1674</v>
      </c>
      <c r="F5" s="3411"/>
      <c r="G5" s="3412" t="s">
        <v>1675</v>
      </c>
      <c r="H5" s="3413"/>
      <c r="I5" s="3412" t="s">
        <v>1676</v>
      </c>
      <c r="J5" s="3413"/>
      <c r="K5" s="1745"/>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1745"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4" t="s">
        <v>1680</v>
      </c>
      <c r="Q7" s="3432"/>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8"/>
      <c r="Q11" s="530" t="str">
        <f t="shared" si="6"/>
        <v>容积率</v>
      </c>
      <c r="R11" s="664" t="s">
        <v>18</v>
      </c>
      <c r="S11" s="665" t="e">
        <f t="shared" si="0"/>
        <v>#N/A</v>
      </c>
      <c r="T11" s="664" t="s">
        <v>18</v>
      </c>
      <c r="U11" s="665" t="e">
        <f t="shared" si="1"/>
        <v>#N/A</v>
      </c>
      <c r="V11" s="664" t="s">
        <v>18</v>
      </c>
      <c r="W11" s="665" t="e">
        <f t="shared" si="2"/>
        <v>#N/A</v>
      </c>
      <c r="X11" s="666"/>
      <c r="Y11" s="334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8"/>
      <c r="Q12" s="530">
        <f t="shared" si="6"/>
        <v>111</v>
      </c>
      <c r="R12" s="664" t="s">
        <v>18</v>
      </c>
      <c r="S12" s="665">
        <f t="shared" si="0"/>
        <v>100</v>
      </c>
      <c r="T12" s="664" t="s">
        <v>18</v>
      </c>
      <c r="U12" s="665">
        <f t="shared" si="1"/>
        <v>100</v>
      </c>
      <c r="V12" s="664" t="s">
        <v>18</v>
      </c>
      <c r="W12" s="665">
        <f t="shared" si="2"/>
        <v>100</v>
      </c>
      <c r="X12" s="666"/>
      <c r="Y12" s="33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8"/>
      <c r="Q13" s="530">
        <f t="shared" si="6"/>
        <v>111</v>
      </c>
      <c r="R13" s="664" t="s">
        <v>18</v>
      </c>
      <c r="S13" s="665">
        <f t="shared" si="0"/>
        <v>100</v>
      </c>
      <c r="T13" s="664" t="s">
        <v>18</v>
      </c>
      <c r="U13" s="665">
        <f t="shared" si="1"/>
        <v>100</v>
      </c>
      <c r="V13" s="664" t="s">
        <v>18</v>
      </c>
      <c r="W13" s="665">
        <f t="shared" si="2"/>
        <v>100</v>
      </c>
      <c r="X13" s="666"/>
      <c r="Y13" s="334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8"/>
      <c r="Q14" s="530">
        <f t="shared" si="6"/>
        <v>111</v>
      </c>
      <c r="R14" s="664" t="s">
        <v>18</v>
      </c>
      <c r="S14" s="665">
        <f t="shared" si="0"/>
        <v>100</v>
      </c>
      <c r="T14" s="664" t="s">
        <v>18</v>
      </c>
      <c r="U14" s="665">
        <f t="shared" si="1"/>
        <v>100</v>
      </c>
      <c r="V14" s="664" t="s">
        <v>18</v>
      </c>
      <c r="W14" s="665">
        <f t="shared" si="2"/>
        <v>100</v>
      </c>
      <c r="X14" s="666"/>
      <c r="Y14" s="334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4" t="s">
        <v>1691</v>
      </c>
      <c r="Q15" s="1263" t="str">
        <f t="shared" si="6"/>
        <v>居住社区成熟度</v>
      </c>
      <c r="R15" s="667" t="s">
        <v>18</v>
      </c>
      <c r="S15" s="668">
        <f t="shared" si="0"/>
        <v>100</v>
      </c>
      <c r="T15" s="667" t="s">
        <v>18</v>
      </c>
      <c r="U15" s="668">
        <f t="shared" si="1"/>
        <v>100</v>
      </c>
      <c r="V15" s="667" t="s">
        <v>18</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5"/>
      <c r="Q16" s="1263"/>
      <c r="R16" s="667"/>
      <c r="S16" s="668"/>
      <c r="T16" s="667"/>
      <c r="U16" s="668"/>
      <c r="V16" s="667"/>
      <c r="W16" s="668"/>
      <c r="X16" s="1265"/>
      <c r="Y16" s="343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5"/>
      <c r="Q17" s="1263" t="str">
        <f>B17</f>
        <v>交通便捷度</v>
      </c>
      <c r="R17" s="667" t="s">
        <v>18</v>
      </c>
      <c r="S17" s="668">
        <f>F17</f>
        <v>100</v>
      </c>
      <c r="T17" s="667" t="s">
        <v>18</v>
      </c>
      <c r="U17" s="668">
        <f>H17</f>
        <v>100</v>
      </c>
      <c r="V17" s="667" t="s">
        <v>18</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5"/>
      <c r="Q18" s="1263"/>
      <c r="R18" s="667"/>
      <c r="S18" s="668"/>
      <c r="T18" s="667"/>
      <c r="U18" s="668"/>
      <c r="V18" s="667"/>
      <c r="W18" s="668"/>
      <c r="X18" s="1265"/>
      <c r="Y18" s="343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5"/>
      <c r="Q19" s="1263" t="str">
        <f>B19</f>
        <v>公共配套设施</v>
      </c>
      <c r="R19" s="667" t="s">
        <v>18</v>
      </c>
      <c r="S19" s="668">
        <f>F19</f>
        <v>100</v>
      </c>
      <c r="T19" s="667" t="s">
        <v>18</v>
      </c>
      <c r="U19" s="668">
        <f>H19</f>
        <v>100</v>
      </c>
      <c r="V19" s="667" t="s">
        <v>18</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5"/>
      <c r="Q20" s="1263"/>
      <c r="R20" s="667"/>
      <c r="S20" s="668"/>
      <c r="T20" s="667"/>
      <c r="U20" s="668"/>
      <c r="V20" s="667"/>
      <c r="W20" s="668"/>
      <c r="X20" s="1265"/>
      <c r="Y20" s="343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5"/>
      <c r="Q22" s="1263"/>
      <c r="R22" s="667"/>
      <c r="S22" s="668"/>
      <c r="T22" s="667"/>
      <c r="U22" s="668"/>
      <c r="V22" s="667"/>
      <c r="W22" s="668"/>
      <c r="X22" s="1265"/>
      <c r="Y22" s="343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5"/>
      <c r="Q23" s="1263" t="str">
        <f>B23</f>
        <v>自然及人文环境</v>
      </c>
      <c r="R23" s="667" t="s">
        <v>18</v>
      </c>
      <c r="S23" s="668">
        <f>F23</f>
        <v>100</v>
      </c>
      <c r="T23" s="667" t="s">
        <v>18</v>
      </c>
      <c r="U23" s="668">
        <f>H23</f>
        <v>100</v>
      </c>
      <c r="V23" s="667" t="s">
        <v>18</v>
      </c>
      <c r="W23" s="668">
        <f>J23</f>
        <v>100</v>
      </c>
      <c r="X23" s="1265"/>
      <c r="Y23" s="343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5"/>
      <c r="Q24" s="1263"/>
      <c r="R24" s="667"/>
      <c r="S24" s="668"/>
      <c r="T24" s="667"/>
      <c r="U24" s="668"/>
      <c r="V24" s="667"/>
      <c r="W24" s="668"/>
      <c r="X24" s="1265"/>
      <c r="Y24" s="343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5"/>
      <c r="Q26" s="1263" t="str">
        <f t="shared" si="11"/>
        <v>朝向</v>
      </c>
      <c r="R26" s="667" t="s">
        <v>18</v>
      </c>
      <c r="S26" s="668">
        <f t="shared" si="12"/>
        <v>100</v>
      </c>
      <c r="T26" s="667" t="s">
        <v>18</v>
      </c>
      <c r="U26" s="668">
        <f t="shared" si="13"/>
        <v>100</v>
      </c>
      <c r="V26" s="667" t="s">
        <v>18</v>
      </c>
      <c r="W26" s="668">
        <f t="shared" si="14"/>
        <v>100</v>
      </c>
      <c r="X26" s="1265"/>
      <c r="Y26" s="343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5"/>
      <c r="Q27" s="530">
        <f t="shared" si="11"/>
        <v>111</v>
      </c>
      <c r="R27" s="664" t="s">
        <v>18</v>
      </c>
      <c r="S27" s="665">
        <f t="shared" si="12"/>
        <v>100</v>
      </c>
      <c r="T27" s="664" t="s">
        <v>18</v>
      </c>
      <c r="U27" s="665">
        <f t="shared" si="13"/>
        <v>100</v>
      </c>
      <c r="V27" s="664" t="s">
        <v>18</v>
      </c>
      <c r="W27" s="665">
        <f t="shared" si="14"/>
        <v>100</v>
      </c>
      <c r="X27" s="666"/>
      <c r="Y27" s="343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5"/>
      <c r="Q28" s="1263">
        <f t="shared" si="11"/>
        <v>111</v>
      </c>
      <c r="R28" s="667" t="s">
        <v>18</v>
      </c>
      <c r="S28" s="668">
        <f t="shared" si="12"/>
        <v>100</v>
      </c>
      <c r="T28" s="667" t="s">
        <v>18</v>
      </c>
      <c r="U28" s="668">
        <f t="shared" si="13"/>
        <v>100</v>
      </c>
      <c r="V28" s="667" t="s">
        <v>18</v>
      </c>
      <c r="W28" s="668">
        <f t="shared" si="14"/>
        <v>100</v>
      </c>
      <c r="X28" s="1265"/>
      <c r="Y28" s="343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5"/>
      <c r="Q29" s="1263">
        <f t="shared" si="11"/>
        <v>111</v>
      </c>
      <c r="R29" s="667" t="s">
        <v>18</v>
      </c>
      <c r="S29" s="668">
        <f t="shared" si="12"/>
        <v>100</v>
      </c>
      <c r="T29" s="667" t="s">
        <v>18</v>
      </c>
      <c r="U29" s="668">
        <f t="shared" si="13"/>
        <v>100</v>
      </c>
      <c r="V29" s="667" t="s">
        <v>18</v>
      </c>
      <c r="W29" s="668">
        <f t="shared" si="14"/>
        <v>100</v>
      </c>
      <c r="X29" s="1265"/>
      <c r="Y29" s="343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5"/>
      <c r="Q30" s="1263">
        <f t="shared" si="11"/>
        <v>111</v>
      </c>
      <c r="R30" s="667" t="s">
        <v>18</v>
      </c>
      <c r="S30" s="668">
        <f t="shared" si="12"/>
        <v>100</v>
      </c>
      <c r="T30" s="667" t="s">
        <v>18</v>
      </c>
      <c r="U30" s="668">
        <f t="shared" si="13"/>
        <v>100</v>
      </c>
      <c r="V30" s="667" t="s">
        <v>18</v>
      </c>
      <c r="W30" s="668">
        <f t="shared" si="14"/>
        <v>100</v>
      </c>
      <c r="X30" s="1265"/>
      <c r="Y30" s="343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5"/>
      <c r="Q31" s="1263">
        <f t="shared" si="11"/>
        <v>111</v>
      </c>
      <c r="R31" s="667" t="s">
        <v>18</v>
      </c>
      <c r="S31" s="668">
        <f t="shared" si="12"/>
        <v>100</v>
      </c>
      <c r="T31" s="667" t="s">
        <v>18</v>
      </c>
      <c r="U31" s="668">
        <f t="shared" si="13"/>
        <v>100</v>
      </c>
      <c r="V31" s="667" t="s">
        <v>18</v>
      </c>
      <c r="W31" s="668">
        <f t="shared" si="14"/>
        <v>100</v>
      </c>
      <c r="X31" s="1265"/>
      <c r="Y31" s="343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9" t="s">
        <v>1696</v>
      </c>
      <c r="Q32" s="1263" t="str">
        <f t="shared" si="11"/>
        <v>建筑类型</v>
      </c>
      <c r="R32" s="667" t="s">
        <v>18</v>
      </c>
      <c r="S32" s="668">
        <f t="shared" si="12"/>
        <v>100</v>
      </c>
      <c r="T32" s="667" t="s">
        <v>18</v>
      </c>
      <c r="U32" s="668">
        <f t="shared" si="13"/>
        <v>100</v>
      </c>
      <c r="V32" s="667" t="s">
        <v>18</v>
      </c>
      <c r="W32" s="668">
        <f t="shared" si="14"/>
        <v>100</v>
      </c>
      <c r="X32" s="1265"/>
      <c r="Y32" s="344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0"/>
      <c r="Q33" s="531" t="str">
        <f t="shared" si="11"/>
        <v>项目建筑规模</v>
      </c>
      <c r="R33" s="669" t="s">
        <v>18</v>
      </c>
      <c r="S33" s="670" t="e">
        <f t="shared" si="12"/>
        <v>#N/A</v>
      </c>
      <c r="T33" s="669" t="s">
        <v>18</v>
      </c>
      <c r="U33" s="670" t="e">
        <f t="shared" si="13"/>
        <v>#N/A</v>
      </c>
      <c r="V33" s="669" t="s">
        <v>18</v>
      </c>
      <c r="W33" s="670" t="e">
        <f t="shared" si="14"/>
        <v>#N/A</v>
      </c>
      <c r="X33" s="671"/>
      <c r="Y33" s="344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0"/>
      <c r="Q34" s="1263" t="str">
        <f t="shared" si="11"/>
        <v>建筑结构</v>
      </c>
      <c r="R34" s="667" t="s">
        <v>18</v>
      </c>
      <c r="S34" s="668">
        <f t="shared" si="12"/>
        <v>100</v>
      </c>
      <c r="T34" s="667" t="s">
        <v>18</v>
      </c>
      <c r="U34" s="668">
        <f t="shared" si="13"/>
        <v>100</v>
      </c>
      <c r="V34" s="667" t="s">
        <v>18</v>
      </c>
      <c r="W34" s="668">
        <f t="shared" si="14"/>
        <v>100</v>
      </c>
      <c r="X34" s="1265"/>
      <c r="Y34" s="344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0"/>
      <c r="Q35" s="1263" t="str">
        <f t="shared" si="11"/>
        <v>建筑品质</v>
      </c>
      <c r="R35" s="667" t="s">
        <v>18</v>
      </c>
      <c r="S35" s="668">
        <f t="shared" si="12"/>
        <v>100</v>
      </c>
      <c r="T35" s="667" t="s">
        <v>18</v>
      </c>
      <c r="U35" s="668">
        <f t="shared" si="13"/>
        <v>100</v>
      </c>
      <c r="V35" s="667" t="s">
        <v>18</v>
      </c>
      <c r="W35" s="668">
        <f t="shared" si="14"/>
        <v>100</v>
      </c>
      <c r="X35" s="1265"/>
      <c r="Y35" s="344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0"/>
      <c r="Q36" s="1263" t="str">
        <f t="shared" si="11"/>
        <v>公共部分装修</v>
      </c>
      <c r="R36" s="667" t="s">
        <v>18</v>
      </c>
      <c r="S36" s="668">
        <f t="shared" si="12"/>
        <v>100</v>
      </c>
      <c r="T36" s="667" t="s">
        <v>18</v>
      </c>
      <c r="U36" s="668">
        <f t="shared" si="13"/>
        <v>100</v>
      </c>
      <c r="V36" s="667" t="s">
        <v>18</v>
      </c>
      <c r="W36" s="668">
        <f t="shared" si="14"/>
        <v>100</v>
      </c>
      <c r="X36" s="1265"/>
      <c r="Y36" s="344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0"/>
      <c r="Q37" s="530" t="str">
        <f t="shared" si="11"/>
        <v>成新度</v>
      </c>
      <c r="R37" s="664" t="s">
        <v>18</v>
      </c>
      <c r="S37" s="665" t="e">
        <f t="shared" si="12"/>
        <v>#N/A</v>
      </c>
      <c r="T37" s="664" t="s">
        <v>18</v>
      </c>
      <c r="U37" s="665" t="e">
        <f t="shared" si="13"/>
        <v>#N/A</v>
      </c>
      <c r="V37" s="664" t="s">
        <v>18</v>
      </c>
      <c r="W37" s="665" t="e">
        <f t="shared" si="14"/>
        <v>#N/A</v>
      </c>
      <c r="X37" s="666"/>
      <c r="Y37" s="344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0" t="s">
        <v>1696</v>
      </c>
      <c r="Q38" s="1263" t="str">
        <f t="shared" si="11"/>
        <v>物业管理</v>
      </c>
      <c r="R38" s="667" t="s">
        <v>18</v>
      </c>
      <c r="S38" s="668">
        <f t="shared" si="12"/>
        <v>100</v>
      </c>
      <c r="T38" s="667" t="s">
        <v>18</v>
      </c>
      <c r="U38" s="668">
        <f t="shared" si="13"/>
        <v>100</v>
      </c>
      <c r="V38" s="667" t="s">
        <v>18</v>
      </c>
      <c r="W38" s="668">
        <f t="shared" si="14"/>
        <v>100</v>
      </c>
      <c r="X38" s="1265"/>
      <c r="Y38" s="344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0"/>
      <c r="Q39" s="1263" t="str">
        <f t="shared" si="11"/>
        <v>市政基础设施</v>
      </c>
      <c r="R39" s="667" t="s">
        <v>18</v>
      </c>
      <c r="S39" s="668">
        <f t="shared" si="12"/>
        <v>100</v>
      </c>
      <c r="T39" s="667" t="s">
        <v>18</v>
      </c>
      <c r="U39" s="668">
        <f t="shared" si="13"/>
        <v>100</v>
      </c>
      <c r="V39" s="667" t="s">
        <v>18</v>
      </c>
      <c r="W39" s="668">
        <f t="shared" si="14"/>
        <v>100</v>
      </c>
      <c r="X39" s="1265"/>
      <c r="Y39" s="344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0"/>
      <c r="Q40" s="1263" t="str">
        <f t="shared" si="11"/>
        <v>房型</v>
      </c>
      <c r="R40" s="667" t="s">
        <v>18</v>
      </c>
      <c r="S40" s="668">
        <f t="shared" si="12"/>
        <v>100</v>
      </c>
      <c r="T40" s="667" t="s">
        <v>18</v>
      </c>
      <c r="U40" s="668">
        <f t="shared" si="13"/>
        <v>100</v>
      </c>
      <c r="V40" s="667" t="s">
        <v>18</v>
      </c>
      <c r="W40" s="668">
        <f t="shared" si="14"/>
        <v>100</v>
      </c>
      <c r="X40" s="1265"/>
      <c r="Y40" s="344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0"/>
      <c r="Q41" s="531" t="str">
        <f t="shared" si="11"/>
        <v>单套/主力户型建筑面积</v>
      </c>
      <c r="R41" s="669" t="s">
        <v>18</v>
      </c>
      <c r="S41" s="670">
        <f t="shared" si="12"/>
        <v>100</v>
      </c>
      <c r="T41" s="669" t="s">
        <v>18</v>
      </c>
      <c r="U41" s="670">
        <f t="shared" si="13"/>
        <v>100</v>
      </c>
      <c r="V41" s="669" t="s">
        <v>18</v>
      </c>
      <c r="W41" s="670">
        <f t="shared" si="14"/>
        <v>100</v>
      </c>
      <c r="X41" s="671"/>
      <c r="Y41" s="344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0"/>
      <c r="Q42" s="1263" t="str">
        <f t="shared" si="11"/>
        <v>内部装修</v>
      </c>
      <c r="R42" s="667" t="s">
        <v>18</v>
      </c>
      <c r="S42" s="668">
        <f t="shared" si="12"/>
        <v>100</v>
      </c>
      <c r="T42" s="667" t="s">
        <v>18</v>
      </c>
      <c r="U42" s="668">
        <f t="shared" si="13"/>
        <v>100</v>
      </c>
      <c r="V42" s="667" t="s">
        <v>18</v>
      </c>
      <c r="W42" s="668">
        <f t="shared" si="14"/>
        <v>100</v>
      </c>
      <c r="X42" s="1265"/>
      <c r="Y42" s="344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0"/>
      <c r="Q43" s="1263" t="str">
        <f t="shared" si="11"/>
        <v>内部装修维护情况</v>
      </c>
      <c r="R43" s="667" t="s">
        <v>18</v>
      </c>
      <c r="S43" s="668">
        <f t="shared" si="12"/>
        <v>100</v>
      </c>
      <c r="T43" s="667" t="s">
        <v>18</v>
      </c>
      <c r="U43" s="668">
        <f t="shared" si="13"/>
        <v>100</v>
      </c>
      <c r="V43" s="667" t="s">
        <v>18</v>
      </c>
      <c r="W43" s="668">
        <f t="shared" si="14"/>
        <v>100</v>
      </c>
      <c r="X43" s="1265"/>
      <c r="Y43" s="344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0"/>
      <c r="Q44" s="530">
        <f t="shared" si="11"/>
        <v>111</v>
      </c>
      <c r="R44" s="664" t="s">
        <v>18</v>
      </c>
      <c r="S44" s="665">
        <f t="shared" si="12"/>
        <v>100</v>
      </c>
      <c r="T44" s="664" t="s">
        <v>18</v>
      </c>
      <c r="U44" s="665">
        <f t="shared" si="13"/>
        <v>100</v>
      </c>
      <c r="V44" s="664" t="s">
        <v>18</v>
      </c>
      <c r="W44" s="665">
        <f t="shared" si="14"/>
        <v>100</v>
      </c>
      <c r="X44" s="666"/>
      <c r="Y44" s="344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0"/>
      <c r="Q45" s="1263">
        <f t="shared" si="11"/>
        <v>111</v>
      </c>
      <c r="R45" s="667" t="s">
        <v>18</v>
      </c>
      <c r="S45" s="668">
        <f t="shared" si="12"/>
        <v>100</v>
      </c>
      <c r="T45" s="667" t="s">
        <v>18</v>
      </c>
      <c r="U45" s="668">
        <f t="shared" si="13"/>
        <v>100</v>
      </c>
      <c r="V45" s="667" t="s">
        <v>18</v>
      </c>
      <c r="W45" s="668">
        <f t="shared" si="14"/>
        <v>100</v>
      </c>
      <c r="X45" s="1265"/>
      <c r="Y45" s="344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1"/>
      <c r="Q46" s="1263">
        <f t="shared" si="11"/>
        <v>111</v>
      </c>
      <c r="R46" s="667" t="s">
        <v>17</v>
      </c>
      <c r="S46" s="668">
        <f t="shared" si="12"/>
        <v>100</v>
      </c>
      <c r="T46" s="667" t="s">
        <v>17</v>
      </c>
      <c r="U46" s="668">
        <f t="shared" si="13"/>
        <v>100</v>
      </c>
      <c r="V46" s="667" t="s">
        <v>17</v>
      </c>
      <c r="W46" s="668">
        <f t="shared" si="14"/>
        <v>100</v>
      </c>
      <c r="X46" s="1265"/>
      <c r="Y46" s="344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6" t="str">
        <f>A47</f>
        <v>成交单价（元/平方米）</v>
      </c>
      <c r="Q47" s="3436"/>
      <c r="R47" s="3431">
        <f>E47</f>
        <v>0</v>
      </c>
      <c r="S47" s="3431"/>
      <c r="T47" s="3431">
        <f>G47</f>
        <v>0</v>
      </c>
      <c r="U47" s="3431"/>
      <c r="V47" s="3431">
        <f>I47</f>
        <v>0</v>
      </c>
      <c r="W47" s="343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2026-3</v>
      </c>
      <c r="D58" s="1104">
        <f>EDATE(C58,-1)</f>
        <v>46054</v>
      </c>
      <c r="E58" s="1104">
        <f>EDATE(D58,-1)</f>
        <v>46023</v>
      </c>
      <c r="F58" s="1104">
        <f t="shared" ref="F58:O58" si="19">EDATE(E58,-1)</f>
        <v>45992</v>
      </c>
      <c r="G58" s="1104">
        <f t="shared" si="19"/>
        <v>45962</v>
      </c>
      <c r="H58" s="1104">
        <f t="shared" si="19"/>
        <v>45931</v>
      </c>
      <c r="I58" s="1104">
        <f t="shared" si="19"/>
        <v>45901</v>
      </c>
      <c r="J58" s="1104">
        <f t="shared" si="19"/>
        <v>45870</v>
      </c>
      <c r="K58" s="1104">
        <f t="shared" si="19"/>
        <v>45839</v>
      </c>
      <c r="L58" s="1104">
        <f t="shared" si="19"/>
        <v>45809</v>
      </c>
      <c r="M58" s="1104">
        <f t="shared" si="19"/>
        <v>45778</v>
      </c>
      <c r="N58" s="1104">
        <f t="shared" si="19"/>
        <v>45748</v>
      </c>
      <c r="O58" s="1104">
        <f t="shared" si="19"/>
        <v>45717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6420.54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31"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31"/>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31"/>
      <c r="AC6" s="3403"/>
    </row>
    <row r="7" spans="1:29" s="102" customFormat="1" ht="15.75" thickBot="1">
      <c r="A7" s="352" t="s">
        <v>1679</v>
      </c>
      <c r="B7" s="353"/>
      <c r="C7" s="354">
        <f>'数据-取费表'!B2</f>
        <v>46092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8"/>
      <c r="Q11" s="530" t="str">
        <f t="shared" si="6"/>
        <v>容积率</v>
      </c>
      <c r="R11" s="664" t="s">
        <v>14</v>
      </c>
      <c r="S11" s="665" t="e">
        <f t="shared" si="0"/>
        <v>#N/A</v>
      </c>
      <c r="T11" s="664" t="s">
        <v>14</v>
      </c>
      <c r="U11" s="665" t="e">
        <f t="shared" si="1"/>
        <v>#N/A</v>
      </c>
      <c r="V11" s="664" t="s">
        <v>14</v>
      </c>
      <c r="W11" s="665" t="e">
        <f t="shared" si="2"/>
        <v>#N/A</v>
      </c>
      <c r="X11" s="666"/>
      <c r="Y11" s="334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4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4" t="s">
        <v>1691</v>
      </c>
      <c r="Q15" s="1263" t="str">
        <f t="shared" si="6"/>
        <v>商业繁华度</v>
      </c>
      <c r="R15" s="667" t="s">
        <v>14</v>
      </c>
      <c r="S15" s="668">
        <f t="shared" si="0"/>
        <v>100</v>
      </c>
      <c r="T15" s="667" t="s">
        <v>14</v>
      </c>
      <c r="U15" s="668">
        <f t="shared" si="1"/>
        <v>100</v>
      </c>
      <c r="V15" s="667" t="s">
        <v>14</v>
      </c>
      <c r="W15" s="668">
        <f t="shared" si="2"/>
        <v>100</v>
      </c>
      <c r="X15" s="1265"/>
      <c r="Y15" s="343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5"/>
      <c r="Q16" s="1263"/>
      <c r="R16" s="667"/>
      <c r="S16" s="668"/>
      <c r="T16" s="667"/>
      <c r="U16" s="668"/>
      <c r="V16" s="667"/>
      <c r="W16" s="668"/>
      <c r="X16" s="1265"/>
      <c r="Y16" s="343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5"/>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5"/>
      <c r="Q18" s="1263"/>
      <c r="R18" s="667"/>
      <c r="S18" s="668"/>
      <c r="T18" s="667"/>
      <c r="U18" s="668"/>
      <c r="V18" s="667"/>
      <c r="W18" s="668"/>
      <c r="X18" s="1265"/>
      <c r="Y18" s="343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5"/>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5"/>
      <c r="Q20" s="1263"/>
      <c r="R20" s="667"/>
      <c r="S20" s="668"/>
      <c r="T20" s="667"/>
      <c r="U20" s="668"/>
      <c r="V20" s="667"/>
      <c r="W20" s="668"/>
      <c r="X20" s="1265"/>
      <c r="Y20" s="343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5"/>
      <c r="Q22" s="1263"/>
      <c r="R22" s="667"/>
      <c r="S22" s="668"/>
      <c r="T22" s="667"/>
      <c r="U22" s="668"/>
      <c r="V22" s="667"/>
      <c r="W22" s="668"/>
      <c r="X22" s="1265"/>
      <c r="Y22" s="343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5"/>
      <c r="Q23" s="1263" t="str">
        <f>B23</f>
        <v>自然及人文环境</v>
      </c>
      <c r="R23" s="667" t="s">
        <v>14</v>
      </c>
      <c r="S23" s="668">
        <f>F23</f>
        <v>100</v>
      </c>
      <c r="T23" s="667" t="s">
        <v>14</v>
      </c>
      <c r="U23" s="668">
        <f>H23</f>
        <v>100</v>
      </c>
      <c r="V23" s="667" t="s">
        <v>14</v>
      </c>
      <c r="W23" s="668">
        <f>J23</f>
        <v>100</v>
      </c>
      <c r="X23" s="1265"/>
      <c r="Y23" s="343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5"/>
      <c r="Q24" s="1263"/>
      <c r="R24" s="667"/>
      <c r="S24" s="668"/>
      <c r="T24" s="667"/>
      <c r="U24" s="668"/>
      <c r="V24" s="667"/>
      <c r="W24" s="668"/>
      <c r="X24" s="1265"/>
      <c r="Y24" s="343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5"/>
      <c r="Q25" s="1263" t="str">
        <f t="shared" ref="Q25:Q46" si="11">B25</f>
        <v>临街状况</v>
      </c>
      <c r="R25" s="667" t="s">
        <v>14</v>
      </c>
      <c r="S25" s="668">
        <f>F25</f>
        <v>100</v>
      </c>
      <c r="T25" s="667" t="s">
        <v>14</v>
      </c>
      <c r="U25" s="668">
        <f>H25</f>
        <v>100</v>
      </c>
      <c r="V25" s="667" t="s">
        <v>14</v>
      </c>
      <c r="W25" s="668">
        <f>J25</f>
        <v>100</v>
      </c>
      <c r="X25" s="1265"/>
      <c r="Y25" s="343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5"/>
      <c r="Q26" s="1263" t="str">
        <f t="shared" si="11"/>
        <v>平面位置/可视性</v>
      </c>
      <c r="R26" s="667" t="s">
        <v>14</v>
      </c>
      <c r="S26" s="668">
        <f>F26</f>
        <v>100</v>
      </c>
      <c r="T26" s="667" t="s">
        <v>14</v>
      </c>
      <c r="U26" s="668">
        <f>H26</f>
        <v>100</v>
      </c>
      <c r="V26" s="667" t="s">
        <v>14</v>
      </c>
      <c r="W26" s="668">
        <f>J26</f>
        <v>100</v>
      </c>
      <c r="X26" s="1265"/>
      <c r="Y26" s="343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5"/>
      <c r="Q27" s="530" t="str">
        <f t="shared" si="11"/>
        <v>人流量</v>
      </c>
      <c r="R27" s="664" t="s">
        <v>14</v>
      </c>
      <c r="S27" s="665">
        <f>F27</f>
        <v>100</v>
      </c>
      <c r="T27" s="664" t="s">
        <v>14</v>
      </c>
      <c r="U27" s="665">
        <f>H27</f>
        <v>100</v>
      </c>
      <c r="V27" s="664" t="s">
        <v>14</v>
      </c>
      <c r="W27" s="665">
        <f>J27</f>
        <v>100</v>
      </c>
      <c r="X27" s="666"/>
      <c r="Y27" s="343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5"/>
      <c r="Q29" s="1263">
        <f t="shared" si="11"/>
        <v>111</v>
      </c>
      <c r="R29" s="667" t="s">
        <v>14</v>
      </c>
      <c r="S29" s="668">
        <f t="shared" si="12"/>
        <v>100</v>
      </c>
      <c r="T29" s="667" t="s">
        <v>14</v>
      </c>
      <c r="U29" s="668">
        <f t="shared" si="13"/>
        <v>100</v>
      </c>
      <c r="V29" s="667" t="s">
        <v>14</v>
      </c>
      <c r="W29" s="668">
        <f t="shared" si="14"/>
        <v>100</v>
      </c>
      <c r="X29" s="1265"/>
      <c r="Y29" s="343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5"/>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5"/>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9" t="s">
        <v>1696</v>
      </c>
      <c r="Q32" s="1263" t="str">
        <f t="shared" si="11"/>
        <v>商业类型</v>
      </c>
      <c r="R32" s="667" t="s">
        <v>14</v>
      </c>
      <c r="S32" s="668">
        <f t="shared" si="12"/>
        <v>100</v>
      </c>
      <c r="T32" s="667" t="s">
        <v>14</v>
      </c>
      <c r="U32" s="668">
        <f t="shared" si="13"/>
        <v>100</v>
      </c>
      <c r="V32" s="667" t="s">
        <v>14</v>
      </c>
      <c r="W32" s="668">
        <f t="shared" si="14"/>
        <v>100</v>
      </c>
      <c r="X32" s="1265"/>
      <c r="Y32" s="344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0"/>
      <c r="Q33" s="531" t="str">
        <f t="shared" si="11"/>
        <v>项目建筑规模</v>
      </c>
      <c r="R33" s="669" t="s">
        <v>14</v>
      </c>
      <c r="S33" s="670" t="e">
        <f t="shared" si="12"/>
        <v>#N/A</v>
      </c>
      <c r="T33" s="669" t="s">
        <v>14</v>
      </c>
      <c r="U33" s="670" t="e">
        <f t="shared" si="13"/>
        <v>#N/A</v>
      </c>
      <c r="V33" s="669" t="s">
        <v>14</v>
      </c>
      <c r="W33" s="670" t="e">
        <f t="shared" si="14"/>
        <v>#N/A</v>
      </c>
      <c r="X33" s="671"/>
      <c r="Y33" s="344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0"/>
      <c r="Q34" s="1263" t="str">
        <f t="shared" si="11"/>
        <v>建筑结构</v>
      </c>
      <c r="R34" s="667" t="s">
        <v>14</v>
      </c>
      <c r="S34" s="668">
        <f t="shared" si="12"/>
        <v>100</v>
      </c>
      <c r="T34" s="667" t="s">
        <v>14</v>
      </c>
      <c r="U34" s="668">
        <f t="shared" si="13"/>
        <v>100</v>
      </c>
      <c r="V34" s="667" t="s">
        <v>14</v>
      </c>
      <c r="W34" s="668">
        <f t="shared" si="14"/>
        <v>100</v>
      </c>
      <c r="X34" s="1265"/>
      <c r="Y34" s="344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0"/>
      <c r="Q35" s="1263" t="str">
        <f t="shared" si="11"/>
        <v>公共部分装修</v>
      </c>
      <c r="R35" s="667" t="s">
        <v>14</v>
      </c>
      <c r="S35" s="668">
        <f t="shared" si="12"/>
        <v>100</v>
      </c>
      <c r="T35" s="667" t="s">
        <v>14</v>
      </c>
      <c r="U35" s="668">
        <f t="shared" si="13"/>
        <v>100</v>
      </c>
      <c r="V35" s="667" t="s">
        <v>14</v>
      </c>
      <c r="W35" s="668">
        <f t="shared" si="14"/>
        <v>100</v>
      </c>
      <c r="X35" s="1265"/>
      <c r="Y35" s="344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0"/>
      <c r="Q36" s="1263" t="str">
        <f t="shared" si="11"/>
        <v>成新度</v>
      </c>
      <c r="R36" s="667" t="s">
        <v>14</v>
      </c>
      <c r="S36" s="668" t="e">
        <f t="shared" si="12"/>
        <v>#N/A</v>
      </c>
      <c r="T36" s="667" t="s">
        <v>14</v>
      </c>
      <c r="U36" s="668" t="e">
        <f t="shared" si="13"/>
        <v>#N/A</v>
      </c>
      <c r="V36" s="667" t="s">
        <v>14</v>
      </c>
      <c r="W36" s="668" t="e">
        <f t="shared" si="14"/>
        <v>#N/A</v>
      </c>
      <c r="X36" s="1265"/>
      <c r="Y36" s="344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0"/>
      <c r="Q37" s="530" t="str">
        <f t="shared" si="11"/>
        <v>市政基础设施</v>
      </c>
      <c r="R37" s="664" t="s">
        <v>14</v>
      </c>
      <c r="S37" s="665">
        <f t="shared" si="12"/>
        <v>100</v>
      </c>
      <c r="T37" s="664" t="s">
        <v>14</v>
      </c>
      <c r="U37" s="665">
        <f t="shared" si="13"/>
        <v>100</v>
      </c>
      <c r="V37" s="664" t="s">
        <v>14</v>
      </c>
      <c r="W37" s="665">
        <f t="shared" si="14"/>
        <v>100</v>
      </c>
      <c r="X37" s="666"/>
      <c r="Y37" s="344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0" t="s">
        <v>1696</v>
      </c>
      <c r="Q38" s="1263" t="str">
        <f t="shared" si="11"/>
        <v>业态</v>
      </c>
      <c r="R38" s="667" t="s">
        <v>14</v>
      </c>
      <c r="S38" s="668">
        <f t="shared" si="12"/>
        <v>100</v>
      </c>
      <c r="T38" s="667" t="s">
        <v>14</v>
      </c>
      <c r="U38" s="668">
        <f t="shared" si="13"/>
        <v>100</v>
      </c>
      <c r="V38" s="667" t="s">
        <v>14</v>
      </c>
      <c r="W38" s="668">
        <f t="shared" si="14"/>
        <v>100</v>
      </c>
      <c r="X38" s="1265"/>
      <c r="Y38" s="344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0"/>
      <c r="Q39" s="1263" t="str">
        <f t="shared" si="11"/>
        <v>层高</v>
      </c>
      <c r="R39" s="667" t="s">
        <v>14</v>
      </c>
      <c r="S39" s="668">
        <f t="shared" si="12"/>
        <v>100</v>
      </c>
      <c r="T39" s="667" t="s">
        <v>14</v>
      </c>
      <c r="U39" s="668">
        <f t="shared" si="13"/>
        <v>100</v>
      </c>
      <c r="V39" s="667" t="s">
        <v>14</v>
      </c>
      <c r="W39" s="668">
        <f t="shared" si="14"/>
        <v>100</v>
      </c>
      <c r="X39" s="1265"/>
      <c r="Y39" s="344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0"/>
      <c r="Q40" s="1263" t="str">
        <f t="shared" si="11"/>
        <v>单套建筑面积</v>
      </c>
      <c r="R40" s="667" t="s">
        <v>14</v>
      </c>
      <c r="S40" s="668">
        <f t="shared" si="12"/>
        <v>100</v>
      </c>
      <c r="T40" s="667" t="s">
        <v>14</v>
      </c>
      <c r="U40" s="668">
        <f t="shared" si="13"/>
        <v>100</v>
      </c>
      <c r="V40" s="667" t="s">
        <v>14</v>
      </c>
      <c r="W40" s="668">
        <f t="shared" si="14"/>
        <v>100</v>
      </c>
      <c r="X40" s="1265"/>
      <c r="Y40" s="344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0"/>
      <c r="Q41" s="531" t="str">
        <f t="shared" si="11"/>
        <v>进深比</v>
      </c>
      <c r="R41" s="669" t="s">
        <v>14</v>
      </c>
      <c r="S41" s="670">
        <f t="shared" si="12"/>
        <v>100</v>
      </c>
      <c r="T41" s="669" t="s">
        <v>14</v>
      </c>
      <c r="U41" s="670">
        <f t="shared" si="13"/>
        <v>100</v>
      </c>
      <c r="V41" s="669" t="s">
        <v>14</v>
      </c>
      <c r="W41" s="670">
        <f t="shared" si="14"/>
        <v>100</v>
      </c>
      <c r="X41" s="671"/>
      <c r="Y41" s="344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0"/>
      <c r="Q42" s="1263" t="str">
        <f t="shared" si="11"/>
        <v>内部装修</v>
      </c>
      <c r="R42" s="667" t="s">
        <v>14</v>
      </c>
      <c r="S42" s="668">
        <f t="shared" si="12"/>
        <v>100</v>
      </c>
      <c r="T42" s="667" t="s">
        <v>14</v>
      </c>
      <c r="U42" s="668">
        <f t="shared" si="13"/>
        <v>100</v>
      </c>
      <c r="V42" s="667" t="s">
        <v>14</v>
      </c>
      <c r="W42" s="668">
        <f t="shared" si="14"/>
        <v>100</v>
      </c>
      <c r="X42" s="1265"/>
      <c r="Y42" s="344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0"/>
      <c r="Q43" s="1263" t="str">
        <f t="shared" si="11"/>
        <v>内部装修维护情况</v>
      </c>
      <c r="R43" s="667" t="s">
        <v>14</v>
      </c>
      <c r="S43" s="668">
        <f t="shared" si="12"/>
        <v>100</v>
      </c>
      <c r="T43" s="667" t="s">
        <v>14</v>
      </c>
      <c r="U43" s="668">
        <f t="shared" si="13"/>
        <v>100</v>
      </c>
      <c r="V43" s="667" t="s">
        <v>14</v>
      </c>
      <c r="W43" s="668">
        <f t="shared" si="14"/>
        <v>100</v>
      </c>
      <c r="X43" s="1265"/>
      <c r="Y43" s="344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0"/>
      <c r="Q44" s="530">
        <f t="shared" si="11"/>
        <v>111</v>
      </c>
      <c r="R44" s="664" t="s">
        <v>14</v>
      </c>
      <c r="S44" s="665">
        <f t="shared" si="12"/>
        <v>100</v>
      </c>
      <c r="T44" s="664" t="s">
        <v>14</v>
      </c>
      <c r="U44" s="665">
        <f t="shared" si="13"/>
        <v>100</v>
      </c>
      <c r="V44" s="664" t="s">
        <v>14</v>
      </c>
      <c r="W44" s="665">
        <f t="shared" si="14"/>
        <v>100</v>
      </c>
      <c r="X44" s="666"/>
      <c r="Y44" s="344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0"/>
      <c r="Q45" s="1263">
        <f t="shared" si="11"/>
        <v>111</v>
      </c>
      <c r="R45" s="667" t="s">
        <v>14</v>
      </c>
      <c r="S45" s="668">
        <f t="shared" si="12"/>
        <v>100</v>
      </c>
      <c r="T45" s="667" t="s">
        <v>14</v>
      </c>
      <c r="U45" s="668">
        <f t="shared" si="13"/>
        <v>100</v>
      </c>
      <c r="V45" s="667" t="s">
        <v>14</v>
      </c>
      <c r="W45" s="668">
        <f t="shared" si="14"/>
        <v>100</v>
      </c>
      <c r="X45" s="1265"/>
      <c r="Y45" s="344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1"/>
      <c r="Q46" s="1263">
        <f t="shared" si="11"/>
        <v>111</v>
      </c>
      <c r="R46" s="667" t="s">
        <v>14</v>
      </c>
      <c r="S46" s="668">
        <f t="shared" si="12"/>
        <v>100</v>
      </c>
      <c r="T46" s="667" t="s">
        <v>14</v>
      </c>
      <c r="U46" s="668">
        <f t="shared" si="13"/>
        <v>100</v>
      </c>
      <c r="V46" s="667" t="s">
        <v>14</v>
      </c>
      <c r="W46" s="668">
        <f t="shared" si="14"/>
        <v>100</v>
      </c>
      <c r="X46" s="1265"/>
      <c r="Y46" s="344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6" t="str">
        <f>A47</f>
        <v>成交单价（元/平方米）</v>
      </c>
      <c r="Q47" s="3436"/>
      <c r="R47" s="3431">
        <f>E47</f>
        <v>0</v>
      </c>
      <c r="S47" s="3431"/>
      <c r="T47" s="3431">
        <f>G47</f>
        <v>0</v>
      </c>
      <c r="U47" s="3431"/>
      <c r="V47" s="3431">
        <f>I47</f>
        <v>0</v>
      </c>
      <c r="W47" s="3431"/>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2026-3</v>
      </c>
      <c r="D58" s="1104">
        <f>EDATE(C58,-1)</f>
        <v>46054</v>
      </c>
      <c r="E58" s="1104">
        <f t="shared" ref="E58:N58" si="16">EDATE(D58,-1)</f>
        <v>46023</v>
      </c>
      <c r="F58" s="1104">
        <f t="shared" si="16"/>
        <v>45992</v>
      </c>
      <c r="G58" s="1104">
        <f t="shared" si="16"/>
        <v>45962</v>
      </c>
      <c r="H58" s="1104">
        <f t="shared" si="16"/>
        <v>45931</v>
      </c>
      <c r="I58" s="1104">
        <f t="shared" si="16"/>
        <v>45901</v>
      </c>
      <c r="J58" s="1104">
        <f t="shared" si="16"/>
        <v>45870</v>
      </c>
      <c r="K58" s="1104">
        <f t="shared" si="16"/>
        <v>45839</v>
      </c>
      <c r="L58" s="1104">
        <f t="shared" si="16"/>
        <v>45809</v>
      </c>
      <c r="M58" s="1104">
        <f t="shared" si="16"/>
        <v>45778</v>
      </c>
      <c r="N58" s="1104">
        <f t="shared" si="16"/>
        <v>45748</v>
      </c>
      <c r="O58" s="1104">
        <f>EDATE(N58,-1)</f>
        <v>45717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6420.54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52" t="s">
        <v>1775</v>
      </c>
      <c r="Q4" s="3453"/>
      <c r="R4" s="3447" t="s">
        <v>1771</v>
      </c>
      <c r="S4" s="3448"/>
      <c r="T4" s="3447" t="s">
        <v>1772</v>
      </c>
      <c r="U4" s="3448"/>
      <c r="V4" s="3456" t="s">
        <v>1773</v>
      </c>
      <c r="W4" s="3456"/>
      <c r="X4" s="1809"/>
      <c r="Y4" s="3447" t="s">
        <v>1775</v>
      </c>
      <c r="Z4" s="3448"/>
      <c r="AA4" s="3446" t="s">
        <v>1771</v>
      </c>
      <c r="AB4" s="3446" t="s">
        <v>1772</v>
      </c>
      <c r="AC4" s="3449" t="s">
        <v>1773</v>
      </c>
    </row>
    <row r="5" spans="1:29" ht="15">
      <c r="A5" s="348"/>
      <c r="B5" s="349"/>
      <c r="C5" s="3412" t="s">
        <v>1673</v>
      </c>
      <c r="D5" s="3413"/>
      <c r="E5" s="3410" t="s">
        <v>1674</v>
      </c>
      <c r="F5" s="3411"/>
      <c r="G5" s="3412" t="s">
        <v>1675</v>
      </c>
      <c r="H5" s="3413"/>
      <c r="I5" s="3412" t="s">
        <v>1676</v>
      </c>
      <c r="J5" s="3413"/>
      <c r="K5" s="537"/>
      <c r="L5" s="2487"/>
      <c r="M5" s="2488"/>
      <c r="N5" s="2488"/>
      <c r="O5" s="2488"/>
      <c r="P5" s="3454"/>
      <c r="Q5" s="3426"/>
      <c r="R5" s="3408"/>
      <c r="S5" s="3409"/>
      <c r="T5" s="3408"/>
      <c r="U5" s="3409"/>
      <c r="V5" s="3431"/>
      <c r="W5" s="3431"/>
      <c r="X5" s="1265"/>
      <c r="Y5" s="3408"/>
      <c r="Z5" s="3409"/>
      <c r="AA5" s="3402"/>
      <c r="AB5" s="3402"/>
      <c r="AC5" s="3450"/>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55"/>
      <c r="Q6" s="3428"/>
      <c r="R6" s="3408"/>
      <c r="S6" s="3409"/>
      <c r="T6" s="3429"/>
      <c r="U6" s="3430"/>
      <c r="V6" s="3431"/>
      <c r="W6" s="3431"/>
      <c r="X6" s="1265"/>
      <c r="Y6" s="3429"/>
      <c r="Z6" s="3430"/>
      <c r="AA6" s="3403"/>
      <c r="AB6" s="3403"/>
      <c r="AC6" s="3451"/>
    </row>
    <row r="7" spans="1:29" s="102" customFormat="1" ht="15.75" thickBot="1">
      <c r="A7" s="352" t="s">
        <v>1679</v>
      </c>
      <c r="B7" s="353"/>
      <c r="C7" s="354">
        <f>'数据-取费表'!B2</f>
        <v>46092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7"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7"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8"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8"/>
      <c r="Q11" s="530" t="str">
        <f t="shared" si="6"/>
        <v>容积率</v>
      </c>
      <c r="R11" s="664" t="s">
        <v>14</v>
      </c>
      <c r="S11" s="665">
        <f t="shared" si="0"/>
        <v>100</v>
      </c>
      <c r="T11" s="664" t="s">
        <v>14</v>
      </c>
      <c r="U11" s="665">
        <f t="shared" si="1"/>
        <v>100</v>
      </c>
      <c r="V11" s="664" t="s">
        <v>14</v>
      </c>
      <c r="W11" s="665">
        <f t="shared" si="2"/>
        <v>100</v>
      </c>
      <c r="X11" s="666"/>
      <c r="Y11" s="334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8"/>
      <c r="Q14" s="530">
        <f t="shared" si="6"/>
        <v>111</v>
      </c>
      <c r="R14" s="664" t="s">
        <v>14</v>
      </c>
      <c r="S14" s="665">
        <f t="shared" si="0"/>
        <v>100</v>
      </c>
      <c r="T14" s="664" t="s">
        <v>14</v>
      </c>
      <c r="U14" s="665">
        <f t="shared" si="1"/>
        <v>100</v>
      </c>
      <c r="V14" s="664" t="s">
        <v>14</v>
      </c>
      <c r="W14" s="665">
        <f t="shared" si="2"/>
        <v>100</v>
      </c>
      <c r="X14" s="666"/>
      <c r="Y14" s="334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4" t="s">
        <v>1691</v>
      </c>
      <c r="Q15" s="1263" t="str">
        <f t="shared" si="6"/>
        <v>办公集聚程度</v>
      </c>
      <c r="R15" s="667" t="s">
        <v>14</v>
      </c>
      <c r="S15" s="668">
        <f t="shared" si="0"/>
        <v>100</v>
      </c>
      <c r="T15" s="667" t="s">
        <v>14</v>
      </c>
      <c r="U15" s="668">
        <f t="shared" si="1"/>
        <v>100</v>
      </c>
      <c r="V15" s="667" t="s">
        <v>14</v>
      </c>
      <c r="W15" s="668">
        <f t="shared" si="2"/>
        <v>100</v>
      </c>
      <c r="X15" s="1265"/>
      <c r="Y15" s="343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5"/>
      <c r="Q16" s="1263"/>
      <c r="R16" s="667"/>
      <c r="S16" s="668"/>
      <c r="T16" s="667"/>
      <c r="U16" s="668"/>
      <c r="V16" s="667"/>
      <c r="W16" s="668"/>
      <c r="X16" s="1265"/>
      <c r="Y16" s="343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5"/>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5"/>
      <c r="Q18" s="1263"/>
      <c r="R18" s="667"/>
      <c r="S18" s="668"/>
      <c r="T18" s="667"/>
      <c r="U18" s="668"/>
      <c r="V18" s="667"/>
      <c r="W18" s="668"/>
      <c r="X18" s="1265"/>
      <c r="Y18" s="343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5"/>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5"/>
      <c r="Q20" s="1263"/>
      <c r="R20" s="667"/>
      <c r="S20" s="668"/>
      <c r="T20" s="667"/>
      <c r="U20" s="668"/>
      <c r="V20" s="667"/>
      <c r="W20" s="668"/>
      <c r="X20" s="1265"/>
      <c r="Y20" s="343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5"/>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5"/>
      <c r="Q22" s="1263"/>
      <c r="R22" s="667"/>
      <c r="S22" s="668"/>
      <c r="T22" s="667"/>
      <c r="U22" s="668"/>
      <c r="V22" s="667"/>
      <c r="W22" s="668"/>
      <c r="X22" s="1265"/>
      <c r="Y22" s="343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5"/>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5"/>
      <c r="Q24" s="1263"/>
      <c r="R24" s="667"/>
      <c r="S24" s="668"/>
      <c r="T24" s="667"/>
      <c r="U24" s="668"/>
      <c r="V24" s="667"/>
      <c r="W24" s="668"/>
      <c r="X24" s="1265"/>
      <c r="Y24" s="343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5"/>
      <c r="Q25" s="1263" t="str">
        <f>B25</f>
        <v>毗邻道路的类型与等级</v>
      </c>
      <c r="R25" s="667" t="s">
        <v>14</v>
      </c>
      <c r="S25" s="668">
        <f>F25</f>
        <v>100</v>
      </c>
      <c r="T25" s="667" t="s">
        <v>14</v>
      </c>
      <c r="U25" s="668">
        <f>H25</f>
        <v>100</v>
      </c>
      <c r="V25" s="667" t="s">
        <v>14</v>
      </c>
      <c r="W25" s="668">
        <f>J25</f>
        <v>100</v>
      </c>
      <c r="X25" s="1265"/>
      <c r="Y25" s="343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5"/>
      <c r="Q26" s="1263"/>
      <c r="R26" s="667"/>
      <c r="S26" s="668"/>
      <c r="T26" s="667"/>
      <c r="U26" s="668"/>
      <c r="V26" s="667"/>
      <c r="W26" s="668"/>
      <c r="X26" s="1265"/>
      <c r="Y26" s="343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5"/>
      <c r="Q27" s="1263" t="str">
        <f t="shared" ref="Q27:Q47" si="11">B27</f>
        <v>楼层</v>
      </c>
      <c r="R27" s="667" t="s">
        <v>14</v>
      </c>
      <c r="S27" s="668">
        <f>F27</f>
        <v>100</v>
      </c>
      <c r="T27" s="667" t="s">
        <v>14</v>
      </c>
      <c r="U27" s="668">
        <f>H27</f>
        <v>100</v>
      </c>
      <c r="V27" s="667" t="s">
        <v>14</v>
      </c>
      <c r="W27" s="668">
        <f>J27</f>
        <v>100</v>
      </c>
      <c r="X27" s="1265"/>
      <c r="Y27" s="343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5"/>
      <c r="Q28" s="530" t="str">
        <f t="shared" si="11"/>
        <v>朝向</v>
      </c>
      <c r="R28" s="664" t="s">
        <v>14</v>
      </c>
      <c r="S28" s="665">
        <f>F28</f>
        <v>100</v>
      </c>
      <c r="T28" s="664" t="s">
        <v>14</v>
      </c>
      <c r="U28" s="665">
        <f>H28</f>
        <v>100</v>
      </c>
      <c r="V28" s="664" t="s">
        <v>14</v>
      </c>
      <c r="W28" s="665">
        <f>J28</f>
        <v>100</v>
      </c>
      <c r="X28" s="666"/>
      <c r="Y28" s="343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5"/>
      <c r="Q29" s="1263">
        <f t="shared" si="11"/>
        <v>111</v>
      </c>
      <c r="R29" s="667" t="s">
        <v>14</v>
      </c>
      <c r="S29" s="668">
        <f t="shared" ref="S29:S47" si="12">F29</f>
        <v>100</v>
      </c>
      <c r="T29" s="667" t="s">
        <v>14</v>
      </c>
      <c r="U29" s="668">
        <f t="shared" ref="U29:U47" si="13">H29</f>
        <v>100</v>
      </c>
      <c r="V29" s="667" t="s">
        <v>14</v>
      </c>
      <c r="W29" s="668">
        <f t="shared" ref="W29:W47" si="14">J29</f>
        <v>100</v>
      </c>
      <c r="X29" s="1265"/>
      <c r="Y29" s="343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5"/>
      <c r="Q30" s="1263">
        <f t="shared" si="11"/>
        <v>111</v>
      </c>
      <c r="R30" s="667" t="s">
        <v>14</v>
      </c>
      <c r="S30" s="668">
        <f t="shared" si="12"/>
        <v>100</v>
      </c>
      <c r="T30" s="667" t="s">
        <v>14</v>
      </c>
      <c r="U30" s="668">
        <f t="shared" si="13"/>
        <v>100</v>
      </c>
      <c r="V30" s="667" t="s">
        <v>14</v>
      </c>
      <c r="W30" s="668">
        <f t="shared" si="14"/>
        <v>100</v>
      </c>
      <c r="X30" s="1265"/>
      <c r="Y30" s="343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5"/>
      <c r="Q31" s="1263">
        <f t="shared" si="11"/>
        <v>111</v>
      </c>
      <c r="R31" s="667" t="s">
        <v>14</v>
      </c>
      <c r="S31" s="668">
        <f t="shared" si="12"/>
        <v>100</v>
      </c>
      <c r="T31" s="667" t="s">
        <v>14</v>
      </c>
      <c r="U31" s="668">
        <f t="shared" si="13"/>
        <v>100</v>
      </c>
      <c r="V31" s="667" t="s">
        <v>14</v>
      </c>
      <c r="W31" s="668">
        <f t="shared" si="14"/>
        <v>100</v>
      </c>
      <c r="X31" s="1265"/>
      <c r="Y31" s="343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5"/>
      <c r="Q32" s="1263">
        <f t="shared" si="11"/>
        <v>111</v>
      </c>
      <c r="R32" s="667" t="s">
        <v>14</v>
      </c>
      <c r="S32" s="668">
        <f t="shared" si="12"/>
        <v>100</v>
      </c>
      <c r="T32" s="667" t="s">
        <v>14</v>
      </c>
      <c r="U32" s="668">
        <f t="shared" si="13"/>
        <v>100</v>
      </c>
      <c r="V32" s="667" t="s">
        <v>14</v>
      </c>
      <c r="W32" s="668">
        <f t="shared" si="14"/>
        <v>100</v>
      </c>
      <c r="X32" s="1265"/>
      <c r="Y32" s="343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9" t="s">
        <v>1696</v>
      </c>
      <c r="Q33" s="1263" t="str">
        <f t="shared" si="11"/>
        <v>建筑类型</v>
      </c>
      <c r="R33" s="667" t="s">
        <v>14</v>
      </c>
      <c r="S33" s="668">
        <f t="shared" si="12"/>
        <v>100</v>
      </c>
      <c r="T33" s="667" t="s">
        <v>14</v>
      </c>
      <c r="U33" s="668">
        <f t="shared" si="13"/>
        <v>100</v>
      </c>
      <c r="V33" s="667" t="s">
        <v>14</v>
      </c>
      <c r="W33" s="668">
        <f t="shared" si="14"/>
        <v>100</v>
      </c>
      <c r="X33" s="1265"/>
      <c r="Y33" s="344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0"/>
      <c r="Q34" s="531" t="str">
        <f t="shared" si="11"/>
        <v>项目建筑规模</v>
      </c>
      <c r="R34" s="669" t="s">
        <v>14</v>
      </c>
      <c r="S34" s="670" t="e">
        <f t="shared" si="12"/>
        <v>#N/A</v>
      </c>
      <c r="T34" s="669" t="s">
        <v>14</v>
      </c>
      <c r="U34" s="670" t="e">
        <f t="shared" si="13"/>
        <v>#N/A</v>
      </c>
      <c r="V34" s="669" t="s">
        <v>14</v>
      </c>
      <c r="W34" s="670" t="e">
        <f t="shared" si="14"/>
        <v>#N/A</v>
      </c>
      <c r="X34" s="671"/>
      <c r="Y34" s="344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0"/>
      <c r="Q35" s="1263" t="str">
        <f t="shared" si="11"/>
        <v>建筑结构</v>
      </c>
      <c r="R35" s="667" t="s">
        <v>14</v>
      </c>
      <c r="S35" s="668">
        <f t="shared" si="12"/>
        <v>100</v>
      </c>
      <c r="T35" s="667" t="s">
        <v>14</v>
      </c>
      <c r="U35" s="668">
        <f t="shared" si="13"/>
        <v>100</v>
      </c>
      <c r="V35" s="667" t="s">
        <v>14</v>
      </c>
      <c r="W35" s="668">
        <f t="shared" si="14"/>
        <v>100</v>
      </c>
      <c r="X35" s="1265"/>
      <c r="Y35" s="344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0"/>
      <c r="Q36" s="1263" t="str">
        <f t="shared" si="11"/>
        <v>公共部分装修</v>
      </c>
      <c r="R36" s="667" t="s">
        <v>14</v>
      </c>
      <c r="S36" s="668">
        <f t="shared" si="12"/>
        <v>100</v>
      </c>
      <c r="T36" s="667" t="s">
        <v>14</v>
      </c>
      <c r="U36" s="668">
        <f t="shared" si="13"/>
        <v>100</v>
      </c>
      <c r="V36" s="667" t="s">
        <v>14</v>
      </c>
      <c r="W36" s="668">
        <f t="shared" si="14"/>
        <v>100</v>
      </c>
      <c r="X36" s="1265"/>
      <c r="Y36" s="344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0"/>
      <c r="Q37" s="1263" t="str">
        <f t="shared" si="11"/>
        <v>成新度</v>
      </c>
      <c r="R37" s="667" t="s">
        <v>14</v>
      </c>
      <c r="S37" s="668" t="e">
        <f t="shared" si="12"/>
        <v>#N/A</v>
      </c>
      <c r="T37" s="667" t="s">
        <v>14</v>
      </c>
      <c r="U37" s="668" t="e">
        <f t="shared" si="13"/>
        <v>#N/A</v>
      </c>
      <c r="V37" s="667" t="s">
        <v>14</v>
      </c>
      <c r="W37" s="668" t="e">
        <f t="shared" si="14"/>
        <v>#N/A</v>
      </c>
      <c r="X37" s="1265"/>
      <c r="Y37" s="344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0"/>
      <c r="Q38" s="530" t="str">
        <f t="shared" si="11"/>
        <v>写字楼等级</v>
      </c>
      <c r="R38" s="664" t="s">
        <v>14</v>
      </c>
      <c r="S38" s="665">
        <f t="shared" si="12"/>
        <v>100</v>
      </c>
      <c r="T38" s="664" t="s">
        <v>14</v>
      </c>
      <c r="U38" s="665">
        <f t="shared" si="13"/>
        <v>100</v>
      </c>
      <c r="V38" s="664" t="s">
        <v>14</v>
      </c>
      <c r="W38" s="665">
        <f t="shared" si="14"/>
        <v>100</v>
      </c>
      <c r="X38" s="666"/>
      <c r="Y38" s="344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0" t="s">
        <v>1696</v>
      </c>
      <c r="Q39" s="1263" t="str">
        <f t="shared" si="11"/>
        <v>物业管理</v>
      </c>
      <c r="R39" s="667" t="s">
        <v>14</v>
      </c>
      <c r="S39" s="668">
        <f t="shared" si="12"/>
        <v>100</v>
      </c>
      <c r="T39" s="667" t="s">
        <v>14</v>
      </c>
      <c r="U39" s="668">
        <f t="shared" si="13"/>
        <v>100</v>
      </c>
      <c r="V39" s="667" t="s">
        <v>14</v>
      </c>
      <c r="W39" s="668">
        <f t="shared" si="14"/>
        <v>100</v>
      </c>
      <c r="X39" s="1265"/>
      <c r="Y39" s="344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0"/>
      <c r="Q40" s="1263" t="str">
        <f t="shared" si="11"/>
        <v>市政基础设施</v>
      </c>
      <c r="R40" s="667" t="s">
        <v>14</v>
      </c>
      <c r="S40" s="668">
        <f t="shared" si="12"/>
        <v>100</v>
      </c>
      <c r="T40" s="667" t="s">
        <v>14</v>
      </c>
      <c r="U40" s="668">
        <f t="shared" si="13"/>
        <v>100</v>
      </c>
      <c r="V40" s="667" t="s">
        <v>14</v>
      </c>
      <c r="W40" s="668">
        <f t="shared" si="14"/>
        <v>100</v>
      </c>
      <c r="X40" s="1265"/>
      <c r="Y40" s="344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0"/>
      <c r="Q41" s="1263" t="str">
        <f t="shared" si="11"/>
        <v>层高</v>
      </c>
      <c r="R41" s="667" t="s">
        <v>14</v>
      </c>
      <c r="S41" s="668">
        <f t="shared" si="12"/>
        <v>100</v>
      </c>
      <c r="T41" s="667" t="s">
        <v>14</v>
      </c>
      <c r="U41" s="668">
        <f t="shared" si="13"/>
        <v>100</v>
      </c>
      <c r="V41" s="667" t="s">
        <v>14</v>
      </c>
      <c r="W41" s="668">
        <f t="shared" si="14"/>
        <v>100</v>
      </c>
      <c r="X41" s="1265"/>
      <c r="Y41" s="344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0"/>
      <c r="Q42" s="531" t="str">
        <f t="shared" si="11"/>
        <v>单套建筑面积</v>
      </c>
      <c r="R42" s="669" t="s">
        <v>14</v>
      </c>
      <c r="S42" s="670">
        <f t="shared" si="12"/>
        <v>100</v>
      </c>
      <c r="T42" s="669" t="s">
        <v>14</v>
      </c>
      <c r="U42" s="670">
        <f t="shared" si="13"/>
        <v>100</v>
      </c>
      <c r="V42" s="669" t="s">
        <v>14</v>
      </c>
      <c r="W42" s="670">
        <f t="shared" si="14"/>
        <v>100</v>
      </c>
      <c r="X42" s="671"/>
      <c r="Y42" s="344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0"/>
      <c r="Q43" s="1263" t="str">
        <f t="shared" si="11"/>
        <v>内部装修</v>
      </c>
      <c r="R43" s="667" t="s">
        <v>14</v>
      </c>
      <c r="S43" s="668">
        <f t="shared" si="12"/>
        <v>100</v>
      </c>
      <c r="T43" s="667" t="s">
        <v>14</v>
      </c>
      <c r="U43" s="668">
        <f t="shared" si="13"/>
        <v>100</v>
      </c>
      <c r="V43" s="667" t="s">
        <v>14</v>
      </c>
      <c r="W43" s="668">
        <f t="shared" si="14"/>
        <v>100</v>
      </c>
      <c r="X43" s="1265"/>
      <c r="Y43" s="344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0"/>
      <c r="Q44" s="1263" t="str">
        <f t="shared" si="11"/>
        <v>内部装修维护情况</v>
      </c>
      <c r="R44" s="667" t="s">
        <v>14</v>
      </c>
      <c r="S44" s="668">
        <f t="shared" si="12"/>
        <v>100</v>
      </c>
      <c r="T44" s="667" t="s">
        <v>14</v>
      </c>
      <c r="U44" s="668">
        <f t="shared" si="13"/>
        <v>100</v>
      </c>
      <c r="V44" s="667" t="s">
        <v>14</v>
      </c>
      <c r="W44" s="668">
        <f t="shared" si="14"/>
        <v>100</v>
      </c>
      <c r="X44" s="1265"/>
      <c r="Y44" s="344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0"/>
      <c r="Q45" s="530">
        <f t="shared" si="11"/>
        <v>111</v>
      </c>
      <c r="R45" s="664" t="s">
        <v>14</v>
      </c>
      <c r="S45" s="665">
        <f t="shared" si="12"/>
        <v>100</v>
      </c>
      <c r="T45" s="664" t="s">
        <v>14</v>
      </c>
      <c r="U45" s="665">
        <f t="shared" si="13"/>
        <v>100</v>
      </c>
      <c r="V45" s="664" t="s">
        <v>14</v>
      </c>
      <c r="W45" s="665">
        <f t="shared" si="14"/>
        <v>100</v>
      </c>
      <c r="X45" s="666"/>
      <c r="Y45" s="344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1"/>
      <c r="Q47" s="1263">
        <f t="shared" si="11"/>
        <v>111</v>
      </c>
      <c r="R47" s="667" t="s">
        <v>14</v>
      </c>
      <c r="S47" s="668">
        <f t="shared" si="12"/>
        <v>100</v>
      </c>
      <c r="T47" s="667" t="s">
        <v>14</v>
      </c>
      <c r="U47" s="668">
        <f t="shared" si="13"/>
        <v>100</v>
      </c>
      <c r="V47" s="667" t="s">
        <v>14</v>
      </c>
      <c r="W47" s="668">
        <f t="shared" si="14"/>
        <v>100</v>
      </c>
      <c r="X47" s="1265"/>
      <c r="Y47" s="344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8" t="str">
        <f>A48</f>
        <v>成交单价（元/平方米）</v>
      </c>
      <c r="Q48" s="3436"/>
      <c r="R48" s="3431">
        <f>E48</f>
        <v>0</v>
      </c>
      <c r="S48" s="3431"/>
      <c r="T48" s="3431">
        <f>G48</f>
        <v>0</v>
      </c>
      <c r="U48" s="3431"/>
      <c r="V48" s="3431">
        <f>I48</f>
        <v>0</v>
      </c>
      <c r="W48" s="343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8" t="str">
        <f>A49</f>
        <v>比较价值（元/平方米）</v>
      </c>
      <c r="Q49" s="3436"/>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2026-3</v>
      </c>
      <c r="D59" s="1104">
        <f>EDATE(C59,-1)</f>
        <v>46054</v>
      </c>
      <c r="E59" s="1104">
        <f>EDATE(D59,-1)</f>
        <v>46023</v>
      </c>
      <c r="F59" s="1104">
        <f t="shared" ref="F59:O59" si="16">EDATE(E59,-1)</f>
        <v>45992</v>
      </c>
      <c r="G59" s="1104">
        <f t="shared" si="16"/>
        <v>45962</v>
      </c>
      <c r="H59" s="1104">
        <f t="shared" si="16"/>
        <v>45931</v>
      </c>
      <c r="I59" s="1104">
        <f t="shared" si="16"/>
        <v>45901</v>
      </c>
      <c r="J59" s="1104">
        <f t="shared" si="16"/>
        <v>45870</v>
      </c>
      <c r="K59" s="1104">
        <f t="shared" si="16"/>
        <v>45839</v>
      </c>
      <c r="L59" s="1104">
        <f t="shared" si="16"/>
        <v>45809</v>
      </c>
      <c r="M59" s="1104">
        <f t="shared" si="16"/>
        <v>45778</v>
      </c>
      <c r="N59" s="1104">
        <f t="shared" si="16"/>
        <v>45748</v>
      </c>
      <c r="O59" s="1104">
        <f t="shared" si="16"/>
        <v>45717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7" zoomScaleNormal="60" zoomScaleSheetLayoutView="100" workbookViewId="0">
      <selection activeCell="K37" sqref="K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1"/>
      <c r="F1" s="1735" t="s">
        <v>3495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6420.54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860"/>
      <c r="M4" s="861"/>
      <c r="N4" s="861"/>
      <c r="O4" s="861"/>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860"/>
      <c r="M5" s="861"/>
      <c r="N5" s="861"/>
      <c r="O5" s="861"/>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860"/>
      <c r="M6" s="861"/>
      <c r="N6" s="861"/>
      <c r="O6" s="861"/>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v>46082</v>
      </c>
      <c r="F7" s="357">
        <f>SUMIF(52:52,YEAR(E7)&amp;"-"&amp;MONTH(E7),53:53)</f>
        <v>100</v>
      </c>
      <c r="G7" s="356">
        <v>46082</v>
      </c>
      <c r="H7" s="355">
        <f>SUMIF(52:52,YEAR(G7)&amp;"-"&amp;MONTH(G7),53:53)</f>
        <v>100</v>
      </c>
      <c r="I7" s="356">
        <v>46082</v>
      </c>
      <c r="J7" s="355">
        <f>SUMIF(52:52,YEAR(I7)&amp;"-"&amp;MONTH(I7),53:53)</f>
        <v>100</v>
      </c>
      <c r="K7" s="38"/>
      <c r="L7" s="862"/>
      <c r="M7" s="863"/>
      <c r="N7" s="863"/>
      <c r="O7" s="863"/>
      <c r="P7" s="3404" t="s">
        <v>1680</v>
      </c>
      <c r="Q7" s="3432"/>
      <c r="R7" s="664" t="s">
        <v>14</v>
      </c>
      <c r="S7" s="665">
        <f t="shared" ref="S7:S15" si="0">F7</f>
        <v>100</v>
      </c>
      <c r="T7" s="664" t="s">
        <v>14</v>
      </c>
      <c r="U7" s="665">
        <f t="shared" ref="U7:U15" si="1">H7</f>
        <v>100</v>
      </c>
      <c r="V7" s="664" t="s">
        <v>14</v>
      </c>
      <c r="W7" s="665">
        <f t="shared" ref="W7:W15" si="2">J7</f>
        <v>100</v>
      </c>
      <c r="X7" s="666"/>
      <c r="Y7" s="3404" t="s">
        <v>1680</v>
      </c>
      <c r="Z7" s="3405"/>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6"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36"/>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6"/>
      <c r="Q11" s="530" t="str">
        <f t="shared" si="6"/>
        <v>容积率</v>
      </c>
      <c r="R11" s="664" t="s">
        <v>14</v>
      </c>
      <c r="S11" s="665">
        <f t="shared" si="0"/>
        <v>100</v>
      </c>
      <c r="T11" s="664" t="s">
        <v>14</v>
      </c>
      <c r="U11" s="665">
        <f t="shared" si="1"/>
        <v>100</v>
      </c>
      <c r="V11" s="664" t="s">
        <v>14</v>
      </c>
      <c r="W11" s="665">
        <f t="shared" si="2"/>
        <v>100</v>
      </c>
      <c r="X11" s="666"/>
      <c r="Y11" s="334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6"/>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6"/>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6"/>
      <c r="Q14" s="530">
        <f t="shared" si="6"/>
        <v>111</v>
      </c>
      <c r="R14" s="664" t="s">
        <v>14</v>
      </c>
      <c r="S14" s="665">
        <f t="shared" si="0"/>
        <v>100</v>
      </c>
      <c r="T14" s="664" t="s">
        <v>14</v>
      </c>
      <c r="U14" s="665">
        <f t="shared" si="1"/>
        <v>100</v>
      </c>
      <c r="V14" s="664" t="s">
        <v>14</v>
      </c>
      <c r="W14" s="665">
        <f t="shared" si="2"/>
        <v>100</v>
      </c>
      <c r="X14" s="666"/>
      <c r="Y14" s="334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385"/>
      <c r="C16" s="386" t="s">
        <v>3471</v>
      </c>
      <c r="D16" s="387"/>
      <c r="E16" s="386" t="s">
        <v>3471</v>
      </c>
      <c r="F16" s="388"/>
      <c r="G16" s="386" t="s">
        <v>3471</v>
      </c>
      <c r="H16" s="389"/>
      <c r="I16" s="386" t="s">
        <v>3471</v>
      </c>
      <c r="J16" s="387"/>
      <c r="K16" s="541"/>
      <c r="L16" s="870"/>
      <c r="M16" s="861"/>
      <c r="N16" s="861"/>
      <c r="O16" s="869"/>
      <c r="P16" s="3438"/>
      <c r="Q16" s="1263"/>
      <c r="R16" s="667"/>
      <c r="S16" s="668"/>
      <c r="T16" s="667"/>
      <c r="U16" s="668"/>
      <c r="V16" s="667"/>
      <c r="W16" s="668"/>
      <c r="X16" s="1265"/>
      <c r="Y16" s="343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395"/>
      <c r="C18" s="1755" t="s">
        <v>3471</v>
      </c>
      <c r="D18" s="389"/>
      <c r="E18" s="386" t="s">
        <v>3471</v>
      </c>
      <c r="F18" s="392"/>
      <c r="G18" s="386" t="s">
        <v>3471</v>
      </c>
      <c r="H18" s="387"/>
      <c r="I18" s="386" t="s">
        <v>3471</v>
      </c>
      <c r="J18" s="387"/>
      <c r="K18" s="541"/>
      <c r="L18" s="870"/>
      <c r="M18" s="861"/>
      <c r="N18" s="861"/>
      <c r="O18" s="869"/>
      <c r="P18" s="3438"/>
      <c r="Q18" s="1263"/>
      <c r="R18" s="667"/>
      <c r="S18" s="668"/>
      <c r="T18" s="667"/>
      <c r="U18" s="668"/>
      <c r="V18" s="667"/>
      <c r="W18" s="668"/>
      <c r="X18" s="1265"/>
      <c r="Y18" s="343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8"/>
      <c r="Q19" s="1263" t="str">
        <f>B19</f>
        <v>公共配套设施</v>
      </c>
      <c r="R19" s="667" t="s">
        <v>14</v>
      </c>
      <c r="S19" s="668">
        <f>F19</f>
        <v>100</v>
      </c>
      <c r="T19" s="667" t="s">
        <v>14</v>
      </c>
      <c r="U19" s="668">
        <f>H19</f>
        <v>100</v>
      </c>
      <c r="V19" s="667" t="s">
        <v>14</v>
      </c>
      <c r="W19" s="668">
        <f>J19</f>
        <v>100</v>
      </c>
      <c r="X19" s="1265"/>
      <c r="Y19" s="3438"/>
      <c r="Z19" s="1264" t="str">
        <f>Q19</f>
        <v>公共配套设施</v>
      </c>
      <c r="AA19" s="1264">
        <f t="shared" si="3"/>
        <v>1</v>
      </c>
      <c r="AB19" s="1264">
        <f t="shared" si="4"/>
        <v>1</v>
      </c>
      <c r="AC19" s="1264">
        <f t="shared" si="5"/>
        <v>1</v>
      </c>
    </row>
    <row r="20" spans="1:29" ht="15">
      <c r="A20" s="367"/>
      <c r="B20" s="395"/>
      <c r="C20" s="386" t="s">
        <v>3471</v>
      </c>
      <c r="D20" s="387"/>
      <c r="E20" s="386" t="s">
        <v>3471</v>
      </c>
      <c r="F20" s="388"/>
      <c r="G20" s="386" t="s">
        <v>3471</v>
      </c>
      <c r="H20" s="387"/>
      <c r="I20" s="386" t="s">
        <v>3471</v>
      </c>
      <c r="J20" s="387"/>
      <c r="K20" s="541"/>
      <c r="L20" s="870"/>
      <c r="M20" s="861"/>
      <c r="N20" s="861"/>
      <c r="O20" s="869"/>
      <c r="P20" s="3438"/>
      <c r="Q20" s="1263"/>
      <c r="R20" s="667"/>
      <c r="S20" s="668"/>
      <c r="T20" s="667"/>
      <c r="U20" s="668"/>
      <c r="V20" s="667"/>
      <c r="W20" s="668"/>
      <c r="X20" s="1265"/>
      <c r="Y20" s="343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8"/>
      <c r="Q21" s="1263" t="str">
        <f>B21</f>
        <v>基础设施水平</v>
      </c>
      <c r="R21" s="667" t="s">
        <v>14</v>
      </c>
      <c r="S21" s="668">
        <f>F21</f>
        <v>100</v>
      </c>
      <c r="T21" s="667" t="s">
        <v>14</v>
      </c>
      <c r="U21" s="668">
        <f>H21</f>
        <v>100</v>
      </c>
      <c r="V21" s="667" t="s">
        <v>14</v>
      </c>
      <c r="W21" s="668">
        <f>J21</f>
        <v>100</v>
      </c>
      <c r="X21" s="1265"/>
      <c r="Y21" s="3438"/>
      <c r="Z21" s="1264" t="str">
        <f>Q21</f>
        <v>基础设施水平</v>
      </c>
      <c r="AA21" s="1264">
        <f t="shared" ref="AA21" si="8">D21/F21</f>
        <v>1</v>
      </c>
      <c r="AB21" s="1264">
        <f t="shared" ref="AB21" si="9">D21/H21</f>
        <v>1</v>
      </c>
      <c r="AC21" s="1264">
        <f t="shared" ref="AC21" si="10">D21/J21</f>
        <v>1</v>
      </c>
    </row>
    <row r="22" spans="1:29" ht="15">
      <c r="A22" s="367"/>
      <c r="B22" s="586"/>
      <c r="C22" s="1755" t="s">
        <v>3494</v>
      </c>
      <c r="D22" s="387"/>
      <c r="E22" s="1755" t="s">
        <v>3494</v>
      </c>
      <c r="F22" s="388"/>
      <c r="G22" s="1755" t="s">
        <v>3494</v>
      </c>
      <c r="H22" s="387"/>
      <c r="I22" s="1755" t="s">
        <v>3494</v>
      </c>
      <c r="J22" s="387"/>
      <c r="K22" s="1064"/>
      <c r="L22" s="870"/>
      <c r="M22" s="861"/>
      <c r="N22" s="861"/>
      <c r="O22" s="869"/>
      <c r="P22" s="3438"/>
      <c r="Q22" s="1263"/>
      <c r="R22" s="667"/>
      <c r="S22" s="668"/>
      <c r="T22" s="667"/>
      <c r="U22" s="668"/>
      <c r="V22" s="667"/>
      <c r="W22" s="668"/>
      <c r="X22" s="1265"/>
      <c r="Y22" s="343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8"/>
      <c r="Q23" s="1263" t="str">
        <f>B23</f>
        <v>环境质量</v>
      </c>
      <c r="R23" s="667" t="s">
        <v>14</v>
      </c>
      <c r="S23" s="668">
        <f>F23</f>
        <v>100</v>
      </c>
      <c r="T23" s="667" t="s">
        <v>14</v>
      </c>
      <c r="U23" s="668">
        <f>H23</f>
        <v>100</v>
      </c>
      <c r="V23" s="667" t="s">
        <v>14</v>
      </c>
      <c r="W23" s="668">
        <f>J23</f>
        <v>100</v>
      </c>
      <c r="X23" s="1265"/>
      <c r="Y23" s="3438"/>
      <c r="Z23" s="1264" t="str">
        <f>Q23</f>
        <v>环境质量</v>
      </c>
      <c r="AA23" s="1264">
        <f t="shared" si="3"/>
        <v>1</v>
      </c>
      <c r="AB23" s="1264">
        <f t="shared" si="4"/>
        <v>1</v>
      </c>
      <c r="AC23" s="1264">
        <f t="shared" si="5"/>
        <v>1</v>
      </c>
    </row>
    <row r="24" spans="1:29" ht="15">
      <c r="A24" s="367"/>
      <c r="B24" s="586"/>
      <c r="C24" s="386" t="s">
        <v>3471</v>
      </c>
      <c r="D24" s="387"/>
      <c r="E24" s="386" t="s">
        <v>3471</v>
      </c>
      <c r="F24" s="388"/>
      <c r="G24" s="386" t="s">
        <v>3471</v>
      </c>
      <c r="H24" s="387"/>
      <c r="I24" s="386" t="s">
        <v>3471</v>
      </c>
      <c r="J24" s="387"/>
      <c r="K24" s="541"/>
      <c r="L24" s="870"/>
      <c r="M24" s="861"/>
      <c r="N24" s="861"/>
      <c r="O24" s="869"/>
      <c r="P24" s="3438"/>
      <c r="Q24" s="1263"/>
      <c r="R24" s="667"/>
      <c r="S24" s="668"/>
      <c r="T24" s="667"/>
      <c r="U24" s="668"/>
      <c r="V24" s="667"/>
      <c r="W24" s="668"/>
      <c r="X24" s="1265"/>
      <c r="Y24" s="343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8"/>
      <c r="Q25" s="1263">
        <f>B25</f>
        <v>111</v>
      </c>
      <c r="R25" s="667" t="s">
        <v>14</v>
      </c>
      <c r="S25" s="668">
        <f>F25</f>
        <v>100</v>
      </c>
      <c r="T25" s="667" t="s">
        <v>14</v>
      </c>
      <c r="U25" s="668">
        <f>H25</f>
        <v>100</v>
      </c>
      <c r="V25" s="667" t="s">
        <v>14</v>
      </c>
      <c r="W25" s="668">
        <f>J25</f>
        <v>100</v>
      </c>
      <c r="X25" s="1265"/>
      <c r="Y25" s="343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8"/>
      <c r="Q26" s="1263">
        <f t="shared" ref="Q26:Q40" si="11">B26</f>
        <v>111</v>
      </c>
      <c r="R26" s="667" t="s">
        <v>14</v>
      </c>
      <c r="S26" s="668">
        <f>F26</f>
        <v>100</v>
      </c>
      <c r="T26" s="667" t="s">
        <v>14</v>
      </c>
      <c r="U26" s="668">
        <f>H26</f>
        <v>100</v>
      </c>
      <c r="V26" s="667" t="s">
        <v>14</v>
      </c>
      <c r="W26" s="668">
        <f>J26</f>
        <v>100</v>
      </c>
      <c r="X26" s="1265"/>
      <c r="Y26" s="343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8"/>
      <c r="Q27" s="530">
        <f t="shared" si="11"/>
        <v>111</v>
      </c>
      <c r="R27" s="664" t="s">
        <v>14</v>
      </c>
      <c r="S27" s="665">
        <f>F27</f>
        <v>100</v>
      </c>
      <c r="T27" s="664" t="s">
        <v>14</v>
      </c>
      <c r="U27" s="665">
        <f>H27</f>
        <v>100</v>
      </c>
      <c r="V27" s="664" t="s">
        <v>14</v>
      </c>
      <c r="W27" s="665">
        <f>J27</f>
        <v>100</v>
      </c>
      <c r="X27" s="666"/>
      <c r="Y27" s="343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8"/>
      <c r="Q28" s="1263">
        <f t="shared" si="11"/>
        <v>111</v>
      </c>
      <c r="R28" s="667" t="s">
        <v>14</v>
      </c>
      <c r="S28" s="668">
        <f t="shared" ref="S28:S40" si="12">F28</f>
        <v>100</v>
      </c>
      <c r="T28" s="667" t="s">
        <v>14</v>
      </c>
      <c r="U28" s="668">
        <f t="shared" ref="U28:U40" si="13">H28</f>
        <v>100</v>
      </c>
      <c r="V28" s="667" t="s">
        <v>14</v>
      </c>
      <c r="W28" s="668">
        <f t="shared" ref="W28:W40" si="14">J28</f>
        <v>100</v>
      </c>
      <c r="X28" s="1265"/>
      <c r="Y28" s="343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42" t="s">
        <v>1696</v>
      </c>
      <c r="Z29" s="1264" t="str">
        <f t="shared" si="15"/>
        <v>建筑类型</v>
      </c>
      <c r="AA29" s="1264">
        <f t="shared" si="3"/>
        <v>1</v>
      </c>
      <c r="AB29" s="1264">
        <f t="shared" si="4"/>
        <v>1</v>
      </c>
      <c r="AC29" s="1264">
        <f t="shared" si="5"/>
        <v>1</v>
      </c>
    </row>
    <row r="30" spans="1:29" s="408" customFormat="1" ht="15">
      <c r="A30" s="406"/>
      <c r="B30" s="364" t="s">
        <v>1697</v>
      </c>
      <c r="C30" s="407">
        <f xml:space="preserve"> '数据-汇总表'!F19</f>
        <v>6420.54</v>
      </c>
      <c r="D30" s="119">
        <v>100</v>
      </c>
      <c r="E30" s="369">
        <f>厂房仓储案例!S16</f>
        <v>3600</v>
      </c>
      <c r="F30" s="364">
        <f>LOOKUP(E30,91:91,92:92)-LOOKUP(C30,91:91,92:92)+100</f>
        <v>98</v>
      </c>
      <c r="G30" s="368">
        <f>厂房仓储案例!S17</f>
        <v>670</v>
      </c>
      <c r="H30" s="119">
        <f>LOOKUP(G30,91:91,92:92)-LOOKUP(C30,91:91,92:92)+100</f>
        <v>97</v>
      </c>
      <c r="I30" s="368">
        <f>厂房仓储案例!S18</f>
        <v>2500</v>
      </c>
      <c r="J30" s="119">
        <f>LOOKUP(I30,91:91,92:92)-LOOKUP(C30,91:91,92:92)+100</f>
        <v>98</v>
      </c>
      <c r="K30" s="539"/>
      <c r="L30" s="868"/>
      <c r="M30" s="871"/>
      <c r="N30" s="871"/>
      <c r="O30" s="872"/>
      <c r="P30" s="3442"/>
      <c r="Q30" s="531" t="str">
        <f t="shared" si="11"/>
        <v>项目建筑规模</v>
      </c>
      <c r="R30" s="669" t="s">
        <v>14</v>
      </c>
      <c r="S30" s="670">
        <f t="shared" si="12"/>
        <v>98</v>
      </c>
      <c r="T30" s="669" t="s">
        <v>14</v>
      </c>
      <c r="U30" s="670">
        <f t="shared" si="13"/>
        <v>97</v>
      </c>
      <c r="V30" s="669" t="s">
        <v>14</v>
      </c>
      <c r="W30" s="670">
        <f t="shared" si="14"/>
        <v>98</v>
      </c>
      <c r="X30" s="671"/>
      <c r="Y30" s="3442"/>
      <c r="Z30" s="672" t="str">
        <f t="shared" si="15"/>
        <v>项目建筑规模</v>
      </c>
      <c r="AA30" s="1264">
        <f t="shared" si="3"/>
        <v>1.0204081632653061</v>
      </c>
      <c r="AB30" s="1264">
        <f t="shared" si="4"/>
        <v>1.0309278350515463</v>
      </c>
      <c r="AC30" s="1264">
        <f t="shared" si="5"/>
        <v>1.0204081632653061</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2"/>
      <c r="Q31" s="1263" t="str">
        <f t="shared" si="11"/>
        <v>建筑结构</v>
      </c>
      <c r="R31" s="667" t="s">
        <v>14</v>
      </c>
      <c r="S31" s="668">
        <f t="shared" si="12"/>
        <v>100</v>
      </c>
      <c r="T31" s="667" t="s">
        <v>14</v>
      </c>
      <c r="U31" s="668">
        <f t="shared" si="13"/>
        <v>100</v>
      </c>
      <c r="V31" s="667" t="s">
        <v>14</v>
      </c>
      <c r="W31" s="668">
        <f t="shared" si="14"/>
        <v>100</v>
      </c>
      <c r="X31" s="1265"/>
      <c r="Y31" s="344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2"/>
      <c r="Q32" s="1263" t="str">
        <f t="shared" si="11"/>
        <v>公共部分装修</v>
      </c>
      <c r="R32" s="667" t="s">
        <v>14</v>
      </c>
      <c r="S32" s="668">
        <f t="shared" si="12"/>
        <v>100</v>
      </c>
      <c r="T32" s="667" t="s">
        <v>14</v>
      </c>
      <c r="U32" s="668">
        <f t="shared" si="13"/>
        <v>100</v>
      </c>
      <c r="V32" s="667" t="s">
        <v>14</v>
      </c>
      <c r="W32" s="668">
        <f t="shared" si="14"/>
        <v>100</v>
      </c>
      <c r="X32" s="1265"/>
      <c r="Y32" s="3442"/>
      <c r="Z32" s="1264" t="str">
        <f t="shared" si="15"/>
        <v>公共部分装修</v>
      </c>
      <c r="AA32" s="1264">
        <f t="shared" si="3"/>
        <v>1</v>
      </c>
      <c r="AB32" s="1264">
        <f t="shared" si="4"/>
        <v>1</v>
      </c>
      <c r="AC32" s="1264">
        <f t="shared" si="5"/>
        <v>1</v>
      </c>
    </row>
    <row r="33" spans="1:29" ht="15">
      <c r="A33" s="409"/>
      <c r="B33" s="364" t="s">
        <v>1786</v>
      </c>
      <c r="C33" s="411">
        <v>0.6</v>
      </c>
      <c r="D33" s="374">
        <v>100</v>
      </c>
      <c r="E33" s="411">
        <v>0.6</v>
      </c>
      <c r="F33" s="400">
        <f>LOOKUP(E33,98:98,99:99)-LOOKUP(C33,98:98,99:99)+100</f>
        <v>100</v>
      </c>
      <c r="G33" s="411">
        <v>0.6</v>
      </c>
      <c r="H33" s="400">
        <f>LOOKUP(G33,98:98,99:99)-LOOKUP(C33,98:98,99:99)+100</f>
        <v>100</v>
      </c>
      <c r="I33" s="411">
        <v>0.6</v>
      </c>
      <c r="J33" s="374">
        <f>LOOKUP(I33,98:98,99:99)-LOOKUP(C33,98:98,99:99)+100</f>
        <v>100</v>
      </c>
      <c r="K33" s="538"/>
      <c r="L33" s="870"/>
      <c r="M33" s="861"/>
      <c r="N33" s="861"/>
      <c r="O33" s="869"/>
      <c r="P33" s="3442"/>
      <c r="Q33" s="1263" t="str">
        <f t="shared" si="11"/>
        <v>成新度</v>
      </c>
      <c r="R33" s="667" t="s">
        <v>14</v>
      </c>
      <c r="S33" s="668">
        <f t="shared" si="12"/>
        <v>100</v>
      </c>
      <c r="T33" s="667" t="s">
        <v>14</v>
      </c>
      <c r="U33" s="668">
        <f t="shared" si="13"/>
        <v>100</v>
      </c>
      <c r="V33" s="667" t="s">
        <v>14</v>
      </c>
      <c r="W33" s="668">
        <f t="shared" si="14"/>
        <v>100</v>
      </c>
      <c r="X33" s="1265"/>
      <c r="Y33" s="3442"/>
      <c r="Z33" s="1264" t="str">
        <f t="shared" si="15"/>
        <v>成新度</v>
      </c>
      <c r="AA33" s="1264">
        <f t="shared" si="3"/>
        <v>1</v>
      </c>
      <c r="AB33" s="1264">
        <f t="shared" si="4"/>
        <v>1</v>
      </c>
      <c r="AC33" s="1264">
        <f t="shared" si="5"/>
        <v>1</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2"/>
      <c r="Q34" s="530" t="str">
        <f t="shared" si="11"/>
        <v>物业管理</v>
      </c>
      <c r="R34" s="664" t="s">
        <v>14</v>
      </c>
      <c r="S34" s="665">
        <f t="shared" si="12"/>
        <v>100</v>
      </c>
      <c r="T34" s="664" t="s">
        <v>14</v>
      </c>
      <c r="U34" s="665">
        <f t="shared" si="13"/>
        <v>100</v>
      </c>
      <c r="V34" s="664" t="s">
        <v>14</v>
      </c>
      <c r="W34" s="665">
        <f t="shared" si="14"/>
        <v>100</v>
      </c>
      <c r="X34" s="666"/>
      <c r="Y34" s="344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2" t="s">
        <v>1696</v>
      </c>
      <c r="Q35" s="1263" t="str">
        <f t="shared" si="11"/>
        <v>市政基础设施</v>
      </c>
      <c r="R35" s="667" t="s">
        <v>14</v>
      </c>
      <c r="S35" s="668">
        <f t="shared" si="12"/>
        <v>100</v>
      </c>
      <c r="T35" s="667" t="s">
        <v>14</v>
      </c>
      <c r="U35" s="668">
        <f t="shared" si="13"/>
        <v>100</v>
      </c>
      <c r="V35" s="667" t="s">
        <v>14</v>
      </c>
      <c r="W35" s="668">
        <f t="shared" si="14"/>
        <v>100</v>
      </c>
      <c r="X35" s="1265"/>
      <c r="Y35" s="3442" t="s">
        <v>1696</v>
      </c>
      <c r="Z35" s="1264" t="str">
        <f t="shared" si="15"/>
        <v>市政基础设施</v>
      </c>
      <c r="AA35" s="1264">
        <f t="shared" si="3"/>
        <v>1</v>
      </c>
      <c r="AB35" s="1264">
        <f t="shared" si="4"/>
        <v>1</v>
      </c>
      <c r="AC35" s="1264">
        <f t="shared" si="5"/>
        <v>1</v>
      </c>
    </row>
    <row r="36" spans="1:29" ht="15">
      <c r="A36" s="409"/>
      <c r="B36" s="364" t="s">
        <v>1792</v>
      </c>
      <c r="C36" s="399" t="s">
        <v>3499</v>
      </c>
      <c r="D36" s="374">
        <v>100</v>
      </c>
      <c r="E36" s="399" t="s">
        <v>3499</v>
      </c>
      <c r="F36" s="400">
        <f>SUMIF(104:104,E36,105:105)-SUMIF(104:104,C36,105:105)+100</f>
        <v>100</v>
      </c>
      <c r="G36" s="399" t="s">
        <v>3497</v>
      </c>
      <c r="H36" s="374">
        <f>SUMIF(104:104,G36,105:105)-SUMIF(104:104,C36,105:105)+100</f>
        <v>101</v>
      </c>
      <c r="I36" s="399" t="s">
        <v>3497</v>
      </c>
      <c r="J36" s="374">
        <f>SUMIF(104:104,I36,105:105)-SUMIF(104:104,C36,105:105)+100</f>
        <v>101</v>
      </c>
      <c r="K36" s="538">
        <v>1</v>
      </c>
      <c r="L36" s="870"/>
      <c r="M36" s="861"/>
      <c r="N36" s="861"/>
      <c r="O36" s="869"/>
      <c r="P36" s="3442"/>
      <c r="Q36" s="1263" t="str">
        <f t="shared" si="11"/>
        <v>内部装修</v>
      </c>
      <c r="R36" s="667" t="s">
        <v>14</v>
      </c>
      <c r="S36" s="668">
        <f t="shared" si="12"/>
        <v>100</v>
      </c>
      <c r="T36" s="667" t="s">
        <v>14</v>
      </c>
      <c r="U36" s="668">
        <f t="shared" si="13"/>
        <v>101</v>
      </c>
      <c r="V36" s="667" t="s">
        <v>14</v>
      </c>
      <c r="W36" s="668">
        <f t="shared" si="14"/>
        <v>101</v>
      </c>
      <c r="X36" s="1265"/>
      <c r="Y36" s="3442"/>
      <c r="Z36" s="1264" t="str">
        <f t="shared" si="15"/>
        <v>内部装修</v>
      </c>
      <c r="AA36" s="1264">
        <f t="shared" si="3"/>
        <v>1</v>
      </c>
      <c r="AB36" s="1264">
        <f t="shared" si="4"/>
        <v>0.99009900990099009</v>
      </c>
      <c r="AC36" s="1264">
        <f t="shared" si="5"/>
        <v>0.99009900990099009</v>
      </c>
    </row>
    <row r="37" spans="1:29" ht="15">
      <c r="A37" s="409"/>
      <c r="B37" s="364" t="s">
        <v>1828</v>
      </c>
      <c r="C37" s="542" t="s">
        <v>3501</v>
      </c>
      <c r="D37" s="374">
        <v>100</v>
      </c>
      <c r="E37" s="542" t="s">
        <v>3501</v>
      </c>
      <c r="F37" s="400">
        <f>SUMIF(106:106,E37,107:107)-SUMIF(106:106,C37,107:107)+100</f>
        <v>100</v>
      </c>
      <c r="G37" s="542" t="s">
        <v>3472</v>
      </c>
      <c r="H37" s="374">
        <f>SUMIF(106:106,G37,107:107)-SUMIF(106:106,C37,107:107)+100</f>
        <v>102</v>
      </c>
      <c r="I37" s="542" t="s">
        <v>3472</v>
      </c>
      <c r="J37" s="374">
        <f>SUMIF(106:106,I37,107:107)-SUMIF(106:106,C37,107:107)+100</f>
        <v>102</v>
      </c>
      <c r="K37" s="538">
        <v>1</v>
      </c>
      <c r="L37" s="870"/>
      <c r="M37" s="861"/>
      <c r="N37" s="861"/>
      <c r="O37" s="869"/>
      <c r="P37" s="3442"/>
      <c r="Q37" s="1263" t="str">
        <f t="shared" si="11"/>
        <v>内部装修状况</v>
      </c>
      <c r="R37" s="667" t="s">
        <v>14</v>
      </c>
      <c r="S37" s="668">
        <f t="shared" si="12"/>
        <v>100</v>
      </c>
      <c r="T37" s="667" t="s">
        <v>14</v>
      </c>
      <c r="U37" s="668">
        <f t="shared" si="13"/>
        <v>102</v>
      </c>
      <c r="V37" s="667" t="s">
        <v>14</v>
      </c>
      <c r="W37" s="668">
        <f t="shared" si="14"/>
        <v>102</v>
      </c>
      <c r="X37" s="1265"/>
      <c r="Y37" s="3442"/>
      <c r="Z37" s="1264" t="str">
        <f t="shared" si="15"/>
        <v>内部装修状况</v>
      </c>
      <c r="AA37" s="1264">
        <f t="shared" si="3"/>
        <v>1</v>
      </c>
      <c r="AB37" s="1264">
        <f t="shared" si="4"/>
        <v>0.98039215686274506</v>
      </c>
      <c r="AC37" s="1264">
        <f t="shared" si="5"/>
        <v>0.98039215686274506</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2"/>
      <c r="Q38" s="531">
        <f t="shared" si="11"/>
        <v>111</v>
      </c>
      <c r="R38" s="669" t="s">
        <v>14</v>
      </c>
      <c r="S38" s="670">
        <f t="shared" si="12"/>
        <v>100</v>
      </c>
      <c r="T38" s="669" t="s">
        <v>14</v>
      </c>
      <c r="U38" s="670">
        <f t="shared" si="13"/>
        <v>100</v>
      </c>
      <c r="V38" s="669" t="s">
        <v>14</v>
      </c>
      <c r="W38" s="670">
        <f t="shared" si="14"/>
        <v>100</v>
      </c>
      <c r="X38" s="671"/>
      <c r="Y38" s="344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2"/>
      <c r="Q39" s="1263">
        <f t="shared" si="11"/>
        <v>111</v>
      </c>
      <c r="R39" s="667" t="s">
        <v>14</v>
      </c>
      <c r="S39" s="668">
        <f t="shared" si="12"/>
        <v>100</v>
      </c>
      <c r="T39" s="667" t="s">
        <v>14</v>
      </c>
      <c r="U39" s="668">
        <f t="shared" si="13"/>
        <v>100</v>
      </c>
      <c r="V39" s="667" t="s">
        <v>14</v>
      </c>
      <c r="W39" s="668">
        <f t="shared" si="14"/>
        <v>100</v>
      </c>
      <c r="X39" s="1265"/>
      <c r="Y39" s="344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3"/>
      <c r="Q40" s="1263">
        <f t="shared" si="11"/>
        <v>111</v>
      </c>
      <c r="R40" s="667" t="s">
        <v>14</v>
      </c>
      <c r="S40" s="668">
        <f t="shared" si="12"/>
        <v>100</v>
      </c>
      <c r="T40" s="667" t="s">
        <v>14</v>
      </c>
      <c r="U40" s="668">
        <f t="shared" si="13"/>
        <v>100</v>
      </c>
      <c r="V40" s="667" t="s">
        <v>14</v>
      </c>
      <c r="W40" s="668">
        <f t="shared" si="14"/>
        <v>100</v>
      </c>
      <c r="X40" s="1265"/>
      <c r="Y40" s="3443"/>
      <c r="Z40" s="1264">
        <f t="shared" si="15"/>
        <v>111</v>
      </c>
      <c r="AA40" s="1264">
        <f t="shared" si="3"/>
        <v>1</v>
      </c>
      <c r="AB40" s="1264">
        <f t="shared" si="4"/>
        <v>1</v>
      </c>
      <c r="AC40" s="1264">
        <f t="shared" si="5"/>
        <v>1</v>
      </c>
    </row>
    <row r="41" spans="1:29" ht="15">
      <c r="A41" s="416" t="s">
        <v>1708</v>
      </c>
      <c r="B41" s="417"/>
      <c r="C41" s="1081" t="s">
        <v>0</v>
      </c>
      <c r="D41" s="418"/>
      <c r="E41" s="419">
        <f>厂房仓储案例!T16</f>
        <v>0.12</v>
      </c>
      <c r="F41" s="420"/>
      <c r="G41" s="421">
        <f>厂房仓储案例!T17</f>
        <v>0.15</v>
      </c>
      <c r="H41" s="422"/>
      <c r="I41" s="419">
        <f>厂房仓储案例!T18</f>
        <v>0.16</v>
      </c>
      <c r="J41" s="422"/>
      <c r="K41" s="674"/>
      <c r="L41" s="873"/>
      <c r="M41" s="861"/>
      <c r="N41" s="861"/>
      <c r="O41" s="861"/>
      <c r="P41" s="3436" t="str">
        <f>A41</f>
        <v>成交单价（元/平方米）</v>
      </c>
      <c r="Q41" s="3436"/>
      <c r="R41" s="3431">
        <f>E41</f>
        <v>0.12</v>
      </c>
      <c r="S41" s="3431"/>
      <c r="T41" s="3431">
        <f>G41</f>
        <v>0.15</v>
      </c>
      <c r="U41" s="3431"/>
      <c r="V41" s="3431">
        <f>I41</f>
        <v>0.16</v>
      </c>
      <c r="W41" s="3431"/>
      <c r="X41" s="385"/>
      <c r="Y41" s="673"/>
      <c r="Z41" s="385"/>
      <c r="AA41" s="385"/>
      <c r="AB41" s="385"/>
      <c r="AC41" s="385"/>
    </row>
    <row r="42" spans="1:29" ht="15.75" thickBot="1">
      <c r="A42" s="423" t="s">
        <v>1793</v>
      </c>
      <c r="B42" s="424"/>
      <c r="C42" s="1082">
        <f>R43</f>
        <v>0.14000000000000001</v>
      </c>
      <c r="D42" s="2141" t="s">
        <v>2138</v>
      </c>
      <c r="E42" s="1083">
        <f>R42</f>
        <v>0.12</v>
      </c>
      <c r="F42" s="2142"/>
      <c r="G42" s="1082">
        <f>T42</f>
        <v>0.15</v>
      </c>
      <c r="H42" s="2142"/>
      <c r="I42" s="1083">
        <f>V42</f>
        <v>0.16</v>
      </c>
      <c r="J42" s="2142"/>
      <c r="K42" s="2144">
        <f>F42+H42+J42</f>
        <v>0</v>
      </c>
      <c r="L42" s="873"/>
      <c r="M42" s="861"/>
      <c r="N42" s="861"/>
      <c r="O42" s="861"/>
      <c r="P42" s="3436" t="str">
        <f>A42</f>
        <v>比较价值（元/平方米）</v>
      </c>
      <c r="Q42" s="3436"/>
      <c r="R42" s="3431">
        <f>IF(F1="售价",ROUND(PRODUCT(R41,AA7:AA40),0),ROUND(PRODUCT(R41,AA7:AA40),2))</f>
        <v>0.12</v>
      </c>
      <c r="S42" s="3431"/>
      <c r="T42" s="3431">
        <f>IF(F1="售价",ROUND(PRODUCT(T41,AB7:AB40),0),ROUND(PRODUCT(T41,AB7:AB40),2))</f>
        <v>0.15</v>
      </c>
      <c r="U42" s="3431"/>
      <c r="V42" s="3431">
        <f>IF(F1="售价",ROUND(PRODUCT(V41,AC7:AC40),0),ROUND(PRODUCT(V41,AC7:AC40),2))</f>
        <v>0.16</v>
      </c>
      <c r="W42" s="3431"/>
      <c r="X42" s="385"/>
      <c r="Y42" s="385"/>
      <c r="Z42" s="385"/>
      <c r="AA42" s="385"/>
      <c r="AB42" s="385"/>
      <c r="AC42" s="385"/>
    </row>
    <row r="43" spans="1:29" ht="15.75" thickBot="1">
      <c r="A43" s="427" t="s">
        <v>1794</v>
      </c>
      <c r="B43" s="428"/>
      <c r="C43" s="351">
        <f>R43</f>
        <v>0.14000000000000001</v>
      </c>
      <c r="D43" s="351"/>
      <c r="E43" s="351"/>
      <c r="F43" s="351"/>
      <c r="G43" s="351"/>
      <c r="H43" s="351"/>
      <c r="I43" s="351"/>
      <c r="J43" s="351"/>
      <c r="K43" s="675"/>
      <c r="L43" s="873"/>
      <c r="M43" s="861"/>
      <c r="N43" s="861"/>
      <c r="O43" s="861"/>
      <c r="P43" s="3433" t="str">
        <f>A43</f>
        <v>估价对象XX用房的比较价值（楼面单价，元/平方米）</v>
      </c>
      <c r="Q43" s="3434"/>
      <c r="R43" s="3435">
        <f>IF(F1="售价",ROUND(IF(D42="简单平均",AVERAGE(R42:V42),R42*F42+T42*H42+V42*J42),0),ROUND(IF(D42="简单平均",AVERAGE(R42:V42),R42*F42+T42*H42+V42*J42),2))</f>
        <v>0.14000000000000001</v>
      </c>
      <c r="S43" s="3435"/>
      <c r="T43" s="3435"/>
      <c r="U43" s="3435"/>
      <c r="V43" s="3435"/>
      <c r="W43" s="343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500"/>
      <c r="L46" s="836"/>
      <c r="M46" s="861"/>
      <c r="N46" s="861"/>
      <c r="O46" s="861"/>
    </row>
    <row r="47" spans="1:29" ht="13.5" customHeight="1">
      <c r="A47" s="2488"/>
      <c r="B47" s="2488"/>
      <c r="C47" s="432" t="s">
        <v>1796</v>
      </c>
      <c r="D47" s="436"/>
      <c r="E47" s="434">
        <f>IF(E42&lt;G42,G42/E42-1,E42/G42-1)</f>
        <v>0.25</v>
      </c>
      <c r="F47" s="435" t="str">
        <f>IF(OR(E47&gt;=0.2,E47&lt;=-0.2),"超过20%","")</f>
        <v>超过20%</v>
      </c>
      <c r="G47" s="434">
        <f>IF(G42&lt;I42,I42/G42-1,G42/I42-1)</f>
        <v>6.6666666666666652E-2</v>
      </c>
      <c r="H47" s="435" t="str">
        <f>IF(OR(G47&gt;=0.2,G47&lt;=-0.2),"超过20%","")</f>
        <v/>
      </c>
      <c r="I47" s="434">
        <f>IF(I42&lt;E42,E42/I42-1,I42/E42-1)</f>
        <v>0.33333333333333348</v>
      </c>
      <c r="J47" s="435" t="str">
        <f>IF(OR(I47&gt;=0.2,I47&lt;=-0.2),"超过20%","")</f>
        <v>超过20%</v>
      </c>
      <c r="K47" s="2500"/>
      <c r="L47" s="836"/>
      <c r="M47" s="861"/>
      <c r="N47" s="861"/>
      <c r="O47" s="861"/>
    </row>
    <row r="48" spans="1:29" s="437" customFormat="1" ht="13.5" customHeight="1">
      <c r="A48" s="2498"/>
      <c r="B48" s="2498"/>
      <c r="C48" s="432" t="s">
        <v>1797</v>
      </c>
      <c r="D48" s="436"/>
      <c r="E48" s="434">
        <f>IF(E41&lt;G41,G41/E41-1,E41/G41-1)</f>
        <v>0.25</v>
      </c>
      <c r="F48" s="435" t="str">
        <f>IF(OR(E48&gt;=0.3,E48&lt;=-0.3),"超过30%","")</f>
        <v/>
      </c>
      <c r="G48" s="434">
        <f>IF(G41&lt;I41,I41/G41-1,G41/I41-1)</f>
        <v>6.6666666666666652E-2</v>
      </c>
      <c r="H48" s="435" t="str">
        <f>IF(OR(G48&gt;=0.3,G48&lt;=-0.3),"超过30%","")</f>
        <v/>
      </c>
      <c r="I48" s="434">
        <f>IF(I41&lt;E41,E41/I41-1,I41/E41-1)</f>
        <v>0.33333333333333348</v>
      </c>
      <c r="J48" s="435" t="str">
        <f>IF(OR(I48&gt;=0.3,I48&lt;=-0.3),"超过30%","")</f>
        <v>超过30%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2026-3</v>
      </c>
      <c r="D52" s="1104">
        <f>EDATE(C52,-1)</f>
        <v>46054</v>
      </c>
      <c r="E52" s="1104">
        <f t="shared" ref="E52:O52" si="16">EDATE(D52,-1)</f>
        <v>46023</v>
      </c>
      <c r="F52" s="1104">
        <f t="shared" si="16"/>
        <v>45992</v>
      </c>
      <c r="G52" s="1104">
        <f t="shared" si="16"/>
        <v>45962</v>
      </c>
      <c r="H52" s="1104">
        <f t="shared" si="16"/>
        <v>45931</v>
      </c>
      <c r="I52" s="1104">
        <f t="shared" si="16"/>
        <v>45901</v>
      </c>
      <c r="J52" s="1104">
        <f t="shared" si="16"/>
        <v>45870</v>
      </c>
      <c r="K52" s="1104">
        <f t="shared" si="16"/>
        <v>45839</v>
      </c>
      <c r="L52" s="1104">
        <f t="shared" si="16"/>
        <v>45809</v>
      </c>
      <c r="M52" s="1104">
        <f t="shared" si="16"/>
        <v>45778</v>
      </c>
      <c r="N52" s="1104">
        <f t="shared" si="16"/>
        <v>45748</v>
      </c>
      <c r="O52" s="1104">
        <f t="shared" si="16"/>
        <v>45717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0(含)-2000</v>
      </c>
      <c r="D90" s="509" t="str">
        <f t="shared" ref="D90:L90" si="20">D91&amp;"(含)"&amp;"-"&amp;E91</f>
        <v>2000(含)-4000</v>
      </c>
      <c r="E90" s="509" t="str">
        <f t="shared" si="20"/>
        <v>4000(含)-6000</v>
      </c>
      <c r="F90" s="509" t="str">
        <f t="shared" si="20"/>
        <v>6000(含)-8000</v>
      </c>
      <c r="G90" s="509" t="str">
        <f t="shared" si="20"/>
        <v>8000(含)-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c r="I91" s="6"/>
      <c r="J91" s="524"/>
      <c r="K91" s="524"/>
      <c r="L91" s="525"/>
      <c r="M91" s="526"/>
      <c r="N91" s="881"/>
      <c r="O91" s="881"/>
      <c r="P91" s="489"/>
      <c r="Q91" s="490"/>
    </row>
    <row r="92" spans="1:17" s="408" customFormat="1" ht="15.75" thickBot="1">
      <c r="A92" s="484"/>
      <c r="B92" s="474"/>
      <c r="C92" s="491">
        <v>100</v>
      </c>
      <c r="D92" s="467">
        <f>C92+$I$92</f>
        <v>101</v>
      </c>
      <c r="E92" s="467">
        <f t="shared" ref="E92:G92" si="21">D92+$I$92</f>
        <v>102</v>
      </c>
      <c r="F92" s="467">
        <f t="shared" si="21"/>
        <v>103</v>
      </c>
      <c r="G92" s="467">
        <f t="shared" si="21"/>
        <v>104</v>
      </c>
      <c r="H92" s="467"/>
      <c r="I92" s="467">
        <v>1</v>
      </c>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3">C96-$K32</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6">
        <f t="shared" si="23"/>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4">D99+$K33</f>
        <v>100</v>
      </c>
      <c r="F99" s="475">
        <f t="shared" si="24"/>
        <v>100</v>
      </c>
      <c r="G99" s="475">
        <f t="shared" si="24"/>
        <v>100</v>
      </c>
      <c r="H99" s="475">
        <f t="shared" si="24"/>
        <v>100</v>
      </c>
      <c r="I99" s="475">
        <f t="shared" si="24"/>
        <v>100</v>
      </c>
      <c r="J99" s="475">
        <f t="shared" si="24"/>
        <v>100</v>
      </c>
      <c r="K99" s="475">
        <f t="shared" si="24"/>
        <v>100</v>
      </c>
      <c r="L99" s="475">
        <f t="shared" si="24"/>
        <v>100</v>
      </c>
      <c r="M99" s="475">
        <f t="shared" si="24"/>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80"/>
      <c r="O103" s="880"/>
      <c r="P103" s="40"/>
      <c r="Q103" s="439"/>
    </row>
    <row r="104" spans="1:17" ht="15" thickTop="1">
      <c r="A104" s="409"/>
      <c r="B104" s="469" t="s">
        <v>1744</v>
      </c>
      <c r="C104" s="3528" t="s">
        <v>3496</v>
      </c>
      <c r="D104" s="3528" t="s">
        <v>3498</v>
      </c>
      <c r="E104" s="3528" t="s">
        <v>3500</v>
      </c>
      <c r="F104" s="485"/>
      <c r="G104" s="485"/>
      <c r="H104" s="513"/>
      <c r="I104" s="513"/>
      <c r="J104" s="513"/>
      <c r="K104" s="514"/>
      <c r="L104" s="515"/>
      <c r="M104" s="516"/>
      <c r="N104" s="879"/>
      <c r="O104" s="879"/>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G36 E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4" t="s">
        <v>1680</v>
      </c>
      <c r="Q7" s="3432"/>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6" t="s">
        <v>1686</v>
      </c>
      <c r="Q9" s="530" t="str">
        <f t="shared" ref="Q9:Q14" si="6">B9</f>
        <v>用途</v>
      </c>
      <c r="R9" s="664" t="s">
        <v>14</v>
      </c>
      <c r="S9" s="665">
        <f t="shared" si="0"/>
        <v>100</v>
      </c>
      <c r="T9" s="664" t="s">
        <v>14</v>
      </c>
      <c r="U9" s="665">
        <f t="shared" si="1"/>
        <v>100</v>
      </c>
      <c r="V9" s="664" t="s">
        <v>14</v>
      </c>
      <c r="W9" s="665">
        <f t="shared" si="2"/>
        <v>100</v>
      </c>
      <c r="X9" s="666"/>
      <c r="Y9" s="334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36"/>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6"/>
      <c r="Q11" s="530">
        <f t="shared" si="6"/>
        <v>111</v>
      </c>
      <c r="R11" s="664" t="s">
        <v>14</v>
      </c>
      <c r="S11" s="665">
        <f t="shared" si="0"/>
        <v>100</v>
      </c>
      <c r="T11" s="664" t="s">
        <v>14</v>
      </c>
      <c r="U11" s="665">
        <f t="shared" si="1"/>
        <v>100</v>
      </c>
      <c r="V11" s="664" t="s">
        <v>14</v>
      </c>
      <c r="W11" s="665">
        <f t="shared" si="2"/>
        <v>100</v>
      </c>
      <c r="X11" s="666"/>
      <c r="Y11" s="334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6"/>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6"/>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8"/>
      <c r="Q15" s="1263"/>
      <c r="R15" s="667"/>
      <c r="S15" s="668"/>
      <c r="T15" s="667"/>
      <c r="U15" s="668"/>
      <c r="V15" s="667"/>
      <c r="W15" s="668"/>
      <c r="X15" s="1265"/>
      <c r="Y15" s="343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8"/>
      <c r="Q17" s="1263"/>
      <c r="R17" s="667"/>
      <c r="S17" s="668"/>
      <c r="T17" s="667"/>
      <c r="U17" s="668"/>
      <c r="V17" s="667"/>
      <c r="W17" s="668"/>
      <c r="X17" s="1265"/>
      <c r="Y17" s="343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8"/>
      <c r="Q19" s="1263"/>
      <c r="R19" s="667"/>
      <c r="S19" s="668"/>
      <c r="T19" s="667"/>
      <c r="U19" s="668"/>
      <c r="V19" s="667"/>
      <c r="W19" s="668"/>
      <c r="X19" s="1265"/>
      <c r="Y19" s="343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8"/>
      <c r="Q21" s="1263"/>
      <c r="R21" s="667"/>
      <c r="S21" s="668"/>
      <c r="T21" s="667"/>
      <c r="U21" s="668"/>
      <c r="V21" s="667"/>
      <c r="W21" s="668"/>
      <c r="X21" s="1265"/>
      <c r="Y21" s="343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8"/>
      <c r="Q24" s="1263">
        <f t="shared" ref="Q24:Q36"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2"/>
      <c r="Q27" s="531" t="str">
        <f t="shared" si="11"/>
        <v>项目停车位配比</v>
      </c>
      <c r="R27" s="669" t="s">
        <v>14</v>
      </c>
      <c r="S27" s="670">
        <f t="shared" si="12"/>
        <v>100</v>
      </c>
      <c r="T27" s="669" t="s">
        <v>14</v>
      </c>
      <c r="U27" s="670">
        <f t="shared" si="13"/>
        <v>100</v>
      </c>
      <c r="V27" s="669" t="s">
        <v>14</v>
      </c>
      <c r="W27" s="670">
        <f t="shared" si="14"/>
        <v>100</v>
      </c>
      <c r="X27" s="671"/>
      <c r="Y27" s="344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2"/>
      <c r="Q28" s="1263" t="str">
        <f t="shared" si="11"/>
        <v>公共部分装修</v>
      </c>
      <c r="R28" s="667" t="s">
        <v>14</v>
      </c>
      <c r="S28" s="668">
        <f t="shared" si="12"/>
        <v>100</v>
      </c>
      <c r="T28" s="667" t="s">
        <v>14</v>
      </c>
      <c r="U28" s="668">
        <f t="shared" si="13"/>
        <v>100</v>
      </c>
      <c r="V28" s="667" t="s">
        <v>14</v>
      </c>
      <c r="W28" s="668">
        <f t="shared" si="14"/>
        <v>100</v>
      </c>
      <c r="X28" s="1265"/>
      <c r="Y28" s="344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2"/>
      <c r="Q29" s="1263" t="str">
        <f t="shared" si="11"/>
        <v>成新率</v>
      </c>
      <c r="R29" s="667" t="s">
        <v>14</v>
      </c>
      <c r="S29" s="668" t="e">
        <f t="shared" si="12"/>
        <v>#N/A</v>
      </c>
      <c r="T29" s="667" t="s">
        <v>14</v>
      </c>
      <c r="U29" s="668" t="e">
        <f t="shared" si="13"/>
        <v>#N/A</v>
      </c>
      <c r="V29" s="667" t="s">
        <v>14</v>
      </c>
      <c r="W29" s="668" t="e">
        <f t="shared" si="14"/>
        <v>#N/A</v>
      </c>
      <c r="X29" s="1265"/>
      <c r="Y29" s="344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2"/>
      <c r="Q30" s="1263" t="str">
        <f t="shared" si="11"/>
        <v>物业等级</v>
      </c>
      <c r="R30" s="667" t="s">
        <v>14</v>
      </c>
      <c r="S30" s="668">
        <f t="shared" si="12"/>
        <v>100</v>
      </c>
      <c r="T30" s="667" t="s">
        <v>14</v>
      </c>
      <c r="U30" s="668">
        <f t="shared" si="13"/>
        <v>100</v>
      </c>
      <c r="V30" s="667" t="s">
        <v>14</v>
      </c>
      <c r="W30" s="668">
        <f t="shared" si="14"/>
        <v>100</v>
      </c>
      <c r="X30" s="1265"/>
      <c r="Y30" s="344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2"/>
      <c r="Q31" s="530" t="str">
        <f t="shared" si="11"/>
        <v>停车位面积</v>
      </c>
      <c r="R31" s="664" t="s">
        <v>14</v>
      </c>
      <c r="S31" s="665" t="e">
        <f t="shared" si="12"/>
        <v>#N/A</v>
      </c>
      <c r="T31" s="664" t="s">
        <v>14</v>
      </c>
      <c r="U31" s="665" t="e">
        <f t="shared" si="13"/>
        <v>#N/A</v>
      </c>
      <c r="V31" s="664" t="s">
        <v>14</v>
      </c>
      <c r="W31" s="665" t="e">
        <f t="shared" si="14"/>
        <v>#N/A</v>
      </c>
      <c r="X31" s="666"/>
      <c r="Y31" s="344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2" t="s">
        <v>1696</v>
      </c>
      <c r="Q32" s="1263" t="str">
        <f t="shared" si="11"/>
        <v>车位类型</v>
      </c>
      <c r="R32" s="667" t="s">
        <v>14</v>
      </c>
      <c r="S32" s="668">
        <f t="shared" si="12"/>
        <v>100</v>
      </c>
      <c r="T32" s="667" t="s">
        <v>14</v>
      </c>
      <c r="U32" s="668">
        <f t="shared" si="13"/>
        <v>100</v>
      </c>
      <c r="V32" s="667" t="s">
        <v>14</v>
      </c>
      <c r="W32" s="668">
        <f t="shared" si="14"/>
        <v>100</v>
      </c>
      <c r="X32" s="1265"/>
      <c r="Y32" s="344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2"/>
      <c r="Q33" s="1263" t="str">
        <f t="shared" si="11"/>
        <v>是否直接入户</v>
      </c>
      <c r="R33" s="667" t="s">
        <v>14</v>
      </c>
      <c r="S33" s="668">
        <f t="shared" si="12"/>
        <v>100</v>
      </c>
      <c r="T33" s="667" t="s">
        <v>14</v>
      </c>
      <c r="U33" s="668">
        <f t="shared" si="13"/>
        <v>100</v>
      </c>
      <c r="V33" s="667" t="s">
        <v>14</v>
      </c>
      <c r="W33" s="668">
        <f t="shared" si="14"/>
        <v>100</v>
      </c>
      <c r="X33" s="1265"/>
      <c r="Y33" s="344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2"/>
      <c r="Q35" s="531">
        <f t="shared" si="11"/>
        <v>111</v>
      </c>
      <c r="R35" s="669" t="s">
        <v>14</v>
      </c>
      <c r="S35" s="670">
        <f t="shared" si="12"/>
        <v>100</v>
      </c>
      <c r="T35" s="669" t="s">
        <v>14</v>
      </c>
      <c r="U35" s="670">
        <f t="shared" si="13"/>
        <v>100</v>
      </c>
      <c r="V35" s="669" t="s">
        <v>14</v>
      </c>
      <c r="W35" s="670">
        <f t="shared" si="14"/>
        <v>100</v>
      </c>
      <c r="X35" s="671"/>
      <c r="Y35" s="344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2"/>
      <c r="Q36" s="1263">
        <f t="shared" si="11"/>
        <v>111</v>
      </c>
      <c r="R36" s="667" t="s">
        <v>14</v>
      </c>
      <c r="S36" s="668">
        <f t="shared" si="12"/>
        <v>100</v>
      </c>
      <c r="T36" s="667" t="s">
        <v>14</v>
      </c>
      <c r="U36" s="668">
        <f t="shared" si="13"/>
        <v>100</v>
      </c>
      <c r="V36" s="667" t="s">
        <v>14</v>
      </c>
      <c r="W36" s="668">
        <f t="shared" si="14"/>
        <v>100</v>
      </c>
      <c r="X36" s="1265"/>
      <c r="Y36" s="3442"/>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36" t="str">
        <f>A37</f>
        <v>成交单价</v>
      </c>
      <c r="Q37" s="3436"/>
      <c r="R37" s="3431">
        <f>E37</f>
        <v>0</v>
      </c>
      <c r="S37" s="3431"/>
      <c r="T37" s="3431">
        <f>G37</f>
        <v>0</v>
      </c>
      <c r="U37" s="3431"/>
      <c r="V37" s="3431">
        <f>I37</f>
        <v>0</v>
      </c>
      <c r="W37" s="343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6" t="str">
        <f>A38</f>
        <v>比较价值（元/平方米）</v>
      </c>
      <c r="Q38" s="343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3" t="str">
        <f>A39</f>
        <v>估价对象XX用房的比较价值（楼面单价，元/平方米）</v>
      </c>
      <c r="Q39" s="3434"/>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2026-3</v>
      </c>
      <c r="D48" s="1104">
        <f>EDATE(C48,-1)</f>
        <v>46054</v>
      </c>
      <c r="E48" s="1104">
        <f t="shared" ref="E48:O48" si="16">EDATE(D48,-1)</f>
        <v>46023</v>
      </c>
      <c r="F48" s="1104">
        <f t="shared" si="16"/>
        <v>45992</v>
      </c>
      <c r="G48" s="1104">
        <f t="shared" si="16"/>
        <v>45962</v>
      </c>
      <c r="H48" s="1104">
        <f t="shared" si="16"/>
        <v>45931</v>
      </c>
      <c r="I48" s="1104">
        <f t="shared" si="16"/>
        <v>45901</v>
      </c>
      <c r="J48" s="1104">
        <f t="shared" si="16"/>
        <v>45870</v>
      </c>
      <c r="K48" s="1104">
        <f t="shared" si="16"/>
        <v>45839</v>
      </c>
      <c r="L48" s="1104">
        <f t="shared" si="16"/>
        <v>45809</v>
      </c>
      <c r="M48" s="1104">
        <f t="shared" si="16"/>
        <v>45778</v>
      </c>
      <c r="N48" s="1104">
        <f t="shared" si="16"/>
        <v>45748</v>
      </c>
      <c r="O48" s="1104">
        <f t="shared" si="16"/>
        <v>45717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估价对象为北京市房地产，为所有。根据《国有土地使用证》[]，估价对象（分摊）出让国有建设用地使用权面积为12462.11平方米，建筑面积为6420.54平方米。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估价对象为北京市房地产,属开发建设的，该项目尚在开发建设中。根据《国有土地使用证》[]，估价对象（分摊）出让国有建设用地使用权面积为12462.11平方米，规划建筑面积为6420.54平方米。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2026年3月11日（评估专业人员实地查勘之日）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4" t="s">
        <v>1680</v>
      </c>
      <c r="Q7" s="3432"/>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6" t="s">
        <v>1686</v>
      </c>
      <c r="Q9" s="530" t="str">
        <f t="shared" ref="Q9:Q14" si="6">B9</f>
        <v>用途</v>
      </c>
      <c r="R9" s="664" t="s">
        <v>14</v>
      </c>
      <c r="S9" s="665">
        <f t="shared" si="0"/>
        <v>100</v>
      </c>
      <c r="T9" s="664" t="s">
        <v>14</v>
      </c>
      <c r="U9" s="665">
        <f t="shared" si="1"/>
        <v>100</v>
      </c>
      <c r="V9" s="664" t="s">
        <v>14</v>
      </c>
      <c r="W9" s="665">
        <f t="shared" si="2"/>
        <v>100</v>
      </c>
      <c r="X9" s="666"/>
      <c r="Y9" s="334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2"/>
      <c r="P10" s="3436"/>
      <c r="Q10" s="530" t="str">
        <f t="shared" si="6"/>
        <v>土地使用年限（年）</v>
      </c>
      <c r="R10" s="664" t="s">
        <v>14</v>
      </c>
      <c r="S10" s="665">
        <f t="shared" si="0"/>
        <v>100</v>
      </c>
      <c r="T10" s="664" t="s">
        <v>14</v>
      </c>
      <c r="U10" s="665">
        <f t="shared" si="1"/>
        <v>100</v>
      </c>
      <c r="V10" s="664" t="s">
        <v>14</v>
      </c>
      <c r="W10" s="665">
        <f t="shared" si="2"/>
        <v>100</v>
      </c>
      <c r="X10" s="666"/>
      <c r="Y10" s="334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6"/>
      <c r="Q11" s="530">
        <f t="shared" si="6"/>
        <v>111</v>
      </c>
      <c r="R11" s="664" t="s">
        <v>14</v>
      </c>
      <c r="S11" s="665">
        <f t="shared" si="0"/>
        <v>100</v>
      </c>
      <c r="T11" s="664" t="s">
        <v>14</v>
      </c>
      <c r="U11" s="665">
        <f t="shared" si="1"/>
        <v>100</v>
      </c>
      <c r="V11" s="664" t="s">
        <v>14</v>
      </c>
      <c r="W11" s="665">
        <f t="shared" si="2"/>
        <v>100</v>
      </c>
      <c r="X11" s="666"/>
      <c r="Y11" s="334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7" t="s">
        <v>1691</v>
      </c>
      <c r="Q14" s="1263" t="str">
        <f t="shared" si="6"/>
        <v>交通便捷度</v>
      </c>
      <c r="R14" s="667" t="s">
        <v>14</v>
      </c>
      <c r="S14" s="668">
        <f t="shared" si="0"/>
        <v>100</v>
      </c>
      <c r="T14" s="667" t="s">
        <v>14</v>
      </c>
      <c r="U14" s="668">
        <f t="shared" si="1"/>
        <v>100</v>
      </c>
      <c r="V14" s="667" t="s">
        <v>14</v>
      </c>
      <c r="W14" s="668">
        <f t="shared" si="2"/>
        <v>100</v>
      </c>
      <c r="X14" s="1265"/>
      <c r="Y14" s="343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8"/>
      <c r="Q15" s="1263"/>
      <c r="R15" s="667"/>
      <c r="S15" s="668"/>
      <c r="T15" s="667"/>
      <c r="U15" s="668"/>
      <c r="V15" s="667"/>
      <c r="W15" s="668"/>
      <c r="X15" s="1265"/>
      <c r="Y15" s="343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8"/>
      <c r="Q16" s="1263" t="str">
        <f>B16</f>
        <v>公共配套设施</v>
      </c>
      <c r="R16" s="667" t="s">
        <v>14</v>
      </c>
      <c r="S16" s="668">
        <f>F16</f>
        <v>100</v>
      </c>
      <c r="T16" s="667" t="s">
        <v>14</v>
      </c>
      <c r="U16" s="668">
        <f>H16</f>
        <v>100</v>
      </c>
      <c r="V16" s="667" t="s">
        <v>14</v>
      </c>
      <c r="W16" s="668">
        <f>J16</f>
        <v>100</v>
      </c>
      <c r="X16" s="1265"/>
      <c r="Y16" s="343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8"/>
      <c r="Q17" s="1263"/>
      <c r="R17" s="667"/>
      <c r="S17" s="668"/>
      <c r="T17" s="667"/>
      <c r="U17" s="668"/>
      <c r="V17" s="667"/>
      <c r="W17" s="668"/>
      <c r="X17" s="1265"/>
      <c r="Y17" s="343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8"/>
      <c r="Q18" s="1263" t="str">
        <f>B18</f>
        <v>基础设施水平</v>
      </c>
      <c r="R18" s="667" t="s">
        <v>14</v>
      </c>
      <c r="S18" s="668">
        <f>F18</f>
        <v>100</v>
      </c>
      <c r="T18" s="667" t="s">
        <v>14</v>
      </c>
      <c r="U18" s="668">
        <f>H18</f>
        <v>100</v>
      </c>
      <c r="V18" s="667" t="s">
        <v>14</v>
      </c>
      <c r="W18" s="668">
        <f>J18</f>
        <v>100</v>
      </c>
      <c r="X18" s="1265"/>
      <c r="Y18" s="343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8"/>
      <c r="Q19" s="1263"/>
      <c r="R19" s="667"/>
      <c r="S19" s="668"/>
      <c r="T19" s="667"/>
      <c r="U19" s="668"/>
      <c r="V19" s="667"/>
      <c r="W19" s="668"/>
      <c r="X19" s="1265"/>
      <c r="Y19" s="343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8"/>
      <c r="Q20" s="1263" t="str">
        <f>B20</f>
        <v>自然及人文环境</v>
      </c>
      <c r="R20" s="667" t="s">
        <v>14</v>
      </c>
      <c r="S20" s="668">
        <f>F20</f>
        <v>100</v>
      </c>
      <c r="T20" s="667" t="s">
        <v>14</v>
      </c>
      <c r="U20" s="668">
        <f>H20</f>
        <v>100</v>
      </c>
      <c r="V20" s="667" t="s">
        <v>14</v>
      </c>
      <c r="W20" s="668">
        <f>J20</f>
        <v>100</v>
      </c>
      <c r="X20" s="1265"/>
      <c r="Y20" s="343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8"/>
      <c r="Q21" s="1263"/>
      <c r="R21" s="667"/>
      <c r="S21" s="668"/>
      <c r="T21" s="667"/>
      <c r="U21" s="668"/>
      <c r="V21" s="667"/>
      <c r="W21" s="668"/>
      <c r="X21" s="1265"/>
      <c r="Y21" s="343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8"/>
      <c r="Q22" s="1263" t="str">
        <f>B22</f>
        <v>楼层</v>
      </c>
      <c r="R22" s="667" t="s">
        <v>14</v>
      </c>
      <c r="S22" s="668">
        <f>F22</f>
        <v>100</v>
      </c>
      <c r="T22" s="667" t="s">
        <v>14</v>
      </c>
      <c r="U22" s="668">
        <f>H22</f>
        <v>100</v>
      </c>
      <c r="V22" s="667" t="s">
        <v>14</v>
      </c>
      <c r="W22" s="668">
        <f>J22</f>
        <v>100</v>
      </c>
      <c r="X22" s="1265"/>
      <c r="Y22" s="343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8"/>
      <c r="Q23" s="1263">
        <f>B23</f>
        <v>111</v>
      </c>
      <c r="R23" s="667" t="s">
        <v>14</v>
      </c>
      <c r="S23" s="668">
        <f>F23</f>
        <v>100</v>
      </c>
      <c r="T23" s="667" t="s">
        <v>14</v>
      </c>
      <c r="U23" s="668">
        <f>H23</f>
        <v>100</v>
      </c>
      <c r="V23" s="667" t="s">
        <v>14</v>
      </c>
      <c r="W23" s="668">
        <f>J23</f>
        <v>100</v>
      </c>
      <c r="X23" s="1265"/>
      <c r="Y23" s="343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8"/>
      <c r="Q24" s="1263">
        <f t="shared" ref="Q24:Q34" si="11">B24</f>
        <v>111</v>
      </c>
      <c r="R24" s="667" t="s">
        <v>14</v>
      </c>
      <c r="S24" s="668">
        <f>F24</f>
        <v>100</v>
      </c>
      <c r="T24" s="667" t="s">
        <v>14</v>
      </c>
      <c r="U24" s="668">
        <f>H24</f>
        <v>100</v>
      </c>
      <c r="V24" s="667" t="s">
        <v>14</v>
      </c>
      <c r="W24" s="668">
        <f>J24</f>
        <v>100</v>
      </c>
      <c r="X24" s="1265"/>
      <c r="Y24" s="343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8"/>
      <c r="Q25" s="530">
        <f t="shared" si="11"/>
        <v>111</v>
      </c>
      <c r="R25" s="664" t="s">
        <v>14</v>
      </c>
      <c r="S25" s="665">
        <f>F25</f>
        <v>100</v>
      </c>
      <c r="T25" s="664" t="s">
        <v>14</v>
      </c>
      <c r="U25" s="665">
        <f>H25</f>
        <v>100</v>
      </c>
      <c r="V25" s="664" t="s">
        <v>14</v>
      </c>
      <c r="W25" s="665">
        <f>J25</f>
        <v>100</v>
      </c>
      <c r="X25" s="666"/>
      <c r="Y25" s="343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2"/>
      <c r="Q27" s="531" t="str">
        <f t="shared" si="11"/>
        <v>成新率</v>
      </c>
      <c r="R27" s="669" t="s">
        <v>14</v>
      </c>
      <c r="S27" s="670" t="e">
        <f t="shared" si="12"/>
        <v>#N/A</v>
      </c>
      <c r="T27" s="669" t="s">
        <v>14</v>
      </c>
      <c r="U27" s="670" t="e">
        <f t="shared" si="13"/>
        <v>#N/A</v>
      </c>
      <c r="V27" s="669" t="s">
        <v>14</v>
      </c>
      <c r="W27" s="670" t="e">
        <f t="shared" si="14"/>
        <v>#N/A</v>
      </c>
      <c r="X27" s="671"/>
      <c r="Y27" s="344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2"/>
      <c r="Q28" s="1263" t="str">
        <f t="shared" si="11"/>
        <v>物业等级</v>
      </c>
      <c r="R28" s="667" t="s">
        <v>14</v>
      </c>
      <c r="S28" s="668">
        <f t="shared" si="12"/>
        <v>100</v>
      </c>
      <c r="T28" s="667" t="s">
        <v>14</v>
      </c>
      <c r="U28" s="668">
        <f t="shared" si="13"/>
        <v>100</v>
      </c>
      <c r="V28" s="667" t="s">
        <v>14</v>
      </c>
      <c r="W28" s="668">
        <f t="shared" si="14"/>
        <v>100</v>
      </c>
      <c r="X28" s="1265"/>
      <c r="Y28" s="344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2"/>
      <c r="Q29" s="1263" t="str">
        <f t="shared" si="11"/>
        <v>有无电梯</v>
      </c>
      <c r="R29" s="667" t="s">
        <v>14</v>
      </c>
      <c r="S29" s="668">
        <f t="shared" si="12"/>
        <v>100</v>
      </c>
      <c r="T29" s="667" t="s">
        <v>14</v>
      </c>
      <c r="U29" s="668">
        <f t="shared" si="13"/>
        <v>100</v>
      </c>
      <c r="V29" s="667" t="s">
        <v>14</v>
      </c>
      <c r="W29" s="668">
        <f t="shared" si="14"/>
        <v>100</v>
      </c>
      <c r="X29" s="1265"/>
      <c r="Y29" s="344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2"/>
      <c r="Q30" s="1263" t="str">
        <f t="shared" si="11"/>
        <v>建筑面积</v>
      </c>
      <c r="R30" s="667" t="s">
        <v>14</v>
      </c>
      <c r="S30" s="668" t="e">
        <f t="shared" si="12"/>
        <v>#N/A</v>
      </c>
      <c r="T30" s="667" t="s">
        <v>14</v>
      </c>
      <c r="U30" s="668" t="e">
        <f t="shared" si="13"/>
        <v>#N/A</v>
      </c>
      <c r="V30" s="667" t="s">
        <v>14</v>
      </c>
      <c r="W30" s="668" t="e">
        <f t="shared" si="14"/>
        <v>#N/A</v>
      </c>
      <c r="X30" s="1265"/>
      <c r="Y30" s="344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2"/>
      <c r="Q31" s="530" t="str">
        <f t="shared" si="11"/>
        <v>是否封闭</v>
      </c>
      <c r="R31" s="664" t="s">
        <v>14</v>
      </c>
      <c r="S31" s="665">
        <f t="shared" si="12"/>
        <v>100</v>
      </c>
      <c r="T31" s="664" t="s">
        <v>14</v>
      </c>
      <c r="U31" s="665">
        <f t="shared" si="13"/>
        <v>100</v>
      </c>
      <c r="V31" s="664" t="s">
        <v>14</v>
      </c>
      <c r="W31" s="665">
        <f t="shared" si="14"/>
        <v>100</v>
      </c>
      <c r="X31" s="666"/>
      <c r="Y31" s="344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2" t="s">
        <v>1696</v>
      </c>
      <c r="Q32" s="1263">
        <f t="shared" si="11"/>
        <v>111</v>
      </c>
      <c r="R32" s="667" t="s">
        <v>14</v>
      </c>
      <c r="S32" s="668">
        <f t="shared" si="12"/>
        <v>100</v>
      </c>
      <c r="T32" s="667" t="s">
        <v>14</v>
      </c>
      <c r="U32" s="668">
        <f t="shared" si="13"/>
        <v>100</v>
      </c>
      <c r="V32" s="667" t="s">
        <v>14</v>
      </c>
      <c r="W32" s="668">
        <f t="shared" si="14"/>
        <v>100</v>
      </c>
      <c r="X32" s="1265"/>
      <c r="Y32" s="344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2"/>
      <c r="Q33" s="1263">
        <f t="shared" si="11"/>
        <v>111</v>
      </c>
      <c r="R33" s="667" t="s">
        <v>14</v>
      </c>
      <c r="S33" s="668">
        <f t="shared" si="12"/>
        <v>100</v>
      </c>
      <c r="T33" s="667" t="s">
        <v>14</v>
      </c>
      <c r="U33" s="668">
        <f t="shared" si="13"/>
        <v>100</v>
      </c>
      <c r="V33" s="667" t="s">
        <v>14</v>
      </c>
      <c r="W33" s="668">
        <f t="shared" si="14"/>
        <v>100</v>
      </c>
      <c r="X33" s="1265"/>
      <c r="Y33" s="344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2"/>
      <c r="Q34" s="1263">
        <f t="shared" si="11"/>
        <v>111</v>
      </c>
      <c r="R34" s="667" t="s">
        <v>14</v>
      </c>
      <c r="S34" s="668">
        <f t="shared" si="12"/>
        <v>100</v>
      </c>
      <c r="T34" s="667" t="s">
        <v>14</v>
      </c>
      <c r="U34" s="668">
        <f t="shared" si="13"/>
        <v>100</v>
      </c>
      <c r="V34" s="667" t="s">
        <v>14</v>
      </c>
      <c r="W34" s="668">
        <f t="shared" si="14"/>
        <v>100</v>
      </c>
      <c r="X34" s="1265"/>
      <c r="Y34" s="344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6" t="str">
        <f>A35</f>
        <v>成交单价（元/平方米）</v>
      </c>
      <c r="Q35" s="3436"/>
      <c r="R35" s="3431">
        <f>E35</f>
        <v>0</v>
      </c>
      <c r="S35" s="3431"/>
      <c r="T35" s="3431">
        <f>G35</f>
        <v>0</v>
      </c>
      <c r="U35" s="3431"/>
      <c r="V35" s="3431">
        <f>I35</f>
        <v>0</v>
      </c>
      <c r="W35" s="343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6" t="str">
        <f>A36</f>
        <v>比较价值（元/平方米）</v>
      </c>
      <c r="Q36" s="343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3" t="str">
        <f>A37</f>
        <v>估价对象XX用房的比较价值（楼面单价，元/平方米）</v>
      </c>
      <c r="Q37" s="3434"/>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2026-3</v>
      </c>
      <c r="D46" s="1104">
        <f>EDATE(C46,-1)</f>
        <v>46054</v>
      </c>
      <c r="E46" s="1104">
        <f t="shared" ref="E46:O46" si="16">EDATE(D46,-1)</f>
        <v>46023</v>
      </c>
      <c r="F46" s="1104">
        <f t="shared" si="16"/>
        <v>45992</v>
      </c>
      <c r="G46" s="1104">
        <f t="shared" si="16"/>
        <v>45962</v>
      </c>
      <c r="H46" s="1104">
        <f t="shared" si="16"/>
        <v>45931</v>
      </c>
      <c r="I46" s="1104">
        <f t="shared" si="16"/>
        <v>45901</v>
      </c>
      <c r="J46" s="1104">
        <f t="shared" si="16"/>
        <v>45870</v>
      </c>
      <c r="K46" s="1104">
        <f t="shared" si="16"/>
        <v>45839</v>
      </c>
      <c r="L46" s="1104">
        <f t="shared" si="16"/>
        <v>45809</v>
      </c>
      <c r="M46" s="1104">
        <f t="shared" si="16"/>
        <v>45778</v>
      </c>
      <c r="N46" s="1104">
        <f t="shared" si="16"/>
        <v>45748</v>
      </c>
      <c r="O46" s="1104">
        <f t="shared" si="16"/>
        <v>45717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14" t="s">
        <v>1677</v>
      </c>
      <c r="D6" s="3415"/>
      <c r="E6" s="3416" t="s">
        <v>1677</v>
      </c>
      <c r="F6" s="3417"/>
      <c r="G6" s="3414" t="s">
        <v>1677</v>
      </c>
      <c r="H6" s="3415"/>
      <c r="I6" s="3414" t="s">
        <v>1677</v>
      </c>
      <c r="J6" s="3415"/>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36"/>
      <c r="Q10" s="530" t="str">
        <f t="shared" si="6"/>
        <v>土地使用年限（年）</v>
      </c>
      <c r="R10" s="664" t="s">
        <v>14</v>
      </c>
      <c r="S10" s="665">
        <f t="shared" si="0"/>
        <v>123</v>
      </c>
      <c r="T10" s="664" t="s">
        <v>14</v>
      </c>
      <c r="U10" s="665">
        <f t="shared" si="1"/>
        <v>123</v>
      </c>
      <c r="V10" s="664" t="s">
        <v>14</v>
      </c>
      <c r="W10" s="665">
        <f t="shared" si="2"/>
        <v>123</v>
      </c>
      <c r="X10" s="666"/>
      <c r="Y10" s="3348"/>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4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6"/>
      <c r="Q12" s="530" t="str">
        <f t="shared" si="6"/>
        <v>配建</v>
      </c>
      <c r="R12" s="664" t="s">
        <v>14</v>
      </c>
      <c r="S12" s="665">
        <f t="shared" si="0"/>
        <v>100</v>
      </c>
      <c r="T12" s="664" t="s">
        <v>14</v>
      </c>
      <c r="U12" s="665">
        <f t="shared" si="1"/>
        <v>100</v>
      </c>
      <c r="V12" s="664" t="s">
        <v>14</v>
      </c>
      <c r="W12" s="665">
        <f t="shared" si="2"/>
        <v>100</v>
      </c>
      <c r="X12" s="666"/>
      <c r="Y12" s="334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4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4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7" t="s">
        <v>1691</v>
      </c>
      <c r="Q15" s="1263" t="str">
        <f t="shared" si="6"/>
        <v>居住社区成熟度</v>
      </c>
      <c r="R15" s="667" t="s">
        <v>14</v>
      </c>
      <c r="S15" s="668">
        <f t="shared" si="0"/>
        <v>100</v>
      </c>
      <c r="T15" s="667" t="s">
        <v>14</v>
      </c>
      <c r="U15" s="668">
        <f t="shared" si="1"/>
        <v>100</v>
      </c>
      <c r="V15" s="667" t="s">
        <v>14</v>
      </c>
      <c r="W15" s="668">
        <f t="shared" si="2"/>
        <v>100</v>
      </c>
      <c r="X15" s="1265"/>
      <c r="Y15" s="343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8"/>
      <c r="Q16" s="1263"/>
      <c r="R16" s="667"/>
      <c r="S16" s="668"/>
      <c r="T16" s="667"/>
      <c r="U16" s="668"/>
      <c r="V16" s="667"/>
      <c r="W16" s="668"/>
      <c r="X16" s="1265"/>
      <c r="Y16" s="343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8"/>
      <c r="Q17" s="1263" t="str">
        <f>B17</f>
        <v>商业繁华度</v>
      </c>
      <c r="R17" s="667" t="s">
        <v>14</v>
      </c>
      <c r="S17" s="668">
        <f>F17</f>
        <v>100</v>
      </c>
      <c r="T17" s="667" t="s">
        <v>14</v>
      </c>
      <c r="U17" s="668">
        <f>H17</f>
        <v>100</v>
      </c>
      <c r="V17" s="667" t="s">
        <v>14</v>
      </c>
      <c r="W17" s="668">
        <f>J17</f>
        <v>100</v>
      </c>
      <c r="X17" s="1265"/>
      <c r="Y17" s="343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8"/>
      <c r="Q18" s="1263"/>
      <c r="R18" s="667"/>
      <c r="S18" s="668"/>
      <c r="T18" s="667"/>
      <c r="U18" s="668"/>
      <c r="V18" s="667"/>
      <c r="W18" s="668"/>
      <c r="X18" s="1265"/>
      <c r="Y18" s="343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8"/>
      <c r="Q19" s="1263" t="str">
        <f>B19</f>
        <v>办公集聚程度</v>
      </c>
      <c r="R19" s="667" t="s">
        <v>14</v>
      </c>
      <c r="S19" s="668">
        <f>F19</f>
        <v>100</v>
      </c>
      <c r="T19" s="667" t="s">
        <v>14</v>
      </c>
      <c r="U19" s="668">
        <f>H19</f>
        <v>100</v>
      </c>
      <c r="V19" s="667" t="s">
        <v>14</v>
      </c>
      <c r="W19" s="668">
        <f>J19</f>
        <v>100</v>
      </c>
      <c r="X19" s="1265"/>
      <c r="Y19" s="343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8"/>
      <c r="Q20" s="1263"/>
      <c r="R20" s="667"/>
      <c r="S20" s="668"/>
      <c r="T20" s="667"/>
      <c r="U20" s="668"/>
      <c r="V20" s="667"/>
      <c r="W20" s="668"/>
      <c r="X20" s="1265"/>
      <c r="Y20" s="343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8"/>
      <c r="Q21" s="1263" t="str">
        <f>B21</f>
        <v>交通便捷度</v>
      </c>
      <c r="R21" s="667" t="s">
        <v>14</v>
      </c>
      <c r="S21" s="668">
        <f>F21</f>
        <v>100</v>
      </c>
      <c r="T21" s="667" t="s">
        <v>14</v>
      </c>
      <c r="U21" s="668">
        <f>H21</f>
        <v>100</v>
      </c>
      <c r="V21" s="667" t="s">
        <v>14</v>
      </c>
      <c r="W21" s="668">
        <f>J21</f>
        <v>100</v>
      </c>
      <c r="X21" s="1265"/>
      <c r="Y21" s="343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8"/>
      <c r="Q22" s="1263"/>
      <c r="R22" s="667"/>
      <c r="S22" s="668"/>
      <c r="T22" s="667"/>
      <c r="U22" s="668"/>
      <c r="V22" s="667"/>
      <c r="W22" s="668"/>
      <c r="X22" s="1265"/>
      <c r="Y22" s="343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8"/>
      <c r="Q23" s="1263" t="str">
        <f t="shared" ref="Q23:Q37" si="8">B23</f>
        <v>区域土地利用方向</v>
      </c>
      <c r="R23" s="667" t="s">
        <v>14</v>
      </c>
      <c r="S23" s="668">
        <f>F23</f>
        <v>100</v>
      </c>
      <c r="T23" s="667" t="s">
        <v>14</v>
      </c>
      <c r="U23" s="668">
        <f>H23</f>
        <v>100</v>
      </c>
      <c r="V23" s="667" t="s">
        <v>14</v>
      </c>
      <c r="W23" s="668">
        <f>J23</f>
        <v>100</v>
      </c>
      <c r="X23" s="1265"/>
      <c r="Y23" s="343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8"/>
      <c r="Q24" s="1263"/>
      <c r="R24" s="667"/>
      <c r="S24" s="668"/>
      <c r="T24" s="667"/>
      <c r="U24" s="668"/>
      <c r="V24" s="667"/>
      <c r="W24" s="668"/>
      <c r="X24" s="1265"/>
      <c r="Y24" s="343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8"/>
      <c r="Q25" s="1263" t="str">
        <f t="shared" si="8"/>
        <v>自然及人文环境状况</v>
      </c>
      <c r="R25" s="667" t="s">
        <v>14</v>
      </c>
      <c r="S25" s="668">
        <f>F25</f>
        <v>100</v>
      </c>
      <c r="T25" s="667" t="s">
        <v>14</v>
      </c>
      <c r="U25" s="668">
        <f>H25</f>
        <v>100</v>
      </c>
      <c r="V25" s="667" t="s">
        <v>14</v>
      </c>
      <c r="W25" s="668">
        <f>J25</f>
        <v>100</v>
      </c>
      <c r="X25" s="1265"/>
      <c r="Y25" s="343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8"/>
      <c r="Q26" s="1263"/>
      <c r="R26" s="667"/>
      <c r="S26" s="668"/>
      <c r="T26" s="667"/>
      <c r="U26" s="668"/>
      <c r="V26" s="667"/>
      <c r="W26" s="668"/>
      <c r="X26" s="1265"/>
      <c r="Y26" s="343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8"/>
      <c r="Q27" s="530" t="str">
        <f t="shared" si="8"/>
        <v>公共配套设施</v>
      </c>
      <c r="R27" s="664" t="s">
        <v>14</v>
      </c>
      <c r="S27" s="665">
        <f>F27</f>
        <v>100</v>
      </c>
      <c r="T27" s="664" t="s">
        <v>14</v>
      </c>
      <c r="U27" s="665">
        <f>H27</f>
        <v>100</v>
      </c>
      <c r="V27" s="664" t="s">
        <v>14</v>
      </c>
      <c r="W27" s="665">
        <f>J27</f>
        <v>100</v>
      </c>
      <c r="X27" s="666"/>
      <c r="Y27" s="343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8"/>
      <c r="Q28" s="530"/>
      <c r="R28" s="664"/>
      <c r="S28" s="665"/>
      <c r="T28" s="664"/>
      <c r="U28" s="665"/>
      <c r="V28" s="664"/>
      <c r="W28" s="665"/>
      <c r="X28" s="666"/>
      <c r="Y28" s="343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8"/>
      <c r="Q29" s="530" t="str">
        <f t="shared" ref="Q29" si="9">B29</f>
        <v>基础设施水平</v>
      </c>
      <c r="R29" s="664" t="s">
        <v>14</v>
      </c>
      <c r="S29" s="665">
        <f>F29</f>
        <v>100</v>
      </c>
      <c r="T29" s="664" t="s">
        <v>14</v>
      </c>
      <c r="U29" s="665">
        <f>H29</f>
        <v>100</v>
      </c>
      <c r="V29" s="664" t="s">
        <v>14</v>
      </c>
      <c r="W29" s="665">
        <f>J29</f>
        <v>100</v>
      </c>
      <c r="X29" s="666"/>
      <c r="Y29" s="343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8"/>
      <c r="Q30" s="530"/>
      <c r="R30" s="664"/>
      <c r="S30" s="665"/>
      <c r="T30" s="664"/>
      <c r="U30" s="665"/>
      <c r="V30" s="664"/>
      <c r="W30" s="665"/>
      <c r="X30" s="666"/>
      <c r="Y30" s="343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8"/>
      <c r="Q32" s="1263" t="str">
        <f t="shared" si="8"/>
        <v>毗邻道路的类型与等级</v>
      </c>
      <c r="R32" s="667" t="s">
        <v>14</v>
      </c>
      <c r="S32" s="668">
        <f t="shared" si="10"/>
        <v>100</v>
      </c>
      <c r="T32" s="667" t="s">
        <v>14</v>
      </c>
      <c r="U32" s="668">
        <f t="shared" si="11"/>
        <v>100</v>
      </c>
      <c r="V32" s="667" t="s">
        <v>14</v>
      </c>
      <c r="W32" s="668">
        <f t="shared" si="12"/>
        <v>100</v>
      </c>
      <c r="X32" s="1265"/>
      <c r="Y32" s="343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8"/>
      <c r="Q33" s="1263"/>
      <c r="R33" s="667"/>
      <c r="S33" s="668"/>
      <c r="T33" s="667"/>
      <c r="U33" s="668"/>
      <c r="V33" s="667"/>
      <c r="W33" s="668"/>
      <c r="X33" s="1265"/>
      <c r="Y33" s="343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8"/>
      <c r="Q34" s="1263" t="str">
        <f t="shared" si="8"/>
        <v>土地级别</v>
      </c>
      <c r="R34" s="667" t="s">
        <v>14</v>
      </c>
      <c r="S34" s="668">
        <f t="shared" si="10"/>
        <v>100</v>
      </c>
      <c r="T34" s="667" t="s">
        <v>14</v>
      </c>
      <c r="U34" s="668">
        <f t="shared" si="11"/>
        <v>100</v>
      </c>
      <c r="V34" s="667" t="s">
        <v>14</v>
      </c>
      <c r="W34" s="668">
        <f t="shared" si="12"/>
        <v>100</v>
      </c>
      <c r="X34" s="1265"/>
      <c r="Y34" s="343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8"/>
      <c r="Q35" s="1263">
        <f t="shared" si="8"/>
        <v>111</v>
      </c>
      <c r="R35" s="667" t="s">
        <v>14</v>
      </c>
      <c r="S35" s="668">
        <f t="shared" si="10"/>
        <v>100</v>
      </c>
      <c r="T35" s="667" t="s">
        <v>14</v>
      </c>
      <c r="U35" s="668">
        <f t="shared" si="11"/>
        <v>100</v>
      </c>
      <c r="V35" s="667" t="s">
        <v>14</v>
      </c>
      <c r="W35" s="668">
        <f t="shared" si="12"/>
        <v>100</v>
      </c>
      <c r="X35" s="1265"/>
      <c r="Y35" s="343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1" t="s">
        <v>1696</v>
      </c>
      <c r="Q36" s="1263">
        <f t="shared" si="8"/>
        <v>111</v>
      </c>
      <c r="R36" s="667" t="s">
        <v>14</v>
      </c>
      <c r="S36" s="668">
        <f t="shared" si="10"/>
        <v>100</v>
      </c>
      <c r="T36" s="667" t="s">
        <v>14</v>
      </c>
      <c r="U36" s="668">
        <f t="shared" si="11"/>
        <v>100</v>
      </c>
      <c r="V36" s="667" t="s">
        <v>14</v>
      </c>
      <c r="W36" s="668">
        <f t="shared" si="12"/>
        <v>100</v>
      </c>
      <c r="X36" s="1265"/>
      <c r="Y36" s="344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2"/>
      <c r="Q37" s="1263">
        <f t="shared" si="8"/>
        <v>111</v>
      </c>
      <c r="R37" s="669" t="s">
        <v>14</v>
      </c>
      <c r="S37" s="670">
        <f t="shared" si="10"/>
        <v>100</v>
      </c>
      <c r="T37" s="669" t="s">
        <v>14</v>
      </c>
      <c r="U37" s="670">
        <f t="shared" si="11"/>
        <v>100</v>
      </c>
      <c r="V37" s="669" t="s">
        <v>14</v>
      </c>
      <c r="W37" s="670">
        <f t="shared" si="12"/>
        <v>100</v>
      </c>
      <c r="X37" s="671"/>
      <c r="Y37" s="344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2"/>
      <c r="Q38" s="1263" t="str">
        <f>B38</f>
        <v>宗地面积</v>
      </c>
      <c r="R38" s="667" t="s">
        <v>14</v>
      </c>
      <c r="S38" s="668" t="e">
        <f t="shared" si="10"/>
        <v>#N/A</v>
      </c>
      <c r="T38" s="667" t="s">
        <v>14</v>
      </c>
      <c r="U38" s="668" t="e">
        <f t="shared" si="11"/>
        <v>#N/A</v>
      </c>
      <c r="V38" s="667" t="s">
        <v>14</v>
      </c>
      <c r="W38" s="668" t="e">
        <f t="shared" si="12"/>
        <v>#N/A</v>
      </c>
      <c r="X38" s="1265"/>
      <c r="Y38" s="344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2"/>
      <c r="Q39" s="1263" t="str">
        <f t="shared" ref="Q39:Q45" si="14">B39</f>
        <v>宗地形状</v>
      </c>
      <c r="R39" s="667" t="s">
        <v>14</v>
      </c>
      <c r="S39" s="668">
        <f t="shared" si="10"/>
        <v>100</v>
      </c>
      <c r="T39" s="667" t="s">
        <v>14</v>
      </c>
      <c r="U39" s="668">
        <f t="shared" si="11"/>
        <v>100</v>
      </c>
      <c r="V39" s="667" t="s">
        <v>14</v>
      </c>
      <c r="W39" s="668">
        <f t="shared" si="12"/>
        <v>100</v>
      </c>
      <c r="X39" s="1265"/>
      <c r="Y39" s="344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2"/>
      <c r="Q40" s="1263" t="str">
        <f t="shared" si="14"/>
        <v>临街宽度及深度</v>
      </c>
      <c r="R40" s="667" t="s">
        <v>14</v>
      </c>
      <c r="S40" s="668">
        <f t="shared" si="10"/>
        <v>100</v>
      </c>
      <c r="T40" s="667" t="s">
        <v>14</v>
      </c>
      <c r="U40" s="668">
        <f t="shared" si="11"/>
        <v>100</v>
      </c>
      <c r="V40" s="667" t="s">
        <v>14</v>
      </c>
      <c r="W40" s="668">
        <f t="shared" si="12"/>
        <v>100</v>
      </c>
      <c r="X40" s="1265"/>
      <c r="Y40" s="344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2"/>
      <c r="Q41" s="1263" t="str">
        <f t="shared" si="14"/>
        <v>宗地开发程度</v>
      </c>
      <c r="R41" s="664" t="s">
        <v>14</v>
      </c>
      <c r="S41" s="665">
        <f t="shared" si="10"/>
        <v>100</v>
      </c>
      <c r="T41" s="664" t="s">
        <v>14</v>
      </c>
      <c r="U41" s="665">
        <f t="shared" si="11"/>
        <v>100</v>
      </c>
      <c r="V41" s="664" t="s">
        <v>14</v>
      </c>
      <c r="W41" s="665">
        <f t="shared" si="12"/>
        <v>100</v>
      </c>
      <c r="X41" s="666"/>
      <c r="Y41" s="344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2" t="s">
        <v>1696</v>
      </c>
      <c r="Q42" s="1263" t="str">
        <f t="shared" si="14"/>
        <v>工程地质条件</v>
      </c>
      <c r="R42" s="667" t="s">
        <v>14</v>
      </c>
      <c r="S42" s="668">
        <f t="shared" si="10"/>
        <v>100</v>
      </c>
      <c r="T42" s="667" t="s">
        <v>14</v>
      </c>
      <c r="U42" s="668">
        <f t="shared" si="11"/>
        <v>100</v>
      </c>
      <c r="V42" s="667" t="s">
        <v>14</v>
      </c>
      <c r="W42" s="668">
        <f t="shared" si="12"/>
        <v>100</v>
      </c>
      <c r="X42" s="1265"/>
      <c r="Y42" s="344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2"/>
      <c r="Q43" s="1263">
        <f t="shared" si="14"/>
        <v>111</v>
      </c>
      <c r="R43" s="667" t="s">
        <v>14</v>
      </c>
      <c r="S43" s="668">
        <f t="shared" si="10"/>
        <v>100</v>
      </c>
      <c r="T43" s="667" t="s">
        <v>14</v>
      </c>
      <c r="U43" s="668">
        <f t="shared" si="11"/>
        <v>100</v>
      </c>
      <c r="V43" s="667" t="s">
        <v>14</v>
      </c>
      <c r="W43" s="668">
        <f t="shared" si="12"/>
        <v>100</v>
      </c>
      <c r="X43" s="1265"/>
      <c r="Y43" s="344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2"/>
      <c r="Q44" s="1263">
        <f t="shared" si="14"/>
        <v>111</v>
      </c>
      <c r="R44" s="667" t="s">
        <v>14</v>
      </c>
      <c r="S44" s="668">
        <f t="shared" si="10"/>
        <v>100</v>
      </c>
      <c r="T44" s="667" t="s">
        <v>14</v>
      </c>
      <c r="U44" s="668">
        <f t="shared" si="11"/>
        <v>100</v>
      </c>
      <c r="V44" s="667" t="s">
        <v>14</v>
      </c>
      <c r="W44" s="668">
        <f t="shared" si="12"/>
        <v>100</v>
      </c>
      <c r="X44" s="1265"/>
      <c r="Y44" s="344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2"/>
      <c r="Q45" s="1263">
        <f t="shared" si="14"/>
        <v>111</v>
      </c>
      <c r="R45" s="669" t="s">
        <v>14</v>
      </c>
      <c r="S45" s="670">
        <f t="shared" si="10"/>
        <v>100</v>
      </c>
      <c r="T45" s="669" t="s">
        <v>14</v>
      </c>
      <c r="U45" s="670">
        <f t="shared" si="11"/>
        <v>100</v>
      </c>
      <c r="V45" s="669" t="s">
        <v>14</v>
      </c>
      <c r="W45" s="670">
        <f t="shared" si="12"/>
        <v>100</v>
      </c>
      <c r="X45" s="671"/>
      <c r="Y45" s="344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6" t="str">
        <f>A46</f>
        <v>成交单价</v>
      </c>
      <c r="Q46" s="3436"/>
      <c r="R46" s="3431">
        <f>E46</f>
        <v>0</v>
      </c>
      <c r="S46" s="3431"/>
      <c r="T46" s="3431">
        <f>G46</f>
        <v>0</v>
      </c>
      <c r="U46" s="3431"/>
      <c r="V46" s="3431">
        <f>I46</f>
        <v>0</v>
      </c>
      <c r="W46" s="343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6" t="str">
        <f>A47</f>
        <v>比较价值（元/平方米）</v>
      </c>
      <c r="Q47" s="3436"/>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3" t="str">
        <f>A48</f>
        <v>估价对象XX用房的比较价值（楼面单价，元/平方米）</v>
      </c>
      <c r="Q48" s="3434"/>
      <c r="R48" s="3464" t="e">
        <f>ROUND(IF(D47="简单平均",AVERAGE(R47:W47),R47*F47+T47*H47+V47*J47),0)</f>
        <v>#DIV/0!</v>
      </c>
      <c r="S48" s="3464"/>
      <c r="T48" s="3464"/>
      <c r="U48" s="3464"/>
      <c r="V48" s="3464"/>
      <c r="W48" s="346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9" t="s">
        <v>1887</v>
      </c>
      <c r="H55" s="346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6420.54</v>
      </c>
      <c r="F56" s="833" t="e">
        <f t="shared" ref="F56:F64" si="15">ROUND(B56*E56/10000,0)</f>
        <v>#DIV/0!</v>
      </c>
      <c r="G56" s="3418"/>
      <c r="H56" s="343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6420.54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2026-3-1</v>
      </c>
      <c r="D67" s="656">
        <f>EDATE(C67,-3)</f>
        <v>45992</v>
      </c>
      <c r="E67" s="656">
        <f>EDATE(D67,-3)</f>
        <v>45901</v>
      </c>
      <c r="F67" s="656">
        <f t="shared" ref="F67:O67" si="18">EDATE(E67,-3)</f>
        <v>45809</v>
      </c>
      <c r="G67" s="656">
        <f t="shared" si="18"/>
        <v>45717</v>
      </c>
      <c r="H67" s="656">
        <f t="shared" si="18"/>
        <v>45627</v>
      </c>
      <c r="I67" s="656">
        <f t="shared" si="18"/>
        <v>45536</v>
      </c>
      <c r="J67" s="656">
        <f t="shared" si="18"/>
        <v>45444</v>
      </c>
      <c r="K67" s="656">
        <f t="shared" si="18"/>
        <v>45352</v>
      </c>
      <c r="L67" s="656">
        <f t="shared" si="18"/>
        <v>45261</v>
      </c>
      <c r="M67" s="656">
        <f t="shared" si="18"/>
        <v>45170</v>
      </c>
      <c r="N67" s="656">
        <f t="shared" si="18"/>
        <v>45078</v>
      </c>
      <c r="O67" s="656">
        <f t="shared" si="18"/>
        <v>44986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2026-1</v>
      </c>
      <c r="D69" s="1101" t="str">
        <f>YEAR(D67)&amp;"-"&amp;ROUNDUP(MONTH(D67)/3,0)</f>
        <v>2025-4</v>
      </c>
      <c r="E69" s="1101" t="str">
        <f t="shared" ref="E69:O69" si="19">YEAR(E67)&amp;"-"&amp;ROUNDUP(MONTH(E67)/3,0)</f>
        <v>2025-3</v>
      </c>
      <c r="F69" s="1101" t="str">
        <f t="shared" si="19"/>
        <v>2025-2</v>
      </c>
      <c r="G69" s="1101" t="str">
        <f t="shared" si="19"/>
        <v>2025-1</v>
      </c>
      <c r="H69" s="1101" t="str">
        <f t="shared" si="19"/>
        <v>2024-4</v>
      </c>
      <c r="I69" s="1101" t="str">
        <f t="shared" si="19"/>
        <v>2024-3</v>
      </c>
      <c r="J69" s="1101" t="str">
        <f t="shared" si="19"/>
        <v>2024-2</v>
      </c>
      <c r="K69" s="1101" t="str">
        <f t="shared" si="19"/>
        <v>2024-1</v>
      </c>
      <c r="L69" s="1101" t="str">
        <f t="shared" si="19"/>
        <v>2023-4</v>
      </c>
      <c r="M69" s="1101" t="str">
        <f t="shared" si="19"/>
        <v>2023-3</v>
      </c>
      <c r="N69" s="1101" t="str">
        <f t="shared" si="19"/>
        <v>2023-2</v>
      </c>
      <c r="O69" s="1101" t="str">
        <f t="shared" si="19"/>
        <v>2023-1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4" zoomScale="115" zoomScaleNormal="60" zoomScaleSheetLayoutView="115"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9" t="s">
        <v>1770</v>
      </c>
      <c r="D4" s="3420"/>
      <c r="E4" s="3421" t="s">
        <v>1771</v>
      </c>
      <c r="F4" s="3422"/>
      <c r="G4" s="3419" t="s">
        <v>1772</v>
      </c>
      <c r="H4" s="3420"/>
      <c r="I4" s="3419" t="s">
        <v>1773</v>
      </c>
      <c r="J4" s="3420"/>
      <c r="K4" s="537" t="s">
        <v>1774</v>
      </c>
      <c r="L4" s="2487"/>
      <c r="M4" s="2488"/>
      <c r="N4" s="2488"/>
      <c r="O4" s="2488"/>
      <c r="P4" s="3423" t="s">
        <v>1775</v>
      </c>
      <c r="Q4" s="3424"/>
      <c r="R4" s="3406" t="s">
        <v>1771</v>
      </c>
      <c r="S4" s="3407"/>
      <c r="T4" s="3406" t="s">
        <v>1772</v>
      </c>
      <c r="U4" s="3407"/>
      <c r="V4" s="3431" t="s">
        <v>1773</v>
      </c>
      <c r="W4" s="3431"/>
      <c r="X4" s="1265"/>
      <c r="Y4" s="3406" t="s">
        <v>1775</v>
      </c>
      <c r="Z4" s="3407"/>
      <c r="AA4" s="3401" t="s">
        <v>1771</v>
      </c>
      <c r="AB4" s="3402" t="s">
        <v>1772</v>
      </c>
      <c r="AC4" s="3401" t="s">
        <v>1773</v>
      </c>
    </row>
    <row r="5" spans="1:29" ht="15">
      <c r="A5" s="348"/>
      <c r="B5" s="349"/>
      <c r="C5" s="3412" t="s">
        <v>1673</v>
      </c>
      <c r="D5" s="3413"/>
      <c r="E5" s="3410" t="s">
        <v>1674</v>
      </c>
      <c r="F5" s="3411"/>
      <c r="G5" s="3412" t="s">
        <v>1675</v>
      </c>
      <c r="H5" s="3413"/>
      <c r="I5" s="3412" t="s">
        <v>1676</v>
      </c>
      <c r="J5" s="3413"/>
      <c r="K5" s="537"/>
      <c r="L5" s="2487"/>
      <c r="M5" s="2488"/>
      <c r="N5" s="2488"/>
      <c r="O5" s="2488"/>
      <c r="P5" s="3425"/>
      <c r="Q5" s="3426"/>
      <c r="R5" s="3408"/>
      <c r="S5" s="3409"/>
      <c r="T5" s="3408"/>
      <c r="U5" s="3409"/>
      <c r="V5" s="3431"/>
      <c r="W5" s="3431"/>
      <c r="X5" s="1265"/>
      <c r="Y5" s="3408"/>
      <c r="Z5" s="3409"/>
      <c r="AA5" s="3402"/>
      <c r="AB5" s="3402"/>
      <c r="AC5" s="3402"/>
    </row>
    <row r="6" spans="1:29" ht="15.75" thickBot="1">
      <c r="A6" s="350"/>
      <c r="B6" s="351"/>
      <c r="C6" s="3466" t="s">
        <v>1919</v>
      </c>
      <c r="D6" s="3467"/>
      <c r="E6" s="3468" t="s">
        <v>1919</v>
      </c>
      <c r="F6" s="3469"/>
      <c r="G6" s="3466" t="s">
        <v>1919</v>
      </c>
      <c r="H6" s="3467"/>
      <c r="I6" s="3466" t="s">
        <v>1919</v>
      </c>
      <c r="J6" s="3467"/>
      <c r="K6" s="537" t="s">
        <v>1678</v>
      </c>
      <c r="L6" s="2487"/>
      <c r="M6" s="2488"/>
      <c r="N6" s="2488"/>
      <c r="O6" s="2488"/>
      <c r="P6" s="3427"/>
      <c r="Q6" s="3428"/>
      <c r="R6" s="3408"/>
      <c r="S6" s="3409"/>
      <c r="T6" s="3429"/>
      <c r="U6" s="3430"/>
      <c r="V6" s="3431"/>
      <c r="W6" s="3431"/>
      <c r="X6" s="1265"/>
      <c r="Y6" s="3429"/>
      <c r="Z6" s="3430"/>
      <c r="AA6" s="3403"/>
      <c r="AB6" s="3403"/>
      <c r="AC6" s="3403"/>
    </row>
    <row r="7" spans="1:29" s="102" customFormat="1" ht="15.75" thickBot="1">
      <c r="A7" s="352" t="s">
        <v>1679</v>
      </c>
      <c r="B7" s="353"/>
      <c r="C7" s="354">
        <f>'数据-取费表'!B2</f>
        <v>46092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4" t="s">
        <v>1680</v>
      </c>
      <c r="Q7" s="3432"/>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6" t="s">
        <v>1686</v>
      </c>
      <c r="Q9" s="530" t="str">
        <f t="shared" ref="Q9:Q15" si="6">B9</f>
        <v>用途</v>
      </c>
      <c r="R9" s="664" t="s">
        <v>14</v>
      </c>
      <c r="S9" s="665">
        <f t="shared" si="0"/>
        <v>100</v>
      </c>
      <c r="T9" s="664" t="s">
        <v>14</v>
      </c>
      <c r="U9" s="665">
        <f t="shared" si="1"/>
        <v>100</v>
      </c>
      <c r="V9" s="664" t="s">
        <v>14</v>
      </c>
      <c r="W9" s="665">
        <f t="shared" si="2"/>
        <v>100</v>
      </c>
      <c r="X9" s="666"/>
      <c r="Y9" s="334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36"/>
      <c r="Q10" s="530" t="str">
        <f t="shared" si="6"/>
        <v>土地使用年限（年）</v>
      </c>
      <c r="R10" s="664" t="s">
        <v>14</v>
      </c>
      <c r="S10" s="665">
        <f t="shared" si="0"/>
        <v>123</v>
      </c>
      <c r="T10" s="664" t="s">
        <v>14</v>
      </c>
      <c r="U10" s="665">
        <f t="shared" si="1"/>
        <v>123</v>
      </c>
      <c r="V10" s="664" t="s">
        <v>14</v>
      </c>
      <c r="W10" s="665">
        <f t="shared" si="2"/>
        <v>123</v>
      </c>
      <c r="X10" s="666"/>
      <c r="Y10" s="3348"/>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6"/>
      <c r="Q11" s="530" t="str">
        <f t="shared" si="6"/>
        <v>容积率</v>
      </c>
      <c r="R11" s="664" t="s">
        <v>14</v>
      </c>
      <c r="S11" s="665" t="e">
        <f t="shared" si="0"/>
        <v>#N/A</v>
      </c>
      <c r="T11" s="664" t="s">
        <v>14</v>
      </c>
      <c r="U11" s="665" t="e">
        <f t="shared" si="1"/>
        <v>#N/A</v>
      </c>
      <c r="V11" s="664" t="s">
        <v>14</v>
      </c>
      <c r="W11" s="665" t="e">
        <f t="shared" si="2"/>
        <v>#N/A</v>
      </c>
      <c r="X11" s="666"/>
      <c r="Y11" s="334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6"/>
      <c r="Q12" s="530">
        <f t="shared" si="6"/>
        <v>111</v>
      </c>
      <c r="R12" s="664" t="s">
        <v>14</v>
      </c>
      <c r="S12" s="665">
        <f t="shared" si="0"/>
        <v>100</v>
      </c>
      <c r="T12" s="664" t="s">
        <v>14</v>
      </c>
      <c r="U12" s="665">
        <f t="shared" si="1"/>
        <v>100</v>
      </c>
      <c r="V12" s="664" t="s">
        <v>14</v>
      </c>
      <c r="W12" s="665">
        <f t="shared" si="2"/>
        <v>100</v>
      </c>
      <c r="X12" s="666"/>
      <c r="Y12" s="334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6"/>
      <c r="Q13" s="530">
        <f t="shared" si="6"/>
        <v>111</v>
      </c>
      <c r="R13" s="664" t="s">
        <v>14</v>
      </c>
      <c r="S13" s="665">
        <f t="shared" si="0"/>
        <v>100</v>
      </c>
      <c r="T13" s="664" t="s">
        <v>14</v>
      </c>
      <c r="U13" s="665">
        <f t="shared" si="1"/>
        <v>100</v>
      </c>
      <c r="V13" s="664" t="s">
        <v>14</v>
      </c>
      <c r="W13" s="665">
        <f t="shared" si="2"/>
        <v>100</v>
      </c>
      <c r="X13" s="666"/>
      <c r="Y13" s="334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6"/>
      <c r="Q14" s="530">
        <f t="shared" si="6"/>
        <v>111</v>
      </c>
      <c r="R14" s="664" t="s">
        <v>14</v>
      </c>
      <c r="S14" s="665">
        <f t="shared" si="0"/>
        <v>100</v>
      </c>
      <c r="T14" s="664" t="s">
        <v>14</v>
      </c>
      <c r="U14" s="665">
        <f t="shared" si="1"/>
        <v>100</v>
      </c>
      <c r="V14" s="664" t="s">
        <v>14</v>
      </c>
      <c r="W14" s="665">
        <f t="shared" si="2"/>
        <v>100</v>
      </c>
      <c r="X14" s="666"/>
      <c r="Y14" s="334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7" t="s">
        <v>1691</v>
      </c>
      <c r="Q15" s="1263" t="str">
        <f t="shared" si="6"/>
        <v>产业集聚程度</v>
      </c>
      <c r="R15" s="667" t="s">
        <v>14</v>
      </c>
      <c r="S15" s="668">
        <f t="shared" si="0"/>
        <v>100</v>
      </c>
      <c r="T15" s="667" t="s">
        <v>14</v>
      </c>
      <c r="U15" s="668">
        <f t="shared" si="1"/>
        <v>100</v>
      </c>
      <c r="V15" s="667" t="s">
        <v>14</v>
      </c>
      <c r="W15" s="668">
        <f t="shared" si="2"/>
        <v>100</v>
      </c>
      <c r="X15" s="1265"/>
      <c r="Y15" s="343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8"/>
      <c r="Q16" s="1263"/>
      <c r="R16" s="667"/>
      <c r="S16" s="668"/>
      <c r="T16" s="667"/>
      <c r="U16" s="668"/>
      <c r="V16" s="667"/>
      <c r="W16" s="668"/>
      <c r="X16" s="1265"/>
      <c r="Y16" s="343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8"/>
      <c r="Q17" s="1263" t="str">
        <f>B17</f>
        <v>交通便捷度</v>
      </c>
      <c r="R17" s="667" t="s">
        <v>14</v>
      </c>
      <c r="S17" s="668">
        <f>F17</f>
        <v>100</v>
      </c>
      <c r="T17" s="667" t="s">
        <v>14</v>
      </c>
      <c r="U17" s="668">
        <f>H17</f>
        <v>100</v>
      </c>
      <c r="V17" s="667" t="s">
        <v>14</v>
      </c>
      <c r="W17" s="668">
        <f>J17</f>
        <v>100</v>
      </c>
      <c r="X17" s="1265"/>
      <c r="Y17" s="343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8"/>
      <c r="Q18" s="1263"/>
      <c r="R18" s="667"/>
      <c r="S18" s="668"/>
      <c r="T18" s="667"/>
      <c r="U18" s="668"/>
      <c r="V18" s="667"/>
      <c r="W18" s="668"/>
      <c r="X18" s="1265"/>
      <c r="Y18" s="343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8"/>
      <c r="Q19" s="1263" t="str">
        <f t="shared" ref="Q19:Q33" si="8">B19</f>
        <v>区域土地利用方向</v>
      </c>
      <c r="R19" s="667" t="s">
        <v>14</v>
      </c>
      <c r="S19" s="668">
        <f>F19</f>
        <v>100</v>
      </c>
      <c r="T19" s="667" t="s">
        <v>14</v>
      </c>
      <c r="U19" s="668">
        <f>H19</f>
        <v>100</v>
      </c>
      <c r="V19" s="667" t="s">
        <v>14</v>
      </c>
      <c r="W19" s="668">
        <f>J19</f>
        <v>100</v>
      </c>
      <c r="X19" s="1265"/>
      <c r="Y19" s="343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8"/>
      <c r="Q20" s="1263"/>
      <c r="R20" s="667"/>
      <c r="S20" s="668"/>
      <c r="T20" s="667"/>
      <c r="U20" s="668"/>
      <c r="V20" s="667"/>
      <c r="W20" s="668"/>
      <c r="X20" s="1265"/>
      <c r="Y20" s="343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8"/>
      <c r="Q21" s="1263" t="str">
        <f t="shared" si="8"/>
        <v>环境状况</v>
      </c>
      <c r="R21" s="667" t="s">
        <v>14</v>
      </c>
      <c r="S21" s="668">
        <f>F21</f>
        <v>100</v>
      </c>
      <c r="T21" s="667" t="s">
        <v>14</v>
      </c>
      <c r="U21" s="668">
        <f>H21</f>
        <v>100</v>
      </c>
      <c r="V21" s="667" t="s">
        <v>14</v>
      </c>
      <c r="W21" s="668">
        <f>J21</f>
        <v>100</v>
      </c>
      <c r="X21" s="1265"/>
      <c r="Y21" s="343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8"/>
      <c r="Q22" s="1263"/>
      <c r="R22" s="667"/>
      <c r="S22" s="668"/>
      <c r="T22" s="667"/>
      <c r="U22" s="668"/>
      <c r="V22" s="667"/>
      <c r="W22" s="668"/>
      <c r="X22" s="1265"/>
      <c r="Y22" s="343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8"/>
      <c r="Q23" s="530" t="str">
        <f t="shared" si="8"/>
        <v>公共配套设施</v>
      </c>
      <c r="R23" s="664" t="s">
        <v>14</v>
      </c>
      <c r="S23" s="665">
        <f>F23</f>
        <v>100</v>
      </c>
      <c r="T23" s="664" t="s">
        <v>14</v>
      </c>
      <c r="U23" s="665">
        <f>H23</f>
        <v>100</v>
      </c>
      <c r="V23" s="664" t="s">
        <v>14</v>
      </c>
      <c r="W23" s="665">
        <f>J23</f>
        <v>100</v>
      </c>
      <c r="X23" s="666"/>
      <c r="Y23" s="343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8"/>
      <c r="Q24" s="530"/>
      <c r="R24" s="664"/>
      <c r="S24" s="665"/>
      <c r="T24" s="664"/>
      <c r="U24" s="665"/>
      <c r="V24" s="664"/>
      <c r="W24" s="665"/>
      <c r="X24" s="666"/>
      <c r="Y24" s="343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8"/>
      <c r="Q25" s="530" t="str">
        <f t="shared" ref="Q25" si="9">B25</f>
        <v>基础设施水平</v>
      </c>
      <c r="R25" s="664" t="s">
        <v>14</v>
      </c>
      <c r="S25" s="665">
        <f>F25</f>
        <v>100</v>
      </c>
      <c r="T25" s="664" t="s">
        <v>14</v>
      </c>
      <c r="U25" s="665">
        <f>H25</f>
        <v>100</v>
      </c>
      <c r="V25" s="664" t="s">
        <v>14</v>
      </c>
      <c r="W25" s="665">
        <f>J25</f>
        <v>100</v>
      </c>
      <c r="X25" s="666"/>
      <c r="Y25" s="343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8"/>
      <c r="Q26" s="530"/>
      <c r="R26" s="664"/>
      <c r="S26" s="665"/>
      <c r="T26" s="664"/>
      <c r="U26" s="665"/>
      <c r="V26" s="664"/>
      <c r="W26" s="665"/>
      <c r="X26" s="666"/>
      <c r="Y26" s="343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8"/>
      <c r="Q28" s="1263" t="str">
        <f t="shared" si="8"/>
        <v>毗邻道路的类型与等级</v>
      </c>
      <c r="R28" s="667" t="s">
        <v>14</v>
      </c>
      <c r="S28" s="668">
        <f t="shared" si="10"/>
        <v>100</v>
      </c>
      <c r="T28" s="667" t="s">
        <v>14</v>
      </c>
      <c r="U28" s="668">
        <f t="shared" si="11"/>
        <v>100</v>
      </c>
      <c r="V28" s="667" t="s">
        <v>14</v>
      </c>
      <c r="W28" s="668">
        <f t="shared" si="12"/>
        <v>100</v>
      </c>
      <c r="X28" s="1265"/>
      <c r="Y28" s="343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8"/>
      <c r="Q29" s="1263"/>
      <c r="R29" s="667"/>
      <c r="S29" s="668"/>
      <c r="T29" s="667"/>
      <c r="U29" s="668"/>
      <c r="V29" s="667"/>
      <c r="W29" s="668"/>
      <c r="X29" s="1265"/>
      <c r="Y29" s="343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8"/>
      <c r="Q30" s="1263" t="str">
        <f t="shared" si="8"/>
        <v>土地级别</v>
      </c>
      <c r="R30" s="667" t="s">
        <v>14</v>
      </c>
      <c r="S30" s="668">
        <f t="shared" si="10"/>
        <v>100</v>
      </c>
      <c r="T30" s="667" t="s">
        <v>14</v>
      </c>
      <c r="U30" s="668">
        <f t="shared" si="11"/>
        <v>100</v>
      </c>
      <c r="V30" s="667" t="s">
        <v>14</v>
      </c>
      <c r="W30" s="668">
        <f t="shared" si="12"/>
        <v>100</v>
      </c>
      <c r="X30" s="1265"/>
      <c r="Y30" s="343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8"/>
      <c r="Q31" s="1263">
        <f t="shared" si="8"/>
        <v>111</v>
      </c>
      <c r="R31" s="667" t="s">
        <v>14</v>
      </c>
      <c r="S31" s="668">
        <f t="shared" si="10"/>
        <v>100</v>
      </c>
      <c r="T31" s="667" t="s">
        <v>14</v>
      </c>
      <c r="U31" s="668">
        <f t="shared" si="11"/>
        <v>100</v>
      </c>
      <c r="V31" s="667" t="s">
        <v>14</v>
      </c>
      <c r="W31" s="668">
        <f t="shared" si="12"/>
        <v>100</v>
      </c>
      <c r="X31" s="1265"/>
      <c r="Y31" s="343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1" t="s">
        <v>1696</v>
      </c>
      <c r="Q32" s="1263">
        <f t="shared" si="8"/>
        <v>111</v>
      </c>
      <c r="R32" s="667" t="s">
        <v>14</v>
      </c>
      <c r="S32" s="668">
        <f t="shared" si="10"/>
        <v>100</v>
      </c>
      <c r="T32" s="667" t="s">
        <v>14</v>
      </c>
      <c r="U32" s="668">
        <f t="shared" si="11"/>
        <v>100</v>
      </c>
      <c r="V32" s="667" t="s">
        <v>14</v>
      </c>
      <c r="W32" s="668">
        <f t="shared" si="12"/>
        <v>100</v>
      </c>
      <c r="X32" s="1265"/>
      <c r="Y32" s="344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2"/>
      <c r="Q33" s="1263">
        <f t="shared" si="8"/>
        <v>111</v>
      </c>
      <c r="R33" s="669" t="s">
        <v>14</v>
      </c>
      <c r="S33" s="670">
        <f t="shared" si="10"/>
        <v>100</v>
      </c>
      <c r="T33" s="669" t="s">
        <v>14</v>
      </c>
      <c r="U33" s="670">
        <f t="shared" si="11"/>
        <v>100</v>
      </c>
      <c r="V33" s="669" t="s">
        <v>14</v>
      </c>
      <c r="W33" s="670">
        <f t="shared" si="12"/>
        <v>100</v>
      </c>
      <c r="X33" s="671"/>
      <c r="Y33" s="344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2"/>
      <c r="Q34" s="1263" t="str">
        <f>B34</f>
        <v>宗地面积</v>
      </c>
      <c r="R34" s="667" t="s">
        <v>14</v>
      </c>
      <c r="S34" s="668" t="e">
        <f t="shared" si="10"/>
        <v>#N/A</v>
      </c>
      <c r="T34" s="667" t="s">
        <v>14</v>
      </c>
      <c r="U34" s="668" t="e">
        <f t="shared" si="11"/>
        <v>#N/A</v>
      </c>
      <c r="V34" s="667" t="s">
        <v>14</v>
      </c>
      <c r="W34" s="668" t="e">
        <f t="shared" si="12"/>
        <v>#N/A</v>
      </c>
      <c r="X34" s="1265"/>
      <c r="Y34" s="344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2"/>
      <c r="Q35" s="1263" t="str">
        <f t="shared" ref="Q35:Q40" si="14">B35</f>
        <v>宗地形状</v>
      </c>
      <c r="R35" s="667" t="s">
        <v>14</v>
      </c>
      <c r="S35" s="668">
        <f t="shared" si="10"/>
        <v>100</v>
      </c>
      <c r="T35" s="667" t="s">
        <v>14</v>
      </c>
      <c r="U35" s="668">
        <f t="shared" si="11"/>
        <v>100</v>
      </c>
      <c r="V35" s="667" t="s">
        <v>14</v>
      </c>
      <c r="W35" s="668">
        <f t="shared" si="12"/>
        <v>100</v>
      </c>
      <c r="X35" s="1265"/>
      <c r="Y35" s="344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2"/>
      <c r="Q36" s="1263" t="str">
        <f t="shared" si="14"/>
        <v>宗地开发程度</v>
      </c>
      <c r="R36" s="664" t="s">
        <v>14</v>
      </c>
      <c r="S36" s="665">
        <f t="shared" si="10"/>
        <v>100</v>
      </c>
      <c r="T36" s="664" t="s">
        <v>14</v>
      </c>
      <c r="U36" s="665">
        <f t="shared" si="11"/>
        <v>100</v>
      </c>
      <c r="V36" s="664" t="s">
        <v>14</v>
      </c>
      <c r="W36" s="665">
        <f t="shared" si="12"/>
        <v>100</v>
      </c>
      <c r="X36" s="666"/>
      <c r="Y36" s="344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2" t="s">
        <v>1696</v>
      </c>
      <c r="Q37" s="1263" t="str">
        <f t="shared" si="14"/>
        <v>工程地质条件</v>
      </c>
      <c r="R37" s="667" t="s">
        <v>14</v>
      </c>
      <c r="S37" s="668">
        <f t="shared" si="10"/>
        <v>100</v>
      </c>
      <c r="T37" s="667" t="s">
        <v>14</v>
      </c>
      <c r="U37" s="668">
        <f t="shared" si="11"/>
        <v>100</v>
      </c>
      <c r="V37" s="667" t="s">
        <v>14</v>
      </c>
      <c r="W37" s="668">
        <f t="shared" si="12"/>
        <v>100</v>
      </c>
      <c r="X37" s="1265"/>
      <c r="Y37" s="344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2"/>
      <c r="Q38" s="1263">
        <f t="shared" si="14"/>
        <v>111</v>
      </c>
      <c r="R38" s="667" t="s">
        <v>14</v>
      </c>
      <c r="S38" s="668">
        <f t="shared" si="10"/>
        <v>100</v>
      </c>
      <c r="T38" s="667" t="s">
        <v>14</v>
      </c>
      <c r="U38" s="668">
        <f t="shared" si="11"/>
        <v>100</v>
      </c>
      <c r="V38" s="667" t="s">
        <v>14</v>
      </c>
      <c r="W38" s="668">
        <f t="shared" si="12"/>
        <v>100</v>
      </c>
      <c r="X38" s="1265"/>
      <c r="Y38" s="344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2"/>
      <c r="Q39" s="1263">
        <f t="shared" si="14"/>
        <v>111</v>
      </c>
      <c r="R39" s="667" t="s">
        <v>14</v>
      </c>
      <c r="S39" s="668">
        <f t="shared" si="10"/>
        <v>100</v>
      </c>
      <c r="T39" s="667" t="s">
        <v>14</v>
      </c>
      <c r="U39" s="668">
        <f t="shared" si="11"/>
        <v>100</v>
      </c>
      <c r="V39" s="667" t="s">
        <v>14</v>
      </c>
      <c r="W39" s="668">
        <f t="shared" si="12"/>
        <v>100</v>
      </c>
      <c r="X39" s="1265"/>
      <c r="Y39" s="344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2"/>
      <c r="Q40" s="1263">
        <f t="shared" si="14"/>
        <v>111</v>
      </c>
      <c r="R40" s="669" t="s">
        <v>14</v>
      </c>
      <c r="S40" s="670">
        <f t="shared" si="10"/>
        <v>100</v>
      </c>
      <c r="T40" s="669" t="s">
        <v>14</v>
      </c>
      <c r="U40" s="670">
        <f t="shared" si="11"/>
        <v>100</v>
      </c>
      <c r="V40" s="669" t="s">
        <v>14</v>
      </c>
      <c r="W40" s="670">
        <f t="shared" si="12"/>
        <v>100</v>
      </c>
      <c r="X40" s="671"/>
      <c r="Y40" s="344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6" t="str">
        <f>A41</f>
        <v>成交单价</v>
      </c>
      <c r="Q41" s="3436"/>
      <c r="R41" s="3431">
        <f>E41</f>
        <v>0</v>
      </c>
      <c r="S41" s="3431"/>
      <c r="T41" s="3431">
        <f>G41</f>
        <v>0</v>
      </c>
      <c r="U41" s="3431"/>
      <c r="V41" s="3431">
        <f>I41</f>
        <v>0</v>
      </c>
      <c r="W41" s="343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6" t="str">
        <f>A42</f>
        <v>比较价值（元/平方米）</v>
      </c>
      <c r="Q42" s="3436"/>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3" t="str">
        <f>A43</f>
        <v>估价对象XX用房的比较价值（楼面单价，元/平方米）</v>
      </c>
      <c r="Q43" s="3434"/>
      <c r="R43" s="3464" t="e">
        <f>ROUND(IF(D42="简单平均",AVERAGE(R42:W42),R42*F42+T42*H42+V42*J42),0)</f>
        <v>#DIV/0!</v>
      </c>
      <c r="S43" s="3464"/>
      <c r="T43" s="3464"/>
      <c r="U43" s="3464"/>
      <c r="V43" s="3464"/>
      <c r="W43" s="346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9" t="s">
        <v>1887</v>
      </c>
      <c r="H50" s="346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6420.54</v>
      </c>
      <c r="F51" s="611" t="e">
        <f t="shared" ref="F51:F60" si="15">ROUND(B51*E51/10000,0)</f>
        <v>#DIV/0!</v>
      </c>
      <c r="G51" s="3418"/>
      <c r="H51" s="343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12462.11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2026-3-1</v>
      </c>
      <c r="D63" s="656">
        <f>EDATE(C63,-3)</f>
        <v>45992</v>
      </c>
      <c r="E63" s="656">
        <f>EDATE(D63,-3)</f>
        <v>45901</v>
      </c>
      <c r="F63" s="656">
        <f t="shared" ref="F63:O63" si="18">EDATE(E63,-3)</f>
        <v>45809</v>
      </c>
      <c r="G63" s="656">
        <f t="shared" si="18"/>
        <v>45717</v>
      </c>
      <c r="H63" s="656">
        <f t="shared" si="18"/>
        <v>45627</v>
      </c>
      <c r="I63" s="656">
        <f t="shared" si="18"/>
        <v>45536</v>
      </c>
      <c r="J63" s="656">
        <f t="shared" si="18"/>
        <v>45444</v>
      </c>
      <c r="K63" s="656">
        <f t="shared" si="18"/>
        <v>45352</v>
      </c>
      <c r="L63" s="656">
        <f t="shared" si="18"/>
        <v>45261</v>
      </c>
      <c r="M63" s="656">
        <f t="shared" si="18"/>
        <v>45170</v>
      </c>
      <c r="N63" s="656">
        <f t="shared" si="18"/>
        <v>45078</v>
      </c>
      <c r="O63" s="656">
        <f t="shared" si="18"/>
        <v>44986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2026-1</v>
      </c>
      <c r="D65" s="1101" t="str">
        <f t="shared" ref="D65:O65" si="19">YEAR(D63)&amp;"-"&amp;ROUNDUP(MONTH(D63)/3,0)</f>
        <v>2025-4</v>
      </c>
      <c r="E65" s="1101" t="str">
        <f t="shared" si="19"/>
        <v>2025-3</v>
      </c>
      <c r="F65" s="1101" t="str">
        <f t="shared" si="19"/>
        <v>2025-2</v>
      </c>
      <c r="G65" s="1101" t="str">
        <f t="shared" si="19"/>
        <v>2025-1</v>
      </c>
      <c r="H65" s="1101" t="str">
        <f t="shared" si="19"/>
        <v>2024-4</v>
      </c>
      <c r="I65" s="1101" t="str">
        <f t="shared" si="19"/>
        <v>2024-3</v>
      </c>
      <c r="J65" s="1101" t="str">
        <f t="shared" si="19"/>
        <v>2024-2</v>
      </c>
      <c r="K65" s="1101" t="str">
        <f t="shared" si="19"/>
        <v>2024-1</v>
      </c>
      <c r="L65" s="1101" t="str">
        <f t="shared" si="19"/>
        <v>2023-4</v>
      </c>
      <c r="M65" s="1101" t="str">
        <f t="shared" si="19"/>
        <v>2023-3</v>
      </c>
      <c r="N65" s="1101" t="str">
        <f t="shared" si="19"/>
        <v>2023-2</v>
      </c>
      <c r="O65" s="1101" t="str">
        <f t="shared" si="19"/>
        <v>2023-1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3" t="s">
        <v>2084</v>
      </c>
      <c r="D1" s="3474"/>
      <c r="E1" s="3474"/>
      <c r="F1" s="3474"/>
      <c r="G1" s="3474"/>
      <c r="H1" s="3474"/>
      <c r="I1" s="3474"/>
      <c r="J1" s="3474"/>
      <c r="K1" s="3474"/>
      <c r="L1" s="3474"/>
      <c r="M1" s="3474"/>
      <c r="N1" s="3474"/>
      <c r="O1" s="3474"/>
      <c r="P1" s="3474"/>
      <c r="Q1" s="3474"/>
      <c r="R1" s="3474"/>
      <c r="S1" s="347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628</v>
      </c>
      <c r="C2" s="1984" t="s">
        <v>2074</v>
      </c>
      <c r="D2" s="1984" t="s">
        <v>2075</v>
      </c>
      <c r="E2" s="2398">
        <f ca="1">SUMIF(E6:E13,"&lt;&gt;#ref!",E6:E13)</f>
        <v>12462.11</v>
      </c>
      <c r="F2" s="2545"/>
      <c r="G2" s="2545"/>
      <c r="H2" s="2545"/>
      <c r="I2" s="2545"/>
      <c r="J2" s="2545"/>
      <c r="K2" s="2545"/>
      <c r="L2" s="2545"/>
      <c r="M2" s="2545"/>
      <c r="N2" s="2545"/>
      <c r="O2" s="2545"/>
      <c r="P2" s="2545"/>
    </row>
    <row r="3" spans="1:16" ht="15.75">
      <c r="A3" s="1984" t="s">
        <v>2076</v>
      </c>
      <c r="B3" s="2388">
        <f ca="1">ROUND(B2*10000/E2,0)</f>
        <v>504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628</v>
      </c>
      <c r="C6" s="1984" t="s">
        <v>2074</v>
      </c>
      <c r="D6" s="2545"/>
      <c r="E6" s="2398">
        <f ca="1">SUMIF(INDIRECT("'"&amp;A6&amp;"'"&amp;"!C:C"),"建筑面积",INDIRECT("'"&amp;A6&amp;"'"&amp;"!D:D"))</f>
        <v>12462.11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K47" sqref="K4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3959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698</v>
      </c>
      <c r="D5" s="203" t="s">
        <v>1469</v>
      </c>
      <c r="E5" s="204" t="s">
        <v>1470</v>
      </c>
      <c r="F5" s="204" t="s">
        <v>1471</v>
      </c>
      <c r="G5" s="205"/>
    </row>
    <row r="6" spans="1:9" s="206" customFormat="1" ht="13.5" customHeight="1">
      <c r="A6" s="732" t="s">
        <v>1472</v>
      </c>
      <c r="B6" s="207" t="s">
        <v>1473</v>
      </c>
      <c r="C6" s="208">
        <f>ROUND(基准地价修正!C33*基准地价修正!D33/10000,0)</f>
        <v>628</v>
      </c>
      <c r="D6" s="209"/>
      <c r="E6" s="210"/>
      <c r="F6" s="210"/>
      <c r="G6" s="211"/>
    </row>
    <row r="7" spans="1:9" s="206" customFormat="1" ht="13.5" customHeight="1">
      <c r="A7" s="732" t="s">
        <v>1474</v>
      </c>
      <c r="B7" s="207" t="s">
        <v>1475</v>
      </c>
      <c r="C7" s="212">
        <f>ROUND(C6*F7,0)</f>
        <v>19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51</v>
      </c>
      <c r="D8" s="214"/>
      <c r="E8" s="212"/>
      <c r="F8" s="213"/>
      <c r="G8" s="1714" t="s">
        <v>3468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3469</v>
      </c>
      <c r="H9" s="1070"/>
      <c r="I9" s="1716" t="s">
        <v>1479</v>
      </c>
    </row>
    <row r="10" spans="1:9" s="206" customFormat="1" ht="13.5" customHeight="1">
      <c r="A10" s="733" t="s">
        <v>356</v>
      </c>
      <c r="B10" s="216" t="s">
        <v>1480</v>
      </c>
      <c r="C10" s="217">
        <f ca="1">ROUND(D10*E10/10000,0)</f>
        <v>51</v>
      </c>
      <c r="D10" s="795">
        <f ca="1">IF(B1="",'数据-汇总表'!E6,IF(INDIRECT("'数据-取费表'!c"&amp;$G$1)="住宅",INDIRECT("'数据-取费表'!s"&amp;$G$1),INDIRECT("'数据-取费表'!k"&amp;$G$1)+INDIRECT("'数据-取费表'!s"&amp;$G$1)))</f>
        <v>6420.54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6420.54</v>
      </c>
      <c r="E19" s="203">
        <f>'数据-取费表'!B31</f>
        <v>185</v>
      </c>
      <c r="F19" s="223"/>
      <c r="G19" s="1714" t="s">
        <v>3470</v>
      </c>
    </row>
    <row r="20" spans="1:7" s="206" customFormat="1" ht="13.5" customHeight="1">
      <c r="A20" s="247" t="s">
        <v>1493</v>
      </c>
      <c r="B20" s="202" t="s">
        <v>1494</v>
      </c>
      <c r="C20" s="224">
        <f ca="1">ROUND((C5+C19)*F20,0)</f>
        <v>14</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21</v>
      </c>
      <c r="D22" s="227">
        <f ca="1">C26</f>
        <v>2.0000000000000001E-4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21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36</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36</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821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2474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2247</v>
      </c>
      <c r="D34" s="209"/>
      <c r="E34" s="212"/>
      <c r="F34" s="249">
        <f ca="1">IF('数据-取费表'!B24=0,1,IF(B1="",'数据-取费表'!N16,INDIRECT("'数据-取费表'!n"&amp;$G$1)))</f>
        <v>1</v>
      </c>
      <c r="G34" s="211" t="s">
        <v>1526</v>
      </c>
    </row>
    <row r="35" spans="1:7" ht="13.5" customHeight="1">
      <c r="A35" s="734" t="s">
        <v>351</v>
      </c>
      <c r="B35" s="207" t="s">
        <v>1527</v>
      </c>
      <c r="C35" s="212">
        <f ca="1">ROUND(C34*F35,0)</f>
        <v>112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6420.54</v>
      </c>
      <c r="E37" s="241">
        <f>'数据-取费表'!B35</f>
        <v>5</v>
      </c>
      <c r="F37" s="251"/>
      <c r="G37" s="253" t="s">
        <v>1532</v>
      </c>
    </row>
    <row r="38" spans="1:7" ht="13.5" customHeight="1">
      <c r="A38" s="734" t="s">
        <v>354</v>
      </c>
      <c r="B38" s="207" t="s">
        <v>1533</v>
      </c>
      <c r="C38" s="212">
        <f ca="1">ROUND(C34*F38,0)</f>
        <v>112</v>
      </c>
      <c r="D38" s="212"/>
      <c r="E38" s="212"/>
      <c r="F38" s="251">
        <f>'数据-取费表'!B36</f>
        <v>0.05</v>
      </c>
      <c r="G38" s="211" t="s">
        <v>1528</v>
      </c>
    </row>
    <row r="39" spans="1:7" s="206" customFormat="1" ht="13.5" customHeight="1">
      <c r="A39" s="247" t="s">
        <v>1534</v>
      </c>
      <c r="B39" s="202" t="s">
        <v>1535</v>
      </c>
      <c r="C39" s="224">
        <f ca="1">ROUND(C33*F20,0)</f>
        <v>49</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38</v>
      </c>
      <c r="D41" s="227">
        <f ca="1">C44</f>
        <v>2.0000000000000001E-4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37</v>
      </c>
      <c r="D42" s="230"/>
      <c r="E42" s="230"/>
      <c r="F42" s="231"/>
      <c r="G42" s="3372" t="s">
        <v>1544</v>
      </c>
    </row>
    <row r="43" spans="1:7" ht="13.5" customHeight="1">
      <c r="A43" s="734" t="s">
        <v>347</v>
      </c>
      <c r="B43" s="207" t="s">
        <v>1545</v>
      </c>
      <c r="C43" s="230">
        <f ca="1">ROUND(IF('数据-取费表'!B22&lt;=1,C39*F22*'数据-取费表'!B21/2,C39*(POWER((1+F22),'数据-取费表'!B21/2)-1)),0)</f>
        <v>1</v>
      </c>
      <c r="D43" s="230"/>
      <c r="E43" s="230"/>
      <c r="F43" s="231"/>
      <c r="G43" s="3373"/>
    </row>
    <row r="44" spans="1:7" ht="13.5" customHeight="1">
      <c r="A44" s="734" t="s">
        <v>348</v>
      </c>
      <c r="B44" s="207" t="s">
        <v>1546</v>
      </c>
      <c r="C44" s="230">
        <f ca="1">ROUND(IF('数据-取费表'!B22&lt;=1,C40*F22*'数据-取费表'!B21/2,C40*(POWER((1+F22),'数据-取费表'!B21/2)-1)),4)</f>
        <v>2.0000000000000001E-4</v>
      </c>
      <c r="D44" s="230"/>
      <c r="E44" s="230"/>
      <c r="F44" s="231"/>
      <c r="G44" s="3374"/>
    </row>
    <row r="45" spans="1:7" s="206" customFormat="1" ht="13.5" customHeight="1">
      <c r="A45" s="247" t="s">
        <v>1547</v>
      </c>
      <c r="B45" s="236" t="s">
        <v>1513</v>
      </c>
      <c r="C45" s="237">
        <f ca="1">C46</f>
        <v>126</v>
      </c>
      <c r="D45" s="227">
        <f ca="1">C47</f>
        <v>5.0000000000000001E-4</v>
      </c>
      <c r="E45" s="228" t="s">
        <v>1539</v>
      </c>
      <c r="F45" s="238">
        <f ca="1">F27</f>
        <v>0.05</v>
      </c>
      <c r="G45" s="239" t="s">
        <v>1548</v>
      </c>
    </row>
    <row r="46" spans="1:7" s="206" customFormat="1" ht="13.5" customHeight="1">
      <c r="A46" s="734" t="s">
        <v>346</v>
      </c>
      <c r="B46" s="240" t="s">
        <v>1549</v>
      </c>
      <c r="C46" s="241">
        <f ca="1">ROUND((C33+C39)*F27,0)</f>
        <v>126</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2868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1721</v>
      </c>
      <c r="D51" s="224"/>
      <c r="E51" s="224"/>
      <c r="F51" s="256"/>
      <c r="G51" s="226" t="s">
        <v>1560</v>
      </c>
    </row>
    <row r="52" spans="1:7" s="200" customFormat="1" ht="16.5" thickBot="1">
      <c r="A52" s="257" t="s">
        <v>1561</v>
      </c>
      <c r="B52" s="258"/>
      <c r="C52" s="259">
        <f ca="1">C31+C51</f>
        <v>2542</v>
      </c>
      <c r="D52" s="258"/>
      <c r="E52" s="258"/>
      <c r="F52" s="258"/>
      <c r="G52" s="260"/>
    </row>
    <row r="55" spans="1:7" ht="15">
      <c r="B55" s="262" t="s">
        <v>1562</v>
      </c>
      <c r="C55" s="263"/>
    </row>
    <row r="56" spans="1:7">
      <c r="B56" s="265" t="s">
        <v>802</v>
      </c>
      <c r="C56" s="267">
        <f ca="1">1-C57</f>
        <v>0.32299999999999995</v>
      </c>
    </row>
    <row r="57" spans="1:7">
      <c r="B57" s="265" t="s">
        <v>803</v>
      </c>
      <c r="C57" s="266">
        <f ca="1">ROUND(C51/C52,3)</f>
        <v>0.67700000000000005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12462.11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628</v>
      </c>
      <c r="C2" s="1846" t="s">
        <v>1935</v>
      </c>
      <c r="D2" s="162" t="s">
        <v>1936</v>
      </c>
      <c r="E2" s="3120" t="s">
        <v>3</v>
      </c>
      <c r="F2" s="162" t="s">
        <v>1937</v>
      </c>
      <c r="G2" s="163" t="str">
        <f>IF(E2="商业",项目基本情况!B37,IF(E2="办公",项目基本情况!C37,IF(E2="住宅",项目基本情况!D37,IF(E2="工业",项目基本情况!E37,项目基本情况!F37))))</f>
        <v>十一级</v>
      </c>
      <c r="H2" s="162" t="s">
        <v>1938</v>
      </c>
      <c r="I2" s="163" t="str">
        <f>IF(E2="商业",项目基本情况!B38,IF(E2="办公",项目基本情况!C38,IF(E2="住宅",项目基本情况!D38,IF(E2="工业",项目基本情况!E38,项目基本情况!F38))))</f>
        <v>Ⅺ-平1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777</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504</v>
      </c>
      <c r="C3" s="1846" t="s">
        <v>1941</v>
      </c>
      <c r="D3" s="162" t="s">
        <v>1942</v>
      </c>
      <c r="E3" s="3118" t="s">
        <v>2479</v>
      </c>
      <c r="F3" s="1848" t="s">
        <v>3457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599</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83"/>
      <c r="B4" s="3484"/>
      <c r="C4" s="3484"/>
      <c r="D4" s="3485"/>
      <c r="E4" s="3485"/>
      <c r="F4" s="3485"/>
      <c r="G4" s="3485"/>
      <c r="H4" s="3485"/>
      <c r="I4" s="3485"/>
      <c r="J4" s="348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489</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570</v>
      </c>
      <c r="D5" s="1252">
        <f>ROUND(C6*C17+C20,0)</f>
        <v>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415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378</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十一级</v>
      </c>
      <c r="Y7" s="1131" t="s">
        <v>1956</v>
      </c>
      <c r="Z7" s="1132">
        <f>G3</f>
        <v>1</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80" t="s">
        <v>1960</v>
      </c>
      <c r="X8" s="348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82"/>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570</v>
      </c>
      <c r="N11" s="813">
        <f>SUMPRODUCT((因素修正幅度!B358:B377=I2)*(因素修正幅度!C3:G3=E2)*(因素修正幅度!C358:G377))</f>
        <v>0.13600000000000001</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3248</v>
      </c>
      <c r="E18" s="2357"/>
      <c r="F18" s="3030" t="s">
        <v>3251</v>
      </c>
      <c r="G18" s="3034">
        <f>ROUND(1-(1/(POWER(1+G24,E18))),4)</f>
        <v>0</v>
      </c>
      <c r="H18" s="3030" t="s">
        <v>3253</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7" t="s">
        <v>3254</v>
      </c>
      <c r="B20" s="159" t="s">
        <v>1994</v>
      </c>
      <c r="C20" s="3031">
        <f>ROUND(IF(F21="与级别开发程度一致",0,(G21-E21)/C21),0)</f>
        <v>0</v>
      </c>
      <c r="D20" s="3046" t="s">
        <v>1998</v>
      </c>
      <c r="E20" s="3047"/>
      <c r="F20" s="3493" t="s">
        <v>1995</v>
      </c>
      <c r="G20" s="3494"/>
      <c r="H20" s="3032" t="s">
        <v>3458</v>
      </c>
      <c r="I20" s="3032" t="s">
        <v>3459</v>
      </c>
      <c r="J20" s="3033" t="s">
        <v>3460</v>
      </c>
      <c r="K20" s="1889" t="s">
        <v>3461</v>
      </c>
      <c r="L20" s="1889" t="s">
        <v>3462</v>
      </c>
      <c r="M20" s="1889" t="s">
        <v>3463</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8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3464</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25=YEAR(G23)&amp;"-"&amp;ROUNDUP(MONTH(G23)/3,0))*('地价-分区'!S2:W2=E2)*('地价-分区'!S4:W25)),IF(J23="中心城区以外",SUMPRODUCT(('地价-分区'!A33:A54=YEAR(G23)&amp;"-"&amp;ROUNDUP(MONTH(G23)/3,0))*('地价-分区'!S31:W31=E2)*('地价-分区'!S33:W54)),IF(J23="不用分区数据",IF(H23="按公示增长率计算",SUMPRODUCT((地价!A3:A24=YEAR(G23)&amp;"-"&amp;ROUNDUP(MONTH(G23)/3,0))*(地价!Y2:AD2=E2)*(地价!Y3:AD24)),IF(H23="地价指数",M24/M23,(1+I23)^O23))))),4)</f>
        <v>1.0869</v>
      </c>
      <c r="D23" s="1896" t="s">
        <v>2002</v>
      </c>
      <c r="E23" s="717">
        <v>44197</v>
      </c>
      <c r="F23" s="1896" t="s">
        <v>2003</v>
      </c>
      <c r="G23" s="718">
        <f>'数据-取费表'!B2</f>
        <v>46092</v>
      </c>
      <c r="H23" s="3048" t="s">
        <v>3465</v>
      </c>
      <c r="I23" s="3049" t="str">
        <f>IF(H23="季度增幅（自定义）",SUMIF(N25:N28,E2,O25:O28),"")</f>
        <v/>
      </c>
      <c r="J23" s="3141" t="s">
        <v>3467</v>
      </c>
      <c r="K23" s="1061"/>
      <c r="L23" s="1897" t="s">
        <v>2004</v>
      </c>
      <c r="M23" s="1241">
        <f>ROUND(SUMIF(地价!B2:G2,E2,地价!B16:G16),0)</f>
        <v>318</v>
      </c>
      <c r="N23" s="1898" t="s">
        <v>2005</v>
      </c>
      <c r="O23" s="719">
        <f>ROUNDDOWN(DATEDIF(E23,G23,"M")/3,0)</f>
        <v>20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0.81040000000000001</v>
      </c>
      <c r="D24" s="1902" t="s">
        <v>2007</v>
      </c>
      <c r="E24" s="1248">
        <f>存贷款利率!E28/100</f>
        <v>4.3499999999999997E-2</v>
      </c>
      <c r="F24" s="1902" t="s">
        <v>1999</v>
      </c>
      <c r="G24" s="724">
        <f>SUMIF(M30:Q30,E2,M33:Q33)</f>
        <v>0.05</v>
      </c>
      <c r="H24" s="1902" t="s">
        <v>2008</v>
      </c>
      <c r="I24" s="725">
        <f>SUMIF('数据-取费表'!C6:C15,E2,'数据-取费表'!F6:F15)/COUNTIF('数据-取费表'!C6:C15,E2)</f>
        <v>27.59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1.004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628</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504</v>
      </c>
      <c r="D33" s="1940">
        <f>'数据-汇总表'!D3</f>
        <v>12462.11</v>
      </c>
      <c r="E33" s="727">
        <f>ROUND(C33*D33/10000,0)</f>
        <v>628</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76</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1"/>
      <c r="B37" s="1955" t="s">
        <v>2036</v>
      </c>
      <c r="C37" s="167">
        <f>ROUND(D5*C22*C23*C24*C28*F37,0)</f>
        <v>252</v>
      </c>
      <c r="D37" s="1940"/>
      <c r="E37" s="163">
        <f>ROUND(C37*D37/10000,0)</f>
        <v>0</v>
      </c>
      <c r="F37" s="163">
        <f>SUMIF(修正!A59:A70,G2,修正!B59:B70)</f>
        <v>0.5</v>
      </c>
      <c r="G37" s="163">
        <f>ROUND(IF(E2="工业",C37*$M$42,C37*$M$41),0)</f>
        <v>38</v>
      </c>
      <c r="H37" s="163">
        <f>D37</f>
        <v>0</v>
      </c>
      <c r="I37" s="163">
        <f>ROUND(G37*H37/10000,0)</f>
        <v>0</v>
      </c>
      <c r="J37" s="2755"/>
      <c r="K37" s="3061"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2"/>
      <c r="B38" s="1884" t="s">
        <v>2037</v>
      </c>
      <c r="C38" s="167">
        <f>ROUND(D5*C22*C23*C24*C28*F38,0)</f>
        <v>101</v>
      </c>
      <c r="D38" s="1940"/>
      <c r="E38" s="163">
        <f t="shared" ref="E38:E42" si="4">ROUND(C38*D38/10000,0)</f>
        <v>0</v>
      </c>
      <c r="F38" s="163">
        <f>SUMIF(修正!A59:A70,G2,修正!C59:C70)</f>
        <v>0.2</v>
      </c>
      <c r="G38" s="163">
        <f>ROUND(IF(E2="工业",C38*$M$42,C38*$M$41),0)</f>
        <v>15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2"/>
      <c r="B39" s="1884" t="s">
        <v>3257</v>
      </c>
      <c r="C39" s="167">
        <f>ROUND(D5*C22*C23*C24*C28*F39,0)</f>
        <v>101</v>
      </c>
      <c r="D39" s="1940"/>
      <c r="E39" s="163">
        <f t="shared" si="4"/>
        <v>0</v>
      </c>
      <c r="F39" s="163">
        <f>SUMIF(修正!A59:A70,G2,修正!D59:D70)</f>
        <v>0.2</v>
      </c>
      <c r="G39" s="163">
        <f>ROUND(IF(E2="工业",C39*$M$42,C39*$M$41),0)</f>
        <v>15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v>
      </c>
      <c r="D40" s="1940"/>
      <c r="E40" s="163">
        <f t="shared" si="4"/>
        <v>0</v>
      </c>
      <c r="F40" s="167">
        <f>SUMIF(修正!A59:A70,G2,修正!E59:E70)</f>
        <v>0.2</v>
      </c>
      <c r="G40" s="163">
        <f>ROUND(IF(E2="工业",C40*$M$42,C40*$M$41),0)</f>
        <v>15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1.004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3471</v>
      </c>
      <c r="D83" s="1002">
        <f t="shared" ref="D83:D90" si="22">SUMIF($J$82:$N$82,C83,J83:N83)</f>
        <v>0</v>
      </c>
      <c r="E83" s="702">
        <f>ROUND(SUM(D83:D90),4)</f>
        <v>4.0000000000000001E-3</v>
      </c>
      <c r="F83" s="1675">
        <f>IF(E2="工业",SUMIF(L1:L12,G2,N1:N12),"——")</f>
        <v>0.13600000000000001</v>
      </c>
      <c r="G83" s="1000">
        <v>1.7600000000000001E-2</v>
      </c>
      <c r="H83" s="1003">
        <f t="shared" ref="H83:H90" si="23">IFERROR(ROUNDDOWN($F$83*I83/2,4),"——")</f>
        <v>1.7600000000000001E-2</v>
      </c>
      <c r="I83" s="3068">
        <v>0.26</v>
      </c>
      <c r="J83" s="1001">
        <f t="shared" ref="J83:J90" si="24">K83+$G83</f>
        <v>3.5200000000000002E-2</v>
      </c>
      <c r="K83" s="1001">
        <f t="shared" ref="K83:K90" si="25">$L83+$G83</f>
        <v>1.7600000000000001E-2</v>
      </c>
      <c r="L83" s="1001">
        <v>0</v>
      </c>
      <c r="M83" s="1001">
        <f t="shared" ref="M83:N90" si="26">L83-$G83</f>
        <v>-1.7600000000000001E-2</v>
      </c>
      <c r="N83" s="1001">
        <f t="shared" si="26"/>
        <v>-3.5200000000000002E-2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3471</v>
      </c>
      <c r="D84" s="1002">
        <f t="shared" si="22"/>
        <v>0</v>
      </c>
      <c r="E84" s="705"/>
      <c r="F84" s="1675"/>
      <c r="G84" s="1000">
        <v>2.0400000000000001E-2</v>
      </c>
      <c r="H84" s="1003">
        <f t="shared" si="23"/>
        <v>2.0400000000000001E-2</v>
      </c>
      <c r="I84" s="3068">
        <v>0.3</v>
      </c>
      <c r="J84" s="1001">
        <f t="shared" si="24"/>
        <v>4.0800000000000003E-2</v>
      </c>
      <c r="K84" s="1001">
        <f t="shared" si="25"/>
        <v>2.0400000000000001E-2</v>
      </c>
      <c r="L84" s="1001">
        <v>0</v>
      </c>
      <c r="M84" s="1001">
        <f t="shared" si="26"/>
        <v>-2.0400000000000001E-2</v>
      </c>
      <c r="N84" s="1001">
        <f t="shared" si="26"/>
        <v>-4.0800000000000003E-2</v>
      </c>
      <c r="Z84" s="1845"/>
      <c r="AA84" s="1895"/>
      <c r="AG84" s="1058"/>
      <c r="AK84" s="1895"/>
    </row>
    <row r="85" spans="1:37" ht="36">
      <c r="A85" s="3070" t="s">
        <v>3268</v>
      </c>
      <c r="B85" s="1262">
        <f>估价对象房地状况!G17</f>
        <v>0</v>
      </c>
      <c r="C85" s="1887" t="s">
        <v>3471</v>
      </c>
      <c r="D85" s="1002">
        <f t="shared" si="22"/>
        <v>0</v>
      </c>
      <c r="E85" s="705"/>
      <c r="F85" s="1675"/>
      <c r="G85" s="1000">
        <v>6.7999999999999996E-3</v>
      </c>
      <c r="H85" s="1003">
        <f t="shared" si="23"/>
        <v>6.7999999999999996E-3</v>
      </c>
      <c r="I85" s="3068">
        <v>0.1</v>
      </c>
      <c r="J85" s="1001">
        <f t="shared" si="24"/>
        <v>1.3599999999999999E-2</v>
      </c>
      <c r="K85" s="1001">
        <f t="shared" si="25"/>
        <v>6.7999999999999996E-3</v>
      </c>
      <c r="L85" s="1001">
        <v>0</v>
      </c>
      <c r="M85" s="1001">
        <f t="shared" si="26"/>
        <v>-6.7999999999999996E-3</v>
      </c>
      <c r="N85" s="1001">
        <f t="shared" si="26"/>
        <v>-1.3599999999999999E-2</v>
      </c>
      <c r="Z85" s="1845"/>
      <c r="AA85" s="1895"/>
      <c r="AG85" s="1058"/>
      <c r="AK85" s="1895"/>
    </row>
    <row r="86" spans="1:37" ht="14.25">
      <c r="A86" s="1970" t="s">
        <v>2067</v>
      </c>
      <c r="B86" s="1262">
        <f>估价对象房地状况!G22</f>
        <v>0</v>
      </c>
      <c r="C86" s="1887" t="s">
        <v>3471</v>
      </c>
      <c r="D86" s="1002">
        <f t="shared" si="22"/>
        <v>0</v>
      </c>
      <c r="E86" s="705"/>
      <c r="F86" s="1675"/>
      <c r="G86" s="1000">
        <v>3.3999999999999998E-3</v>
      </c>
      <c r="H86" s="1003">
        <f t="shared" si="23"/>
        <v>3.3999999999999998E-3</v>
      </c>
      <c r="I86" s="3068">
        <v>0.05</v>
      </c>
      <c r="J86" s="1001">
        <f t="shared" si="24"/>
        <v>6.7999999999999996E-3</v>
      </c>
      <c r="K86" s="1001">
        <f t="shared" si="25"/>
        <v>3.3999999999999998E-3</v>
      </c>
      <c r="L86" s="1001">
        <v>0</v>
      </c>
      <c r="M86" s="1001">
        <f t="shared" si="26"/>
        <v>-3.3999999999999998E-3</v>
      </c>
      <c r="N86" s="1001">
        <f t="shared" si="26"/>
        <v>-6.7999999999999996E-3</v>
      </c>
      <c r="Z86" s="1845"/>
      <c r="AA86" s="1895"/>
      <c r="AG86" s="1058"/>
      <c r="AK86" s="1895"/>
    </row>
    <row r="87" spans="1:37" ht="25.5">
      <c r="A87" s="1970" t="s">
        <v>2059</v>
      </c>
      <c r="B87" s="1240" t="str">
        <f>估价对象房地状况!G19</f>
        <v>估价对象所在区域公共配套设施齐备情况</v>
      </c>
      <c r="C87" s="1887" t="s">
        <v>3471</v>
      </c>
      <c r="D87" s="1002">
        <f t="shared" si="22"/>
        <v>0</v>
      </c>
      <c r="E87" s="705"/>
      <c r="F87" s="1675"/>
      <c r="G87" s="1000">
        <v>4.0000000000000001E-3</v>
      </c>
      <c r="H87" s="1003">
        <f t="shared" si="23"/>
        <v>4.0000000000000001E-3</v>
      </c>
      <c r="I87" s="3068">
        <v>0.06</v>
      </c>
      <c r="J87" s="1001">
        <f t="shared" si="24"/>
        <v>8.0000000000000002E-3</v>
      </c>
      <c r="K87" s="1001">
        <f t="shared" si="25"/>
        <v>4.0000000000000001E-3</v>
      </c>
      <c r="L87" s="1001">
        <v>0</v>
      </c>
      <c r="M87" s="1001">
        <f t="shared" si="26"/>
        <v>-4.0000000000000001E-3</v>
      </c>
      <c r="N87" s="1001">
        <f t="shared" si="26"/>
        <v>-8.0000000000000002E-3</v>
      </c>
    </row>
    <row r="88" spans="1:37" ht="25.5">
      <c r="A88" s="1970" t="s">
        <v>2060</v>
      </c>
      <c r="B88" s="1240" t="str">
        <f>估价对象房地状况!G20</f>
        <v>估价对象所在区域基础设施水平</v>
      </c>
      <c r="C88" s="1887" t="s">
        <v>3471</v>
      </c>
      <c r="D88" s="1002">
        <f t="shared" si="22"/>
        <v>0</v>
      </c>
      <c r="E88" s="705"/>
      <c r="F88" s="1675"/>
      <c r="G88" s="1000">
        <v>8.0999999999999996E-3</v>
      </c>
      <c r="H88" s="1003">
        <f t="shared" si="23"/>
        <v>8.0999999999999996E-3</v>
      </c>
      <c r="I88" s="3068">
        <v>0.12</v>
      </c>
      <c r="J88" s="1001">
        <f t="shared" si="24"/>
        <v>1.6199999999999999E-2</v>
      </c>
      <c r="K88" s="1001">
        <f t="shared" si="25"/>
        <v>8.0999999999999996E-3</v>
      </c>
      <c r="L88" s="1001">
        <v>0</v>
      </c>
      <c r="M88" s="1001">
        <f t="shared" si="26"/>
        <v>-8.0999999999999996E-3</v>
      </c>
      <c r="N88" s="1001">
        <f t="shared" si="26"/>
        <v>-1.6199999999999999E-2</v>
      </c>
    </row>
    <row r="89" spans="1:37" ht="24">
      <c r="A89" s="1970" t="s">
        <v>2057</v>
      </c>
      <c r="B89" s="1975" t="s">
        <v>2071</v>
      </c>
      <c r="C89" s="1887" t="s">
        <v>3472</v>
      </c>
      <c r="D89" s="1002">
        <f t="shared" si="22"/>
        <v>4.0000000000000001E-3</v>
      </c>
      <c r="E89" s="705"/>
      <c r="F89" s="1675"/>
      <c r="G89" s="1000">
        <v>4.0000000000000001E-3</v>
      </c>
      <c r="H89" s="1003">
        <f t="shared" si="23"/>
        <v>4.0000000000000001E-3</v>
      </c>
      <c r="I89" s="3068">
        <v>0.06</v>
      </c>
      <c r="J89" s="1001">
        <f t="shared" si="24"/>
        <v>8.0000000000000002E-3</v>
      </c>
      <c r="K89" s="1001">
        <f t="shared" si="25"/>
        <v>4.0000000000000001E-3</v>
      </c>
      <c r="L89" s="1001">
        <v>0</v>
      </c>
      <c r="M89" s="1001">
        <f t="shared" si="26"/>
        <v>-4.0000000000000001E-3</v>
      </c>
      <c r="N89" s="1001">
        <f t="shared" si="26"/>
        <v>-8.0000000000000002E-3</v>
      </c>
    </row>
    <row r="90" spans="1:37" ht="39" thickBot="1">
      <c r="A90" s="1977" t="s">
        <v>2072</v>
      </c>
      <c r="B90" s="1982" t="str">
        <f>估价对象房地状况!G18</f>
        <v>该园区内是否有污染型企业，绿化情况，卫生条件，整体环境状况判断</v>
      </c>
      <c r="C90" s="1887" t="s">
        <v>3471</v>
      </c>
      <c r="D90" s="1002">
        <f t="shared" si="22"/>
        <v>0</v>
      </c>
      <c r="E90" s="706"/>
      <c r="F90" s="1675"/>
      <c r="G90" s="1000">
        <v>3.3999999999999998E-3</v>
      </c>
      <c r="H90" s="1003">
        <f t="shared" si="23"/>
        <v>3.3999999999999998E-3</v>
      </c>
      <c r="I90" s="3069">
        <v>0.05</v>
      </c>
      <c r="J90" s="1001">
        <f t="shared" si="24"/>
        <v>6.7999999999999996E-3</v>
      </c>
      <c r="K90" s="1001">
        <f t="shared" si="25"/>
        <v>3.3999999999999998E-3</v>
      </c>
      <c r="L90" s="1001">
        <v>0</v>
      </c>
      <c r="M90" s="1001">
        <f t="shared" si="26"/>
        <v>-3.3999999999999998E-3</v>
      </c>
      <c r="N90" s="1001">
        <f t="shared" si="26"/>
        <v>-6.7999999999999996E-3</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89" t="s">
        <v>3292</v>
      </c>
      <c r="B103" s="3489"/>
      <c r="C103" s="3489"/>
      <c r="D103" s="3489"/>
      <c r="E103" s="3489"/>
      <c r="F103" s="3489"/>
      <c r="G103" s="3489"/>
      <c r="H103" s="3489"/>
      <c r="I103" s="3489"/>
      <c r="J103" s="3489"/>
      <c r="K103" s="1667"/>
      <c r="L103" s="1667"/>
      <c r="M103" s="1667"/>
      <c r="N103" s="1667"/>
    </row>
    <row r="104" spans="1:14">
      <c r="A104" s="3490" t="s">
        <v>3293</v>
      </c>
      <c r="B104" s="3490" t="s">
        <v>3294</v>
      </c>
      <c r="C104" s="3090" t="s">
        <v>3295</v>
      </c>
      <c r="D104" s="3091"/>
      <c r="E104" s="3091"/>
      <c r="F104" s="3091"/>
      <c r="G104" s="3091"/>
      <c r="H104" s="3091"/>
      <c r="I104" s="3091"/>
      <c r="J104" s="3092"/>
      <c r="K104" s="3093"/>
      <c r="L104" s="3093"/>
      <c r="M104" s="3093"/>
      <c r="N104" s="3093"/>
    </row>
    <row r="105" spans="1:14">
      <c r="A105" s="3490"/>
      <c r="B105" s="3490"/>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6"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3309</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3310</v>
      </c>
      <c r="B116" s="3114">
        <f>G3</f>
        <v>1</v>
      </c>
      <c r="C116" s="3099" t="s">
        <v>3311</v>
      </c>
      <c r="D116" s="3100">
        <f>SUMPRODUCT((A118:A122=F116)*(B117:M117=H116)*B118:M122)</f>
        <v>0.57150000000000001</v>
      </c>
      <c r="E116" s="162" t="s">
        <v>3312</v>
      </c>
      <c r="F116" s="3101" t="str">
        <f>E2</f>
        <v>工业</v>
      </c>
      <c r="G116" s="162" t="s">
        <v>3313</v>
      </c>
      <c r="H116" s="3101" t="str">
        <f>G2</f>
        <v>十一级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5">I118</f>
        <v>0.8306</v>
      </c>
      <c r="K118" s="3089">
        <f t="shared" si="35"/>
        <v>0.8306</v>
      </c>
      <c r="L118" s="3089">
        <f t="shared" si="35"/>
        <v>0.8306</v>
      </c>
      <c r="M118" s="3109">
        <f t="shared" si="35"/>
        <v>0.8306</v>
      </c>
      <c r="N118" s="3097"/>
    </row>
    <row r="119" spans="1:14">
      <c r="A119" s="3057" t="s">
        <v>3327</v>
      </c>
      <c r="B119" s="3089">
        <f>ROUND(0.993-0.0112*B116,4)</f>
        <v>0.98180000000000001</v>
      </c>
      <c r="C119" s="3089">
        <f>B119</f>
        <v>0.98180000000000001</v>
      </c>
      <c r="D119" s="3089">
        <f>ROUND(0.9415-0.0142*B116,4)</f>
        <v>0.92730000000000001</v>
      </c>
      <c r="E119" s="3089">
        <f t="shared" ref="E119:H120" si="36">D119</f>
        <v>0.92730000000000001</v>
      </c>
      <c r="F119" s="3089">
        <f t="shared" si="36"/>
        <v>0.92730000000000001</v>
      </c>
      <c r="G119" s="3089">
        <f t="shared" si="36"/>
        <v>0.92730000000000001</v>
      </c>
      <c r="H119" s="3089">
        <f t="shared" si="36"/>
        <v>0.92730000000000001</v>
      </c>
      <c r="I119" s="3089">
        <f>ROUND(0.838-0.0182*B116,4)</f>
        <v>0.81979999999999997</v>
      </c>
      <c r="J119" s="3089">
        <f t="shared" si="35"/>
        <v>0.81979999999999997</v>
      </c>
      <c r="K119" s="3089">
        <f t="shared" si="35"/>
        <v>0.81979999999999997</v>
      </c>
      <c r="L119" s="3089">
        <f t="shared" si="35"/>
        <v>0.81979999999999997</v>
      </c>
      <c r="M119" s="3109">
        <f t="shared" si="35"/>
        <v>0.81979999999999997</v>
      </c>
      <c r="N119" s="3097"/>
    </row>
    <row r="120" spans="1:14">
      <c r="A120" s="3057" t="s">
        <v>3328</v>
      </c>
      <c r="B120" s="3089">
        <f>ROUND(0.9448-0.0115*B116,4)</f>
        <v>0.93330000000000002</v>
      </c>
      <c r="C120" s="3089">
        <f>B120</f>
        <v>0.93330000000000002</v>
      </c>
      <c r="D120" s="3089">
        <f>ROUND(0.937-0.0145*B116,4)</f>
        <v>0.92249999999999999</v>
      </c>
      <c r="E120" s="3089">
        <f t="shared" si="36"/>
        <v>0.92249999999999999</v>
      </c>
      <c r="F120" s="3089">
        <f t="shared" si="36"/>
        <v>0.92249999999999999</v>
      </c>
      <c r="G120" s="3089">
        <f t="shared" si="36"/>
        <v>0.92249999999999999</v>
      </c>
      <c r="H120" s="3089">
        <f t="shared" si="36"/>
        <v>0.92249999999999999</v>
      </c>
      <c r="I120" s="3089">
        <f>ROUND(0.7965-0.0185*B116,4)</f>
        <v>0.77800000000000002</v>
      </c>
      <c r="J120" s="3089">
        <f t="shared" si="35"/>
        <v>0.77800000000000002</v>
      </c>
      <c r="K120" s="3089">
        <f t="shared" si="35"/>
        <v>0.77800000000000002</v>
      </c>
      <c r="L120" s="3089">
        <f t="shared" si="35"/>
        <v>0.77800000000000002</v>
      </c>
      <c r="M120" s="3109">
        <f t="shared" si="35"/>
        <v>0.77800000000000002</v>
      </c>
      <c r="N120" s="3097"/>
    </row>
    <row r="121" spans="1:14" ht="13.5" thickBot="1">
      <c r="A121" s="3110" t="s">
        <v>3329</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5"/>
        <v>0.57150000000000001</v>
      </c>
      <c r="K121" s="3111">
        <f t="shared" si="35"/>
        <v>0.57150000000000001</v>
      </c>
      <c r="L121" s="3111">
        <f t="shared" si="35"/>
        <v>0.57150000000000001</v>
      </c>
      <c r="M121" s="3112">
        <f t="shared" si="35"/>
        <v>0.57150000000000001</v>
      </c>
      <c r="N121" s="3097"/>
    </row>
    <row r="122" spans="1:14">
      <c r="A122" s="3113" t="s">
        <v>2612</v>
      </c>
      <c r="B122" s="3089">
        <f>ROUND(0.9404-0.0106*B116,4)</f>
        <v>0.92979999999999996</v>
      </c>
      <c r="C122" s="3089">
        <f>B122</f>
        <v>0.92979999999999996</v>
      </c>
      <c r="D122" s="3089">
        <f>ROUND(0.8955-0.0135*B116,4)</f>
        <v>0.88200000000000001</v>
      </c>
      <c r="E122" s="3089">
        <f t="shared" ref="E122:H122" si="37">D122</f>
        <v>0.88200000000000001</v>
      </c>
      <c r="F122" s="3089">
        <f t="shared" si="37"/>
        <v>0.88200000000000001</v>
      </c>
      <c r="G122" s="3089">
        <f t="shared" si="37"/>
        <v>0.88200000000000001</v>
      </c>
      <c r="H122" s="3089">
        <f t="shared" si="37"/>
        <v>0.88200000000000001</v>
      </c>
      <c r="I122" s="3089">
        <f>ROUND(0.7632-0.0166*B116,4)</f>
        <v>0.74660000000000004</v>
      </c>
      <c r="J122" s="3089">
        <f t="shared" si="35"/>
        <v>0.74660000000000004</v>
      </c>
      <c r="K122" s="3089">
        <f t="shared" si="35"/>
        <v>0.74660000000000004</v>
      </c>
      <c r="L122" s="3089">
        <f t="shared" si="35"/>
        <v>0.74660000000000004</v>
      </c>
      <c r="M122" s="3109">
        <f t="shared" si="35"/>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518A7-1293-4DD6-B5C8-4FABDBDB14AC}">
  <dimension ref="L4:V47"/>
  <sheetViews>
    <sheetView workbookViewId="0">
      <selection activeCell="O34" sqref="O34"/>
    </sheetView>
  </sheetViews>
  <sheetFormatPr defaultRowHeight="13.5"/>
  <cols>
    <col min="13" max="13" width="42.625" bestFit="1" customWidth="1"/>
  </cols>
  <sheetData>
    <row r="4" spans="12:22">
      <c r="L4">
        <v>1</v>
      </c>
      <c r="M4" s="1405" t="s">
        <v>3443</v>
      </c>
      <c r="N4">
        <v>185.32</v>
      </c>
      <c r="O4" s="1405" t="s">
        <v>3426</v>
      </c>
      <c r="R4">
        <v>1</v>
      </c>
      <c r="S4">
        <v>185.32</v>
      </c>
      <c r="T4">
        <v>1997</v>
      </c>
      <c r="U4" s="1405" t="s">
        <v>3455</v>
      </c>
      <c r="V4" s="3171">
        <f>1-(1-2%)*(2026-T4)/50</f>
        <v>0.43159999999999998</v>
      </c>
    </row>
    <row r="5" spans="12:22">
      <c r="L5">
        <v>2</v>
      </c>
      <c r="M5" s="1405" t="s">
        <v>3431</v>
      </c>
      <c r="N5">
        <v>161.99</v>
      </c>
      <c r="O5" s="1405" t="s">
        <v>3426</v>
      </c>
      <c r="R5">
        <v>2</v>
      </c>
      <c r="S5">
        <v>161.99</v>
      </c>
      <c r="T5">
        <v>1997</v>
      </c>
      <c r="U5" s="1405" t="s">
        <v>3455</v>
      </c>
      <c r="V5" s="3171">
        <f t="shared" ref="V5:V30" si="0">1-(1-2%)*(2026-T5)/50</f>
        <v>0.43159999999999998</v>
      </c>
    </row>
    <row r="6" spans="12:22">
      <c r="L6">
        <v>3</v>
      </c>
      <c r="M6" s="1405" t="s">
        <v>3447</v>
      </c>
      <c r="N6">
        <v>120.72</v>
      </c>
      <c r="O6" s="1405" t="s">
        <v>3426</v>
      </c>
      <c r="R6">
        <v>3</v>
      </c>
      <c r="S6">
        <v>120.72</v>
      </c>
      <c r="T6">
        <v>1997</v>
      </c>
      <c r="U6" s="1405" t="s">
        <v>3455</v>
      </c>
      <c r="V6" s="3171">
        <f t="shared" si="0"/>
        <v>0.43159999999999998</v>
      </c>
    </row>
    <row r="7" spans="12:22">
      <c r="L7">
        <v>4</v>
      </c>
      <c r="M7" s="1405" t="s">
        <v>3454</v>
      </c>
      <c r="N7">
        <v>454.7</v>
      </c>
      <c r="O7" s="1405" t="s">
        <v>3426</v>
      </c>
      <c r="R7">
        <v>4</v>
      </c>
      <c r="S7">
        <v>454.7</v>
      </c>
      <c r="T7">
        <v>1983</v>
      </c>
      <c r="U7" s="1405" t="s">
        <v>3456</v>
      </c>
      <c r="V7" s="3171">
        <f t="shared" si="0"/>
        <v>0.15720000000000001</v>
      </c>
    </row>
    <row r="8" spans="12:22">
      <c r="L8">
        <v>5</v>
      </c>
      <c r="M8" s="1405" t="s">
        <v>3430</v>
      </c>
      <c r="N8">
        <v>257.8</v>
      </c>
      <c r="O8" s="1405" t="s">
        <v>3426</v>
      </c>
      <c r="R8">
        <v>5</v>
      </c>
      <c r="S8">
        <v>257.8</v>
      </c>
      <c r="T8">
        <v>1983</v>
      </c>
      <c r="U8" s="1405" t="s">
        <v>3456</v>
      </c>
      <c r="V8" s="3171">
        <f t="shared" si="0"/>
        <v>0.15720000000000001</v>
      </c>
    </row>
    <row r="9" spans="12:22">
      <c r="L9">
        <v>6</v>
      </c>
      <c r="M9" s="1405" t="s">
        <v>3450</v>
      </c>
      <c r="N9">
        <v>192.6</v>
      </c>
      <c r="O9" s="1405" t="s">
        <v>3426</v>
      </c>
      <c r="R9">
        <v>6</v>
      </c>
      <c r="S9">
        <v>192.6</v>
      </c>
      <c r="T9">
        <v>1983</v>
      </c>
      <c r="U9" s="1405" t="s">
        <v>3456</v>
      </c>
      <c r="V9" s="3171">
        <f t="shared" si="0"/>
        <v>0.15720000000000001</v>
      </c>
    </row>
    <row r="10" spans="12:22">
      <c r="L10">
        <v>7</v>
      </c>
      <c r="M10" s="1405" t="s">
        <v>3442</v>
      </c>
      <c r="N10">
        <v>87</v>
      </c>
      <c r="O10" s="1405" t="s">
        <v>3426</v>
      </c>
      <c r="R10">
        <v>7</v>
      </c>
      <c r="S10">
        <v>87</v>
      </c>
      <c r="T10">
        <v>1987</v>
      </c>
      <c r="U10" s="1405" t="s">
        <v>3455</v>
      </c>
      <c r="V10" s="3171">
        <f t="shared" si="0"/>
        <v>0.23560000000000003</v>
      </c>
    </row>
    <row r="11" spans="12:22">
      <c r="L11">
        <v>8</v>
      </c>
      <c r="M11" s="1405" t="s">
        <v>3433</v>
      </c>
      <c r="N11">
        <v>717.2</v>
      </c>
      <c r="O11" s="1405" t="s">
        <v>3426</v>
      </c>
      <c r="R11">
        <v>8</v>
      </c>
      <c r="S11">
        <v>717.2</v>
      </c>
      <c r="T11">
        <v>1987</v>
      </c>
      <c r="U11" s="1405" t="s">
        <v>3455</v>
      </c>
      <c r="V11" s="3171">
        <f t="shared" si="0"/>
        <v>0.23560000000000003</v>
      </c>
    </row>
    <row r="12" spans="12:22">
      <c r="L12">
        <v>9</v>
      </c>
      <c r="M12" s="1405" t="s">
        <v>3436</v>
      </c>
      <c r="N12">
        <v>923.1</v>
      </c>
      <c r="O12" s="1405" t="s">
        <v>3426</v>
      </c>
      <c r="R12">
        <v>9</v>
      </c>
      <c r="S12">
        <v>923.1</v>
      </c>
      <c r="T12">
        <v>1987</v>
      </c>
      <c r="U12" s="1405" t="s">
        <v>3455</v>
      </c>
      <c r="V12" s="3171">
        <f t="shared" si="0"/>
        <v>0.23560000000000003</v>
      </c>
    </row>
    <row r="13" spans="12:22">
      <c r="L13">
        <v>10</v>
      </c>
      <c r="M13" s="1405" t="s">
        <v>3448</v>
      </c>
      <c r="N13">
        <v>28.1</v>
      </c>
      <c r="O13" s="1405" t="s">
        <v>3426</v>
      </c>
      <c r="R13">
        <v>10</v>
      </c>
      <c r="S13">
        <v>28.1</v>
      </c>
      <c r="T13">
        <v>1987</v>
      </c>
      <c r="U13" s="1405" t="s">
        <v>3455</v>
      </c>
      <c r="V13" s="3171">
        <f t="shared" si="0"/>
        <v>0.23560000000000003</v>
      </c>
    </row>
    <row r="14" spans="12:22">
      <c r="L14">
        <v>11</v>
      </c>
      <c r="M14" s="1405" t="s">
        <v>3434</v>
      </c>
      <c r="N14">
        <v>923.1</v>
      </c>
      <c r="O14" s="1405" t="s">
        <v>3426</v>
      </c>
      <c r="R14">
        <v>11</v>
      </c>
      <c r="S14">
        <v>923.1</v>
      </c>
      <c r="T14">
        <v>1987</v>
      </c>
      <c r="U14" s="1405" t="s">
        <v>3455</v>
      </c>
      <c r="V14" s="3171">
        <f t="shared" si="0"/>
        <v>0.23560000000000003</v>
      </c>
    </row>
    <row r="15" spans="12:22">
      <c r="L15">
        <v>12</v>
      </c>
      <c r="M15" s="1405" t="s">
        <v>3445</v>
      </c>
      <c r="N15">
        <v>28.1</v>
      </c>
      <c r="O15" s="1405" t="s">
        <v>3426</v>
      </c>
      <c r="R15">
        <v>12</v>
      </c>
      <c r="S15">
        <v>28.1</v>
      </c>
      <c r="T15">
        <v>1987</v>
      </c>
      <c r="U15" s="1405" t="s">
        <v>3455</v>
      </c>
      <c r="V15" s="3171">
        <f t="shared" si="0"/>
        <v>0.23560000000000003</v>
      </c>
    </row>
    <row r="16" spans="12:22">
      <c r="L16">
        <v>13</v>
      </c>
      <c r="M16" s="1405" t="s">
        <v>3438</v>
      </c>
      <c r="N16">
        <v>923.1</v>
      </c>
      <c r="O16" s="1405" t="s">
        <v>3426</v>
      </c>
      <c r="R16">
        <v>13</v>
      </c>
      <c r="S16">
        <v>923.1</v>
      </c>
      <c r="T16">
        <v>1987</v>
      </c>
      <c r="U16" s="1405" t="s">
        <v>3455</v>
      </c>
      <c r="V16" s="3171">
        <f t="shared" si="0"/>
        <v>0.23560000000000003</v>
      </c>
    </row>
    <row r="17" spans="12:22">
      <c r="L17">
        <v>14</v>
      </c>
      <c r="M17" s="1405" t="s">
        <v>3449</v>
      </c>
      <c r="N17">
        <v>16.5</v>
      </c>
      <c r="O17" s="1405" t="s">
        <v>3426</v>
      </c>
      <c r="R17">
        <v>14</v>
      </c>
      <c r="S17">
        <v>16.5</v>
      </c>
      <c r="T17">
        <v>1987</v>
      </c>
      <c r="U17" s="1405" t="s">
        <v>3455</v>
      </c>
      <c r="V17" s="3171">
        <f t="shared" si="0"/>
        <v>0.23560000000000003</v>
      </c>
    </row>
    <row r="18" spans="12:22">
      <c r="L18">
        <v>15</v>
      </c>
      <c r="M18" s="1405" t="s">
        <v>3437</v>
      </c>
      <c r="N18">
        <v>158.4</v>
      </c>
      <c r="O18" s="1405" t="s">
        <v>3426</v>
      </c>
      <c r="R18">
        <v>15</v>
      </c>
      <c r="S18">
        <v>158.4</v>
      </c>
      <c r="T18">
        <v>1987</v>
      </c>
      <c r="U18" s="1405" t="s">
        <v>3456</v>
      </c>
      <c r="V18" s="3171">
        <f t="shared" si="0"/>
        <v>0.23560000000000003</v>
      </c>
    </row>
    <row r="19" spans="12:22">
      <c r="L19">
        <v>16</v>
      </c>
      <c r="M19" s="1405" t="s">
        <v>3432</v>
      </c>
      <c r="N19">
        <v>47.2</v>
      </c>
      <c r="O19" s="1405" t="s">
        <v>3426</v>
      </c>
      <c r="R19">
        <v>16</v>
      </c>
      <c r="S19">
        <v>47.2</v>
      </c>
      <c r="T19">
        <v>1987</v>
      </c>
      <c r="U19" s="1405" t="s">
        <v>3455</v>
      </c>
      <c r="V19" s="3171">
        <f t="shared" si="0"/>
        <v>0.23560000000000003</v>
      </c>
    </row>
    <row r="20" spans="12:22">
      <c r="L20">
        <v>17</v>
      </c>
      <c r="M20" s="1405" t="s">
        <v>3429</v>
      </c>
      <c r="N20">
        <v>73.400000000000006</v>
      </c>
      <c r="O20" s="1405" t="s">
        <v>3426</v>
      </c>
      <c r="R20">
        <v>17</v>
      </c>
      <c r="S20">
        <v>73.400000000000006</v>
      </c>
      <c r="T20">
        <v>1987</v>
      </c>
      <c r="U20" s="1405" t="s">
        <v>3456</v>
      </c>
      <c r="V20" s="3171">
        <f t="shared" si="0"/>
        <v>0.23560000000000003</v>
      </c>
    </row>
    <row r="21" spans="12:22">
      <c r="L21">
        <v>18</v>
      </c>
      <c r="M21" s="1405" t="s">
        <v>3444</v>
      </c>
      <c r="N21">
        <v>23.7</v>
      </c>
      <c r="O21" s="1405" t="s">
        <v>3426</v>
      </c>
      <c r="R21">
        <v>18</v>
      </c>
      <c r="S21">
        <v>23.7</v>
      </c>
      <c r="T21">
        <v>1987</v>
      </c>
      <c r="U21" s="1405" t="s">
        <v>3455</v>
      </c>
      <c r="V21" s="3171">
        <f t="shared" si="0"/>
        <v>0.23560000000000003</v>
      </c>
    </row>
    <row r="22" spans="12:22">
      <c r="L22">
        <v>19</v>
      </c>
      <c r="M22" s="1405" t="s">
        <v>3427</v>
      </c>
      <c r="N22">
        <v>99.35</v>
      </c>
      <c r="O22" s="1405" t="s">
        <v>3426</v>
      </c>
      <c r="R22">
        <v>19</v>
      </c>
      <c r="S22">
        <v>99.35</v>
      </c>
      <c r="T22">
        <v>1987</v>
      </c>
      <c r="U22" s="1405" t="s">
        <v>3456</v>
      </c>
      <c r="V22" s="3171">
        <f t="shared" si="0"/>
        <v>0.23560000000000003</v>
      </c>
    </row>
    <row r="23" spans="12:22">
      <c r="L23">
        <v>20</v>
      </c>
      <c r="M23" s="1405" t="s">
        <v>3446</v>
      </c>
      <c r="N23">
        <v>54.8</v>
      </c>
      <c r="O23" s="1405" t="s">
        <v>3426</v>
      </c>
      <c r="R23">
        <v>20</v>
      </c>
      <c r="S23">
        <v>54.8</v>
      </c>
      <c r="T23">
        <v>1987</v>
      </c>
      <c r="U23" s="1405" t="s">
        <v>3455</v>
      </c>
      <c r="V23" s="3171">
        <f t="shared" si="0"/>
        <v>0.23560000000000003</v>
      </c>
    </row>
    <row r="24" spans="12:22">
      <c r="L24">
        <v>21</v>
      </c>
      <c r="M24" s="1405" t="s">
        <v>3451</v>
      </c>
      <c r="N24">
        <v>134.69</v>
      </c>
      <c r="O24" s="1405" t="s">
        <v>3426</v>
      </c>
      <c r="R24">
        <v>21</v>
      </c>
      <c r="S24">
        <v>134.69</v>
      </c>
      <c r="T24">
        <v>1997</v>
      </c>
      <c r="U24" s="1405" t="s">
        <v>3455</v>
      </c>
      <c r="V24" s="3171">
        <f t="shared" si="0"/>
        <v>0.43159999999999998</v>
      </c>
    </row>
    <row r="25" spans="12:22">
      <c r="L25">
        <v>22</v>
      </c>
      <c r="M25" s="1405" t="s">
        <v>3435</v>
      </c>
      <c r="N25">
        <v>362.63</v>
      </c>
      <c r="O25" s="1405" t="s">
        <v>3426</v>
      </c>
      <c r="R25">
        <v>22</v>
      </c>
      <c r="S25">
        <v>362.63</v>
      </c>
      <c r="T25">
        <v>2000</v>
      </c>
      <c r="U25" s="1405" t="s">
        <v>3456</v>
      </c>
      <c r="V25" s="3171">
        <f t="shared" si="0"/>
        <v>0.49039999999999995</v>
      </c>
    </row>
    <row r="26" spans="12:22">
      <c r="L26">
        <v>23</v>
      </c>
      <c r="M26" s="1405" t="s">
        <v>3441</v>
      </c>
      <c r="N26">
        <v>180.96</v>
      </c>
      <c r="O26" s="1405" t="s">
        <v>3426</v>
      </c>
      <c r="R26">
        <v>23</v>
      </c>
      <c r="S26">
        <v>180.96</v>
      </c>
      <c r="T26">
        <v>1997</v>
      </c>
      <c r="U26" s="1405" t="s">
        <v>3455</v>
      </c>
      <c r="V26" s="3171">
        <f t="shared" si="0"/>
        <v>0.43159999999999998</v>
      </c>
    </row>
    <row r="27" spans="12:22">
      <c r="L27">
        <v>24</v>
      </c>
      <c r="M27" s="1405" t="s">
        <v>3428</v>
      </c>
      <c r="N27">
        <v>126.05</v>
      </c>
      <c r="O27" s="1405" t="s">
        <v>3426</v>
      </c>
      <c r="R27">
        <v>24</v>
      </c>
      <c r="S27">
        <v>126.05</v>
      </c>
      <c r="T27">
        <v>1987</v>
      </c>
      <c r="U27" s="1405" t="s">
        <v>3455</v>
      </c>
      <c r="V27" s="3171">
        <f t="shared" si="0"/>
        <v>0.23560000000000003</v>
      </c>
    </row>
    <row r="28" spans="12:22">
      <c r="L28">
        <v>25</v>
      </c>
      <c r="M28" s="1405" t="s">
        <v>3439</v>
      </c>
      <c r="N28">
        <v>56.2</v>
      </c>
      <c r="O28" s="1405" t="s">
        <v>3426</v>
      </c>
      <c r="R28">
        <v>25</v>
      </c>
      <c r="S28">
        <v>56.2</v>
      </c>
      <c r="T28">
        <v>1987</v>
      </c>
      <c r="U28" s="1405" t="s">
        <v>3455</v>
      </c>
      <c r="V28" s="3171">
        <f t="shared" si="0"/>
        <v>0.23560000000000003</v>
      </c>
    </row>
    <row r="29" spans="12:22">
      <c r="L29">
        <v>26</v>
      </c>
      <c r="M29" s="1405" t="s">
        <v>3425</v>
      </c>
      <c r="N29">
        <v>64.739999999999995</v>
      </c>
      <c r="O29" s="1405" t="s">
        <v>3426</v>
      </c>
      <c r="R29">
        <v>26</v>
      </c>
      <c r="S29">
        <v>64.739999999999995</v>
      </c>
      <c r="T29">
        <v>2000</v>
      </c>
      <c r="U29" s="1405" t="s">
        <v>3455</v>
      </c>
      <c r="V29" s="3171">
        <f t="shared" si="0"/>
        <v>0.49039999999999995</v>
      </c>
    </row>
    <row r="30" spans="12:22">
      <c r="L30">
        <v>27</v>
      </c>
      <c r="M30" s="1405" t="s">
        <v>3440</v>
      </c>
      <c r="N30">
        <v>19.09</v>
      </c>
      <c r="O30" s="1405" t="s">
        <v>3426</v>
      </c>
      <c r="R30">
        <v>27</v>
      </c>
      <c r="S30">
        <v>19.09</v>
      </c>
      <c r="T30">
        <v>1997</v>
      </c>
      <c r="U30" s="1405" t="s">
        <v>3455</v>
      </c>
      <c r="V30" s="3171">
        <f t="shared" si="0"/>
        <v>0.43159999999999998</v>
      </c>
    </row>
    <row r="31" spans="12:22">
      <c r="N31" s="3170">
        <f>SUM(N4:N30)</f>
        <v>6420.5399999999991</v>
      </c>
      <c r="O31">
        <v>0.15</v>
      </c>
      <c r="P31">
        <f>O31*N31</f>
        <v>963.08099999999979</v>
      </c>
      <c r="S31">
        <f>SUM(S4:S30)</f>
        <v>6420.5399999999991</v>
      </c>
    </row>
    <row r="32" spans="12:22">
      <c r="M32" s="1405" t="s">
        <v>3484</v>
      </c>
      <c r="N32" s="1405">
        <v>6036.14</v>
      </c>
    </row>
    <row r="33" spans="13:16">
      <c r="M33" s="1405" t="s">
        <v>3485</v>
      </c>
      <c r="N33">
        <f>'数据-汇总表'!D3</f>
        <v>12462.11</v>
      </c>
    </row>
    <row r="34" spans="13:16">
      <c r="M34" s="1405" t="s">
        <v>3486</v>
      </c>
      <c r="N34">
        <f>N33-N32</f>
        <v>6425.97</v>
      </c>
      <c r="O34">
        <v>0.05</v>
      </c>
      <c r="P34">
        <f>O34*N34</f>
        <v>321.29850000000005</v>
      </c>
    </row>
    <row r="35" spans="13:16">
      <c r="N35">
        <f>P35/N31</f>
        <v>0.20004228616284611</v>
      </c>
      <c r="P35">
        <f>P31+P34</f>
        <v>1284.3794999999998</v>
      </c>
    </row>
    <row r="42" spans="13:16">
      <c r="M42" s="3527" t="s">
        <v>3487</v>
      </c>
    </row>
    <row r="43" spans="13:16">
      <c r="M43" s="1405" t="s">
        <v>3474</v>
      </c>
      <c r="N43">
        <v>157500</v>
      </c>
      <c r="O43" s="1405" t="s">
        <v>3475</v>
      </c>
    </row>
    <row r="44" spans="13:16">
      <c r="M44" s="1405" t="s">
        <v>3476</v>
      </c>
      <c r="N44">
        <v>52500</v>
      </c>
      <c r="O44" s="1405" t="s">
        <v>3475</v>
      </c>
    </row>
    <row r="45" spans="13:16">
      <c r="M45" s="1405" t="s">
        <v>3477</v>
      </c>
      <c r="N45">
        <v>52500</v>
      </c>
      <c r="O45" s="1405" t="s">
        <v>3475</v>
      </c>
    </row>
    <row r="46" spans="13:16">
      <c r="N46">
        <f>SUM(N43:N45)</f>
        <v>262500</v>
      </c>
    </row>
    <row r="47" spans="13:16">
      <c r="N47">
        <f>ROUND(N46/365/N31,2)</f>
        <v>0.11</v>
      </c>
    </row>
  </sheetData>
  <sortState xmlns:xlrd2="http://schemas.microsoft.com/office/spreadsheetml/2017/richdata2" ref="L4:O30">
    <sortCondition ref="L3:L30"/>
  </sortState>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05" t="s">
        <v>2607</v>
      </c>
      <c r="B20" s="3495" t="s">
        <v>2628</v>
      </c>
      <c r="C20" s="3168" t="s">
        <v>2439</v>
      </c>
      <c r="D20" s="3168"/>
      <c r="E20" s="2845">
        <v>1</v>
      </c>
      <c r="F20" s="2846" t="s">
        <v>2440</v>
      </c>
      <c r="G20" s="2846"/>
    </row>
    <row r="21" spans="1:13" ht="19.5" customHeight="1">
      <c r="A21" s="3506"/>
      <c r="B21" s="3496"/>
      <c r="C21" s="2858" t="s">
        <v>2441</v>
      </c>
      <c r="D21" s="2858"/>
      <c r="E21" s="2849">
        <v>1</v>
      </c>
      <c r="F21" s="2846" t="s">
        <v>2442</v>
      </c>
      <c r="G21" s="2846"/>
    </row>
    <row r="22" spans="1:13" ht="19.5" customHeight="1">
      <c r="A22" s="3506"/>
      <c r="B22" s="3496"/>
      <c r="C22" s="2858" t="s">
        <v>2443</v>
      </c>
      <c r="D22" s="2858"/>
      <c r="E22" s="2849">
        <v>0.9</v>
      </c>
      <c r="F22" s="2846" t="s">
        <v>2444</v>
      </c>
      <c r="G22" s="2846"/>
    </row>
    <row r="23" spans="1:13" ht="19.5" customHeight="1">
      <c r="A23" s="3506"/>
      <c r="B23" s="3496"/>
      <c r="C23" s="2858" t="s">
        <v>2445</v>
      </c>
      <c r="D23" s="2858"/>
      <c r="E23" s="2849">
        <v>0.9</v>
      </c>
      <c r="F23" s="2846" t="s">
        <v>2446</v>
      </c>
      <c r="G23" s="2846"/>
    </row>
    <row r="24" spans="1:13" ht="19.5" customHeight="1">
      <c r="A24" s="3506"/>
      <c r="B24" s="3496"/>
      <c r="C24" s="2858" t="s">
        <v>2447</v>
      </c>
      <c r="D24" s="2858"/>
      <c r="E24" s="2849">
        <v>0.8</v>
      </c>
      <c r="F24" s="2846" t="s">
        <v>2448</v>
      </c>
      <c r="G24" s="2846"/>
    </row>
    <row r="25" spans="1:13" ht="19.5" customHeight="1">
      <c r="A25" s="3506"/>
      <c r="B25" s="3496"/>
      <c r="C25" s="2858" t="s">
        <v>2449</v>
      </c>
      <c r="D25" s="2858"/>
      <c r="E25" s="2849">
        <v>0.8</v>
      </c>
      <c r="F25" s="2846"/>
      <c r="G25" s="2846"/>
    </row>
    <row r="26" spans="1:13" ht="19.5" customHeight="1">
      <c r="A26" s="3506"/>
      <c r="B26" s="3496"/>
      <c r="C26" s="2858" t="s">
        <v>3407</v>
      </c>
      <c r="D26" s="2858"/>
      <c r="E26" s="2849">
        <v>0.43</v>
      </c>
      <c r="F26" s="2846"/>
      <c r="G26" s="2846"/>
    </row>
    <row r="27" spans="1:13" ht="19.5" customHeight="1" thickBot="1">
      <c r="A27" s="3507"/>
      <c r="B27" s="3497"/>
      <c r="C27" s="3164" t="s">
        <v>3408</v>
      </c>
      <c r="D27" s="3164"/>
      <c r="E27" s="2852">
        <f>E26*0.9</f>
        <v>0.38700000000000001</v>
      </c>
      <c r="F27" s="2846" t="s">
        <v>2450</v>
      </c>
      <c r="G27" s="2846"/>
    </row>
    <row r="28" spans="1:13" ht="19.5" customHeight="1" thickBot="1">
      <c r="A28" s="3163" t="s">
        <v>2629</v>
      </c>
      <c r="B28" s="3162" t="s">
        <v>2628</v>
      </c>
      <c r="C28" s="3165" t="s">
        <v>2630</v>
      </c>
      <c r="D28" s="3166"/>
      <c r="E28" s="3167">
        <v>1</v>
      </c>
      <c r="F28" s="2846" t="s">
        <v>2451</v>
      </c>
      <c r="G28" s="2846"/>
    </row>
    <row r="29" spans="1:13" ht="19.5" customHeight="1">
      <c r="A29" s="3498" t="s">
        <v>2631</v>
      </c>
      <c r="B29" s="3501" t="s">
        <v>2612</v>
      </c>
      <c r="C29" s="2843" t="s">
        <v>2452</v>
      </c>
      <c r="D29" s="2844"/>
      <c r="E29" s="2845">
        <v>1</v>
      </c>
      <c r="F29" s="2846" t="s">
        <v>2453</v>
      </c>
      <c r="G29" s="2846"/>
    </row>
    <row r="30" spans="1:13" ht="19.5" customHeight="1">
      <c r="A30" s="3499"/>
      <c r="B30" s="3502"/>
      <c r="C30" s="2847" t="s">
        <v>2454</v>
      </c>
      <c r="D30" s="2848"/>
      <c r="E30" s="2849">
        <v>1</v>
      </c>
      <c r="F30" s="2846" t="s">
        <v>2455</v>
      </c>
      <c r="G30" s="2846"/>
    </row>
    <row r="31" spans="1:13" ht="19.5" customHeight="1">
      <c r="A31" s="3499"/>
      <c r="B31" s="3502"/>
      <c r="C31" s="2847" t="s">
        <v>2456</v>
      </c>
      <c r="D31" s="2848"/>
      <c r="E31" s="2849">
        <v>0.8</v>
      </c>
      <c r="F31" s="2846" t="s">
        <v>2457</v>
      </c>
      <c r="G31" s="2846"/>
    </row>
    <row r="32" spans="1:13" ht="19.5" customHeight="1">
      <c r="A32" s="3499"/>
      <c r="B32" s="3502"/>
      <c r="C32" s="2847" t="s">
        <v>2458</v>
      </c>
      <c r="D32" s="2848"/>
      <c r="E32" s="2849">
        <v>0.8</v>
      </c>
      <c r="F32" s="2846" t="s">
        <v>2459</v>
      </c>
      <c r="G32" s="2846"/>
    </row>
    <row r="33" spans="1:7" ht="19.5" customHeight="1">
      <c r="A33" s="3499"/>
      <c r="B33" s="3502"/>
      <c r="C33" s="2847" t="s">
        <v>2460</v>
      </c>
      <c r="D33" s="2848"/>
      <c r="E33" s="2849">
        <v>0.8</v>
      </c>
      <c r="F33" s="2846" t="s">
        <v>2461</v>
      </c>
      <c r="G33" s="2846"/>
    </row>
    <row r="34" spans="1:7" ht="19.5" customHeight="1">
      <c r="A34" s="3499"/>
      <c r="B34" s="3502"/>
      <c r="C34" s="2847" t="s">
        <v>2462</v>
      </c>
      <c r="D34" s="2848"/>
      <c r="E34" s="2849">
        <v>0.7</v>
      </c>
      <c r="F34" s="2846" t="s">
        <v>2463</v>
      </c>
      <c r="G34" s="2846"/>
    </row>
    <row r="35" spans="1:7" ht="19.5" customHeight="1">
      <c r="A35" s="3499"/>
      <c r="B35" s="3502"/>
      <c r="C35" s="2847" t="s">
        <v>2464</v>
      </c>
      <c r="D35" s="2848"/>
      <c r="E35" s="2849">
        <v>0.8</v>
      </c>
      <c r="F35" s="2846" t="s">
        <v>2465</v>
      </c>
      <c r="G35" s="2846"/>
    </row>
    <row r="36" spans="1:7" ht="19.5" customHeight="1">
      <c r="A36" s="3499"/>
      <c r="B36" s="3502"/>
      <c r="C36" s="2847" t="s">
        <v>2466</v>
      </c>
      <c r="D36" s="2848"/>
      <c r="E36" s="2849">
        <v>0.6</v>
      </c>
      <c r="F36" s="2846" t="s">
        <v>2467</v>
      </c>
      <c r="G36" s="2846"/>
    </row>
    <row r="37" spans="1:7" ht="19.5" customHeight="1">
      <c r="A37" s="3499"/>
      <c r="B37" s="3502"/>
      <c r="C37" s="2847" t="s">
        <v>2468</v>
      </c>
      <c r="D37" s="2848"/>
      <c r="E37" s="2849">
        <v>0.2</v>
      </c>
      <c r="F37" s="2846" t="s">
        <v>2469</v>
      </c>
      <c r="G37" s="2846"/>
    </row>
    <row r="38" spans="1:7" ht="19.5" customHeight="1">
      <c r="A38" s="3499"/>
      <c r="B38" s="3502"/>
      <c r="C38" s="2847" t="s">
        <v>2470</v>
      </c>
      <c r="D38" s="2848"/>
      <c r="E38" s="2849">
        <v>0.2</v>
      </c>
      <c r="F38" s="2846" t="s">
        <v>2471</v>
      </c>
      <c r="G38" s="2846"/>
    </row>
    <row r="39" spans="1:7" ht="19.5" customHeight="1">
      <c r="A39" s="3499"/>
      <c r="B39" s="3503" t="s">
        <v>2632</v>
      </c>
      <c r="C39" s="2847" t="s">
        <v>2472</v>
      </c>
      <c r="D39" s="2848"/>
      <c r="E39" s="2849">
        <v>0.6</v>
      </c>
      <c r="F39" s="2846" t="s">
        <v>2473</v>
      </c>
      <c r="G39" s="2846"/>
    </row>
    <row r="40" spans="1:7" ht="19.5" customHeight="1">
      <c r="A40" s="3499"/>
      <c r="B40" s="3502"/>
      <c r="C40" s="2847" t="s">
        <v>2474</v>
      </c>
      <c r="D40" s="2848"/>
      <c r="E40" s="2849">
        <v>0.6</v>
      </c>
      <c r="F40" s="2846" t="s">
        <v>2475</v>
      </c>
      <c r="G40" s="2846"/>
    </row>
    <row r="41" spans="1:7" ht="19.5" customHeight="1" thickBot="1">
      <c r="A41" s="3500"/>
      <c r="B41" s="350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05" t="s">
        <v>2610</v>
      </c>
      <c r="B43" s="3501" t="s">
        <v>2634</v>
      </c>
      <c r="C43" s="2843" t="s">
        <v>2479</v>
      </c>
      <c r="D43" s="2844"/>
      <c r="E43" s="2845">
        <v>1</v>
      </c>
      <c r="F43" s="2846" t="s">
        <v>2480</v>
      </c>
      <c r="G43" s="2846"/>
    </row>
    <row r="44" spans="1:7" ht="19.5" customHeight="1">
      <c r="A44" s="3506"/>
      <c r="B44" s="3502"/>
      <c r="C44" s="2847" t="s">
        <v>2481</v>
      </c>
      <c r="D44" s="2848"/>
      <c r="E44" s="2849">
        <v>1</v>
      </c>
      <c r="F44" s="2846" t="s">
        <v>2482</v>
      </c>
      <c r="G44" s="2846"/>
    </row>
    <row r="45" spans="1:7" ht="19.5" customHeight="1">
      <c r="A45" s="3506"/>
      <c r="B45" s="3508"/>
      <c r="C45" s="2847" t="s">
        <v>2483</v>
      </c>
      <c r="D45" s="2848"/>
      <c r="E45" s="2849">
        <v>1.5</v>
      </c>
      <c r="F45" s="2846" t="s">
        <v>2484</v>
      </c>
      <c r="G45" s="2846"/>
    </row>
    <row r="46" spans="1:7" ht="19.5" customHeight="1">
      <c r="A46" s="3506"/>
      <c r="B46" s="2858" t="s">
        <v>2635</v>
      </c>
      <c r="C46" s="2847" t="s">
        <v>2636</v>
      </c>
      <c r="D46" s="2848"/>
      <c r="E46" s="2849">
        <v>2</v>
      </c>
      <c r="F46" s="2846" t="s">
        <v>2485</v>
      </c>
      <c r="G46" s="2846"/>
    </row>
    <row r="47" spans="1:7" ht="19.5" customHeight="1">
      <c r="A47" s="3506"/>
      <c r="B47" s="3503" t="s">
        <v>2637</v>
      </c>
      <c r="C47" s="2847" t="s">
        <v>2486</v>
      </c>
      <c r="D47" s="2848"/>
      <c r="E47" s="2849">
        <v>1</v>
      </c>
      <c r="F47" s="2846" t="s">
        <v>2487</v>
      </c>
      <c r="G47" s="2846"/>
    </row>
    <row r="48" spans="1:7" ht="19.5" customHeight="1">
      <c r="A48" s="3506"/>
      <c r="B48" s="3502"/>
      <c r="C48" s="2847" t="s">
        <v>2488</v>
      </c>
      <c r="D48" s="2848"/>
      <c r="E48" s="2849">
        <v>1</v>
      </c>
      <c r="F48" s="2846" t="s">
        <v>2489</v>
      </c>
      <c r="G48" s="2846"/>
    </row>
    <row r="49" spans="1:7" ht="19.5" customHeight="1">
      <c r="A49" s="3506"/>
      <c r="B49" s="3502"/>
      <c r="C49" s="2847" t="s">
        <v>2490</v>
      </c>
      <c r="D49" s="2848"/>
      <c r="E49" s="2849">
        <v>1</v>
      </c>
      <c r="F49" s="2846" t="s">
        <v>2491</v>
      </c>
      <c r="G49" s="2846"/>
    </row>
    <row r="50" spans="1:7" ht="19.5" customHeight="1">
      <c r="A50" s="3506"/>
      <c r="B50" s="3502"/>
      <c r="C50" s="2847" t="s">
        <v>2492</v>
      </c>
      <c r="D50" s="2848"/>
      <c r="E50" s="2849">
        <v>1</v>
      </c>
      <c r="F50" s="2846" t="s">
        <v>2493</v>
      </c>
      <c r="G50" s="2846"/>
    </row>
    <row r="51" spans="1:7" ht="19.5" customHeight="1">
      <c r="A51" s="3506"/>
      <c r="B51" s="3502"/>
      <c r="C51" s="2847" t="s">
        <v>2494</v>
      </c>
      <c r="D51" s="2848"/>
      <c r="E51" s="2849">
        <v>1</v>
      </c>
      <c r="F51" s="2846" t="s">
        <v>2495</v>
      </c>
      <c r="G51" s="2846"/>
    </row>
    <row r="52" spans="1:7" ht="19.5" customHeight="1">
      <c r="A52" s="3506"/>
      <c r="B52" s="3502"/>
      <c r="C52" s="2847" t="s">
        <v>2496</v>
      </c>
      <c r="D52" s="2848"/>
      <c r="E52" s="2849">
        <v>1</v>
      </c>
      <c r="F52" s="2846" t="s">
        <v>2497</v>
      </c>
      <c r="G52" s="2846"/>
    </row>
    <row r="53" spans="1:7" ht="19.5" customHeight="1" thickBot="1">
      <c r="A53" s="3507"/>
      <c r="B53" s="350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03" t="s">
        <v>2651</v>
      </c>
      <c r="C75" s="2832" t="s">
        <v>2652</v>
      </c>
      <c r="D75" s="2832" t="s">
        <v>2653</v>
      </c>
      <c r="E75" s="2858">
        <v>0.2</v>
      </c>
      <c r="F75" s="2858">
        <v>25</v>
      </c>
    </row>
    <row r="76" spans="1:7" ht="24">
      <c r="A76" s="2858">
        <v>2</v>
      </c>
      <c r="B76" s="3502"/>
      <c r="C76" s="2832" t="s">
        <v>2654</v>
      </c>
      <c r="D76" s="2832" t="s">
        <v>2655</v>
      </c>
      <c r="E76" s="2858">
        <v>0.2</v>
      </c>
      <c r="F76" s="2858">
        <v>25</v>
      </c>
    </row>
    <row r="77" spans="1:7" ht="24">
      <c r="A77" s="2858">
        <v>3</v>
      </c>
      <c r="B77" s="3502"/>
      <c r="C77" s="2832" t="s">
        <v>2656</v>
      </c>
      <c r="D77" s="2832" t="s">
        <v>2657</v>
      </c>
      <c r="E77" s="2858">
        <v>0.2</v>
      </c>
      <c r="F77" s="2858">
        <v>25</v>
      </c>
    </row>
    <row r="78" spans="1:7" ht="13.5">
      <c r="A78" s="2858">
        <v>4</v>
      </c>
      <c r="B78" s="3502"/>
      <c r="C78" s="2832" t="s">
        <v>2658</v>
      </c>
      <c r="D78" s="2832" t="s">
        <v>2659</v>
      </c>
      <c r="E78" s="2858">
        <v>0.15</v>
      </c>
      <c r="F78" s="2858">
        <v>20</v>
      </c>
    </row>
    <row r="79" spans="1:7" ht="24">
      <c r="A79" s="2858">
        <v>5</v>
      </c>
      <c r="B79" s="3502"/>
      <c r="C79" s="2832" t="s">
        <v>2660</v>
      </c>
      <c r="D79" s="2832" t="s">
        <v>2661</v>
      </c>
      <c r="E79" s="2858">
        <v>0.15</v>
      </c>
      <c r="F79" s="2858">
        <v>20</v>
      </c>
    </row>
    <row r="80" spans="1:7" ht="24">
      <c r="A80" s="2858">
        <v>6</v>
      </c>
      <c r="B80" s="3502"/>
      <c r="C80" s="2832" t="s">
        <v>2662</v>
      </c>
      <c r="D80" s="2832" t="s">
        <v>2663</v>
      </c>
      <c r="E80" s="2858">
        <v>0.15</v>
      </c>
      <c r="F80" s="2858">
        <v>20</v>
      </c>
    </row>
    <row r="81" spans="1:6" ht="24">
      <c r="A81" s="2858">
        <v>7</v>
      </c>
      <c r="B81" s="3502"/>
      <c r="C81" s="2832" t="s">
        <v>2664</v>
      </c>
      <c r="D81" s="2832" t="s">
        <v>2665</v>
      </c>
      <c r="E81" s="2858">
        <v>0.15</v>
      </c>
      <c r="F81" s="2858">
        <v>20</v>
      </c>
    </row>
    <row r="82" spans="1:6" ht="24">
      <c r="A82" s="2858">
        <v>8</v>
      </c>
      <c r="B82" s="3502"/>
      <c r="C82" s="2832" t="s">
        <v>2666</v>
      </c>
      <c r="D82" s="2832" t="s">
        <v>2667</v>
      </c>
      <c r="E82" s="2858">
        <v>0.1</v>
      </c>
      <c r="F82" s="2858">
        <v>15</v>
      </c>
    </row>
    <row r="83" spans="1:6" ht="24">
      <c r="A83" s="2858">
        <v>9</v>
      </c>
      <c r="B83" s="3502"/>
      <c r="C83" s="2832" t="s">
        <v>2668</v>
      </c>
      <c r="D83" s="2832" t="s">
        <v>2669</v>
      </c>
      <c r="E83" s="2858">
        <v>0.1</v>
      </c>
      <c r="F83" s="2858">
        <v>15</v>
      </c>
    </row>
    <row r="84" spans="1:6" ht="24">
      <c r="A84" s="2858">
        <v>10</v>
      </c>
      <c r="B84" s="3502"/>
      <c r="C84" s="2832" t="s">
        <v>2670</v>
      </c>
      <c r="D84" s="2832" t="s">
        <v>2671</v>
      </c>
      <c r="E84" s="2858">
        <v>0.1</v>
      </c>
      <c r="F84" s="2858">
        <v>15</v>
      </c>
    </row>
    <row r="85" spans="1:6" ht="24">
      <c r="A85" s="2858">
        <v>11</v>
      </c>
      <c r="B85" s="3502"/>
      <c r="C85" s="2832" t="s">
        <v>2672</v>
      </c>
      <c r="D85" s="2832" t="s">
        <v>2673</v>
      </c>
      <c r="E85" s="2858">
        <v>0.1</v>
      </c>
      <c r="F85" s="2858">
        <v>15</v>
      </c>
    </row>
    <row r="86" spans="1:6" ht="24">
      <c r="A86" s="2858">
        <v>12</v>
      </c>
      <c r="B86" s="3502"/>
      <c r="C86" s="2832" t="s">
        <v>2674</v>
      </c>
      <c r="D86" s="2832" t="s">
        <v>2675</v>
      </c>
      <c r="E86" s="2858">
        <v>0.1</v>
      </c>
      <c r="F86" s="2858">
        <v>15</v>
      </c>
    </row>
    <row r="87" spans="1:6" ht="13.5">
      <c r="A87" s="2858">
        <v>13</v>
      </c>
      <c r="B87" s="3502"/>
      <c r="C87" s="2832" t="s">
        <v>2676</v>
      </c>
      <c r="D87" s="2832" t="s">
        <v>2677</v>
      </c>
      <c r="E87" s="2858">
        <v>0.1</v>
      </c>
      <c r="F87" s="2858">
        <v>15</v>
      </c>
    </row>
    <row r="88" spans="1:6" ht="13.5">
      <c r="A88" s="2858">
        <v>14</v>
      </c>
      <c r="B88" s="3502"/>
      <c r="C88" s="2832" t="s">
        <v>2678</v>
      </c>
      <c r="D88" s="2832" t="s">
        <v>2679</v>
      </c>
      <c r="E88" s="2858">
        <v>0.1</v>
      </c>
      <c r="F88" s="2858">
        <v>15</v>
      </c>
    </row>
    <row r="89" spans="1:6" ht="13.5">
      <c r="A89" s="2858">
        <v>15</v>
      </c>
      <c r="B89" s="3502"/>
      <c r="C89" s="2832" t="s">
        <v>2680</v>
      </c>
      <c r="D89" s="2832" t="s">
        <v>2681</v>
      </c>
      <c r="E89" s="2858">
        <v>0.1</v>
      </c>
      <c r="F89" s="2858">
        <v>15</v>
      </c>
    </row>
    <row r="90" spans="1:6" ht="24">
      <c r="A90" s="2858">
        <v>16</v>
      </c>
      <c r="B90" s="3502"/>
      <c r="C90" s="2832" t="s">
        <v>2682</v>
      </c>
      <c r="D90" s="2832" t="s">
        <v>2683</v>
      </c>
      <c r="E90" s="2858">
        <v>0.1</v>
      </c>
      <c r="F90" s="2858">
        <v>15</v>
      </c>
    </row>
    <row r="91" spans="1:6" ht="24">
      <c r="A91" s="2858">
        <v>17</v>
      </c>
      <c r="B91" s="3508"/>
      <c r="C91" s="2832" t="s">
        <v>2684</v>
      </c>
      <c r="D91" s="2832" t="s">
        <v>2685</v>
      </c>
      <c r="E91" s="2858">
        <v>0.1</v>
      </c>
      <c r="F91" s="2858">
        <v>15</v>
      </c>
    </row>
    <row r="92" spans="1:6" ht="13.5">
      <c r="A92" s="2858">
        <v>18</v>
      </c>
      <c r="B92" s="3503" t="s">
        <v>2686</v>
      </c>
      <c r="C92" s="2832" t="s">
        <v>2687</v>
      </c>
      <c r="D92" s="2832" t="s">
        <v>2688</v>
      </c>
      <c r="E92" s="2858">
        <v>0.2</v>
      </c>
      <c r="F92" s="2858">
        <v>25</v>
      </c>
    </row>
    <row r="93" spans="1:6" ht="24">
      <c r="A93" s="2858">
        <v>19</v>
      </c>
      <c r="B93" s="3502"/>
      <c r="C93" s="2832" t="s">
        <v>2689</v>
      </c>
      <c r="D93" s="2832" t="s">
        <v>2690</v>
      </c>
      <c r="E93" s="2858">
        <v>0.2</v>
      </c>
      <c r="F93" s="2858">
        <v>25</v>
      </c>
    </row>
    <row r="94" spans="1:6" ht="13.5">
      <c r="A94" s="2858">
        <v>20</v>
      </c>
      <c r="B94" s="3502"/>
      <c r="C94" s="2832" t="s">
        <v>2691</v>
      </c>
      <c r="D94" s="2832" t="s">
        <v>2692</v>
      </c>
      <c r="E94" s="2858">
        <v>0.15</v>
      </c>
      <c r="F94" s="2858">
        <v>20</v>
      </c>
    </row>
    <row r="95" spans="1:6" ht="13.5">
      <c r="A95" s="2858">
        <v>21</v>
      </c>
      <c r="B95" s="3502"/>
      <c r="C95" s="2832" t="s">
        <v>2693</v>
      </c>
      <c r="D95" s="2832" t="s">
        <v>2694</v>
      </c>
      <c r="E95" s="2858">
        <v>0.15</v>
      </c>
      <c r="F95" s="2858">
        <v>20</v>
      </c>
    </row>
    <row r="96" spans="1:6" ht="13.5">
      <c r="A96" s="2858">
        <v>22</v>
      </c>
      <c r="B96" s="3502"/>
      <c r="C96" s="2832" t="s">
        <v>2695</v>
      </c>
      <c r="D96" s="2832" t="s">
        <v>2696</v>
      </c>
      <c r="E96" s="2858">
        <v>0.15</v>
      </c>
      <c r="F96" s="2858">
        <v>20</v>
      </c>
    </row>
    <row r="97" spans="1:6" ht="36">
      <c r="A97" s="2858">
        <v>23</v>
      </c>
      <c r="B97" s="3502"/>
      <c r="C97" s="2832" t="s">
        <v>2697</v>
      </c>
      <c r="D97" s="2832" t="s">
        <v>2698</v>
      </c>
      <c r="E97" s="2858">
        <v>0.15</v>
      </c>
      <c r="F97" s="2858">
        <v>20</v>
      </c>
    </row>
    <row r="98" spans="1:6" ht="13.5">
      <c r="A98" s="2858">
        <v>24</v>
      </c>
      <c r="B98" s="3502"/>
      <c r="C98" s="2832" t="s">
        <v>2699</v>
      </c>
      <c r="D98" s="2832" t="s">
        <v>2700</v>
      </c>
      <c r="E98" s="2858">
        <v>0.1</v>
      </c>
      <c r="F98" s="2858">
        <v>15</v>
      </c>
    </row>
    <row r="99" spans="1:6" ht="13.5">
      <c r="A99" s="2858">
        <v>25</v>
      </c>
      <c r="B99" s="3502"/>
      <c r="C99" s="2832" t="s">
        <v>2701</v>
      </c>
      <c r="D99" s="2832" t="s">
        <v>2702</v>
      </c>
      <c r="E99" s="2858">
        <v>0.1</v>
      </c>
      <c r="F99" s="2858">
        <v>15</v>
      </c>
    </row>
    <row r="100" spans="1:6" ht="24">
      <c r="A100" s="2858">
        <v>26</v>
      </c>
      <c r="B100" s="3502"/>
      <c r="C100" s="2832" t="s">
        <v>2703</v>
      </c>
      <c r="D100" s="2832" t="s">
        <v>2704</v>
      </c>
      <c r="E100" s="2858">
        <v>0.1</v>
      </c>
      <c r="F100" s="2858">
        <v>15</v>
      </c>
    </row>
    <row r="101" spans="1:6" ht="24">
      <c r="A101" s="2858">
        <v>27</v>
      </c>
      <c r="B101" s="3502"/>
      <c r="C101" s="2832" t="s">
        <v>2705</v>
      </c>
      <c r="D101" s="2832" t="s">
        <v>2706</v>
      </c>
      <c r="E101" s="2858">
        <v>0.1</v>
      </c>
      <c r="F101" s="2858">
        <v>15</v>
      </c>
    </row>
    <row r="102" spans="1:6" ht="13.5">
      <c r="A102" s="2858">
        <v>28</v>
      </c>
      <c r="B102" s="3502"/>
      <c r="C102" s="2832" t="s">
        <v>2707</v>
      </c>
      <c r="D102" s="2832" t="s">
        <v>2708</v>
      </c>
      <c r="E102" s="2858">
        <v>0.1</v>
      </c>
      <c r="F102" s="2858">
        <v>15</v>
      </c>
    </row>
    <row r="103" spans="1:6" ht="13.5">
      <c r="A103" s="2858">
        <v>29</v>
      </c>
      <c r="B103" s="3502"/>
      <c r="C103" s="2832" t="s">
        <v>2709</v>
      </c>
      <c r="D103" s="2832" t="s">
        <v>2710</v>
      </c>
      <c r="E103" s="2858">
        <v>0.1</v>
      </c>
      <c r="F103" s="2858">
        <v>15</v>
      </c>
    </row>
    <row r="104" spans="1:6" ht="13.5">
      <c r="A104" s="2858">
        <v>30</v>
      </c>
      <c r="B104" s="3502"/>
      <c r="C104" s="2832" t="s">
        <v>2711</v>
      </c>
      <c r="D104" s="2832" t="s">
        <v>2712</v>
      </c>
      <c r="E104" s="2858">
        <v>0.1</v>
      </c>
      <c r="F104" s="2858">
        <v>15</v>
      </c>
    </row>
    <row r="105" spans="1:6" ht="24">
      <c r="A105" s="2858">
        <v>31</v>
      </c>
      <c r="B105" s="3502"/>
      <c r="C105" s="2832" t="s">
        <v>2713</v>
      </c>
      <c r="D105" s="2832" t="s">
        <v>2714</v>
      </c>
      <c r="E105" s="2858">
        <v>0.1</v>
      </c>
      <c r="F105" s="2858">
        <v>15</v>
      </c>
    </row>
    <row r="106" spans="1:6" ht="24">
      <c r="A106" s="2858">
        <v>32</v>
      </c>
      <c r="B106" s="3502"/>
      <c r="C106" s="2832" t="s">
        <v>2715</v>
      </c>
      <c r="D106" s="2832" t="s">
        <v>2716</v>
      </c>
      <c r="E106" s="2858">
        <v>0.1</v>
      </c>
      <c r="F106" s="2858">
        <v>15</v>
      </c>
    </row>
    <row r="107" spans="1:6" ht="24">
      <c r="A107" s="2858">
        <v>33</v>
      </c>
      <c r="B107" s="3502"/>
      <c r="C107" s="2832" t="s">
        <v>2717</v>
      </c>
      <c r="D107" s="2832" t="s">
        <v>2718</v>
      </c>
      <c r="E107" s="2858">
        <v>0.1</v>
      </c>
      <c r="F107" s="2858">
        <v>15</v>
      </c>
    </row>
    <row r="108" spans="1:6" ht="24">
      <c r="A108" s="2858">
        <v>34</v>
      </c>
      <c r="B108" s="3508"/>
      <c r="C108" s="2832" t="s">
        <v>2719</v>
      </c>
      <c r="D108" s="2832" t="s">
        <v>2720</v>
      </c>
      <c r="E108" s="2858">
        <v>0.1</v>
      </c>
      <c r="F108" s="2858">
        <v>15</v>
      </c>
    </row>
    <row r="109" spans="1:6" ht="24">
      <c r="A109" s="2858">
        <v>35</v>
      </c>
      <c r="B109" s="3503" t="s">
        <v>2721</v>
      </c>
      <c r="C109" s="2858" t="s">
        <v>2722</v>
      </c>
      <c r="D109" s="2832" t="s">
        <v>2723</v>
      </c>
      <c r="E109" s="2858">
        <v>0.15</v>
      </c>
      <c r="F109" s="2858">
        <v>20</v>
      </c>
    </row>
    <row r="110" spans="1:6" ht="13.5">
      <c r="A110" s="2858">
        <v>36</v>
      </c>
      <c r="B110" s="3502"/>
      <c r="C110" s="2858" t="s">
        <v>2724</v>
      </c>
      <c r="D110" s="2832" t="s">
        <v>2725</v>
      </c>
      <c r="E110" s="2858">
        <v>0.15</v>
      </c>
      <c r="F110" s="2858">
        <v>20</v>
      </c>
    </row>
    <row r="111" spans="1:6" ht="13.5">
      <c r="A111" s="2858">
        <v>37</v>
      </c>
      <c r="B111" s="3502"/>
      <c r="C111" s="2858" t="s">
        <v>2726</v>
      </c>
      <c r="D111" s="2832" t="s">
        <v>2727</v>
      </c>
      <c r="E111" s="2858">
        <v>0.15</v>
      </c>
      <c r="F111" s="2858">
        <v>20</v>
      </c>
    </row>
    <row r="112" spans="1:6" ht="13.5">
      <c r="A112" s="2858">
        <v>38</v>
      </c>
      <c r="B112" s="3502"/>
      <c r="C112" s="2858" t="s">
        <v>2728</v>
      </c>
      <c r="D112" s="2832" t="s">
        <v>2729</v>
      </c>
      <c r="E112" s="2858">
        <v>0.1</v>
      </c>
      <c r="F112" s="2858">
        <v>15</v>
      </c>
    </row>
    <row r="113" spans="1:6" ht="24">
      <c r="A113" s="2858">
        <v>39</v>
      </c>
      <c r="B113" s="3502"/>
      <c r="C113" s="2858" t="s">
        <v>2730</v>
      </c>
      <c r="D113" s="2832" t="s">
        <v>2731</v>
      </c>
      <c r="E113" s="2858">
        <v>0.1</v>
      </c>
      <c r="F113" s="2858">
        <v>15</v>
      </c>
    </row>
    <row r="114" spans="1:6" ht="24">
      <c r="A114" s="2858">
        <v>40</v>
      </c>
      <c r="B114" s="3508"/>
      <c r="C114" s="2858" t="s">
        <v>2732</v>
      </c>
      <c r="D114" s="2832" t="s">
        <v>2733</v>
      </c>
      <c r="E114" s="2858">
        <v>0.1</v>
      </c>
      <c r="F114" s="2858">
        <v>15</v>
      </c>
    </row>
    <row r="115" spans="1:6" ht="13.5">
      <c r="A115" s="2858">
        <v>41</v>
      </c>
      <c r="B115" s="3496" t="s">
        <v>2734</v>
      </c>
      <c r="C115" s="2858" t="s">
        <v>2735</v>
      </c>
      <c r="D115" s="2832" t="s">
        <v>2736</v>
      </c>
      <c r="E115" s="2858">
        <v>0.1</v>
      </c>
      <c r="F115" s="2858">
        <v>15</v>
      </c>
    </row>
    <row r="116" spans="1:6" ht="13.5">
      <c r="A116" s="2858">
        <v>42</v>
      </c>
      <c r="B116" s="3496"/>
      <c r="C116" s="2858" t="s">
        <v>2737</v>
      </c>
      <c r="D116" s="2832" t="s">
        <v>2738</v>
      </c>
      <c r="E116" s="2858">
        <v>0.1</v>
      </c>
      <c r="F116" s="2858">
        <v>15</v>
      </c>
    </row>
    <row r="117" spans="1:6" ht="24">
      <c r="A117" s="2858">
        <v>43</v>
      </c>
      <c r="B117" s="3496"/>
      <c r="C117" s="2858" t="s">
        <v>2739</v>
      </c>
      <c r="D117" s="2832" t="s">
        <v>2740</v>
      </c>
      <c r="E117" s="2858">
        <v>0.1</v>
      </c>
      <c r="F117" s="2858">
        <v>15</v>
      </c>
    </row>
    <row r="118" spans="1:6" ht="13.5">
      <c r="A118" s="2858">
        <v>44</v>
      </c>
      <c r="B118" s="3503" t="s">
        <v>2741</v>
      </c>
      <c r="C118" s="2858" t="s">
        <v>2742</v>
      </c>
      <c r="D118" s="2832" t="s">
        <v>2743</v>
      </c>
      <c r="E118" s="2858">
        <v>0.1</v>
      </c>
      <c r="F118" s="2858">
        <v>15</v>
      </c>
    </row>
    <row r="119" spans="1:6" ht="24">
      <c r="A119" s="2858">
        <v>45</v>
      </c>
      <c r="B119" s="3508"/>
      <c r="C119" s="2832" t="s">
        <v>2744</v>
      </c>
      <c r="D119" s="2832" t="s">
        <v>2745</v>
      </c>
      <c r="E119" s="2858">
        <v>0.1</v>
      </c>
      <c r="F119" s="2858">
        <v>15</v>
      </c>
    </row>
    <row r="120" spans="1:6" ht="24">
      <c r="A120" s="2858">
        <v>46</v>
      </c>
      <c r="B120" s="3503" t="s">
        <v>2746</v>
      </c>
      <c r="C120" s="2858" t="s">
        <v>2747</v>
      </c>
      <c r="D120" s="2832" t="s">
        <v>2748</v>
      </c>
      <c r="E120" s="2858">
        <v>0.1</v>
      </c>
      <c r="F120" s="2858">
        <v>15</v>
      </c>
    </row>
    <row r="121" spans="1:6" ht="24">
      <c r="A121" s="2858">
        <v>47</v>
      </c>
      <c r="B121" s="3508"/>
      <c r="C121" s="2858" t="s">
        <v>2749</v>
      </c>
      <c r="D121" s="2832" t="s">
        <v>2750</v>
      </c>
      <c r="E121" s="2858">
        <v>0.1</v>
      </c>
      <c r="F121" s="2858">
        <v>15</v>
      </c>
    </row>
    <row r="122" spans="1:6" ht="13.5">
      <c r="A122" s="2858">
        <v>48</v>
      </c>
      <c r="B122" s="3503" t="s">
        <v>2751</v>
      </c>
      <c r="C122" s="2858" t="s">
        <v>2752</v>
      </c>
      <c r="D122" s="2832" t="s">
        <v>2753</v>
      </c>
      <c r="E122" s="2858">
        <v>0.1</v>
      </c>
      <c r="F122" s="2858">
        <v>15</v>
      </c>
    </row>
    <row r="123" spans="1:6" ht="13.5">
      <c r="A123" s="2858">
        <v>49</v>
      </c>
      <c r="B123" s="3508"/>
      <c r="C123" s="2858" t="s">
        <v>2754</v>
      </c>
      <c r="D123" s="2832" t="s">
        <v>2755</v>
      </c>
      <c r="E123" s="2858">
        <v>0.1</v>
      </c>
      <c r="F123" s="2858">
        <v>15</v>
      </c>
    </row>
    <row r="124" spans="1:6" ht="24">
      <c r="A124" s="2858">
        <v>50</v>
      </c>
      <c r="B124" s="3496" t="s">
        <v>2756</v>
      </c>
      <c r="C124" s="2858" t="s">
        <v>2757</v>
      </c>
      <c r="D124" s="2832" t="s">
        <v>2758</v>
      </c>
      <c r="E124" s="2858">
        <v>0.1</v>
      </c>
      <c r="F124" s="2858">
        <v>15</v>
      </c>
    </row>
    <row r="125" spans="1:6" ht="24">
      <c r="A125" s="2858">
        <v>51</v>
      </c>
      <c r="B125" s="3496"/>
      <c r="C125" s="2858" t="s">
        <v>2759</v>
      </c>
      <c r="D125" s="2832" t="s">
        <v>2760</v>
      </c>
      <c r="E125" s="2858">
        <v>0.1</v>
      </c>
      <c r="F125" s="2858">
        <v>15</v>
      </c>
    </row>
    <row r="126" spans="1:6" ht="24">
      <c r="A126" s="2858">
        <v>52</v>
      </c>
      <c r="B126" s="3496" t="s">
        <v>2761</v>
      </c>
      <c r="C126" s="2858" t="s">
        <v>2762</v>
      </c>
      <c r="D126" s="2832" t="s">
        <v>2763</v>
      </c>
      <c r="E126" s="2858">
        <v>0.1</v>
      </c>
      <c r="F126" s="2858">
        <v>15</v>
      </c>
    </row>
    <row r="127" spans="1:6" ht="24">
      <c r="A127" s="2858">
        <v>53</v>
      </c>
      <c r="B127" s="3496"/>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96" t="s">
        <v>2769</v>
      </c>
      <c r="C129" s="2858" t="s">
        <v>2770</v>
      </c>
      <c r="D129" s="2832" t="s">
        <v>2771</v>
      </c>
      <c r="E129" s="2858">
        <v>0.1</v>
      </c>
      <c r="F129" s="2858">
        <v>15</v>
      </c>
    </row>
    <row r="130" spans="1:6" ht="13.5">
      <c r="A130" s="2858">
        <v>56</v>
      </c>
      <c r="B130" s="3496"/>
      <c r="C130" s="2858" t="s">
        <v>2772</v>
      </c>
      <c r="D130" s="2832" t="s">
        <v>2773</v>
      </c>
      <c r="E130" s="2858">
        <v>0.1</v>
      </c>
      <c r="F130" s="2858">
        <v>15</v>
      </c>
    </row>
    <row r="131" spans="1:6" ht="24">
      <c r="A131" s="2858">
        <v>57</v>
      </c>
      <c r="B131" s="3496"/>
      <c r="C131" s="2858" t="s">
        <v>2774</v>
      </c>
      <c r="D131" s="2832" t="s">
        <v>2775</v>
      </c>
      <c r="E131" s="2858">
        <v>0.1</v>
      </c>
      <c r="F131" s="2858">
        <v>15</v>
      </c>
    </row>
    <row r="132" spans="1:6" ht="24">
      <c r="A132" s="2858">
        <v>58</v>
      </c>
      <c r="B132" s="3496" t="s">
        <v>2776</v>
      </c>
      <c r="C132" s="2858" t="s">
        <v>2777</v>
      </c>
      <c r="D132" s="2832" t="s">
        <v>2778</v>
      </c>
      <c r="E132" s="2858">
        <v>0.1</v>
      </c>
      <c r="F132" s="2858">
        <v>15</v>
      </c>
    </row>
    <row r="133" spans="1:6" ht="13.5">
      <c r="A133" s="2858">
        <v>59</v>
      </c>
      <c r="B133" s="3496"/>
      <c r="C133" s="2858" t="s">
        <v>2779</v>
      </c>
      <c r="D133" s="2832" t="s">
        <v>2780</v>
      </c>
      <c r="E133" s="2858">
        <v>0.1</v>
      </c>
      <c r="F133" s="2858">
        <v>15</v>
      </c>
    </row>
    <row r="134" spans="1:6" ht="13.5">
      <c r="A134" s="2858">
        <v>60</v>
      </c>
      <c r="B134" s="3503" t="s">
        <v>2781</v>
      </c>
      <c r="C134" s="2858" t="s">
        <v>2782</v>
      </c>
      <c r="D134" s="2832" t="s">
        <v>2783</v>
      </c>
      <c r="E134" s="2858">
        <v>0.1</v>
      </c>
      <c r="F134" s="2858">
        <v>15</v>
      </c>
    </row>
    <row r="135" spans="1:6" ht="13.5">
      <c r="A135" s="2858">
        <v>61</v>
      </c>
      <c r="B135" s="3508"/>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96" t="s">
        <v>2789</v>
      </c>
      <c r="C137" s="2858" t="s">
        <v>2790</v>
      </c>
      <c r="D137" s="2832" t="s">
        <v>2791</v>
      </c>
      <c r="E137" s="2858">
        <v>0.1</v>
      </c>
      <c r="F137" s="2858">
        <v>15</v>
      </c>
    </row>
    <row r="138" spans="1:6" ht="13.5">
      <c r="A138" s="2858">
        <v>64</v>
      </c>
      <c r="B138" s="3496"/>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1.2302</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1.1198999999999999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估价结果一览表（市场价值不需“结果表-1”）</v>
      </c>
      <c r="B3" s="3196"/>
      <c r="C3" s="3196"/>
      <c r="D3" s="3196"/>
      <c r="E3" s="3196"/>
    </row>
    <row r="4" spans="1:5" ht="19.5" thickBot="1">
      <c r="A4" s="1391"/>
      <c r="B4" s="3194" t="s">
        <v>917</v>
      </c>
      <c r="C4" s="3194"/>
      <c r="D4" s="3194"/>
      <c r="E4" s="1391"/>
    </row>
    <row r="5" spans="1:5" ht="16.5" thickTop="1">
      <c r="B5" s="3192" t="s">
        <v>909</v>
      </c>
      <c r="C5" s="1392" t="s">
        <v>910</v>
      </c>
      <c r="D5" s="797" t="e">
        <f ca="1">结果表!H101</f>
        <v>#REF!</v>
      </c>
    </row>
    <row r="6" spans="1:5" ht="15.75">
      <c r="B6" s="3192"/>
      <c r="C6" s="1392" t="s">
        <v>911</v>
      </c>
      <c r="D6" s="797" t="e">
        <f ca="1">NUMBERSTRING(INT(D5*10000),2)&amp;"元整"</f>
        <v>#REF!</v>
      </c>
    </row>
    <row r="7" spans="1:5" ht="15.75">
      <c r="B7" s="3197"/>
      <c r="C7" s="1393" t="s">
        <v>912</v>
      </c>
      <c r="D7" s="798" t="e">
        <f ca="1">结果表!H102</f>
        <v>#REF!</v>
      </c>
    </row>
    <row r="8" spans="1:5" ht="15.75">
      <c r="B8" s="3198" t="str">
        <f>结果表!E103</f>
        <v>2.估价师知悉的法定优先受偿款</v>
      </c>
      <c r="C8" s="1394" t="s">
        <v>913</v>
      </c>
      <c r="D8" s="798">
        <f>结果表!H103</f>
        <v>0</v>
      </c>
    </row>
    <row r="9" spans="1:5" ht="15.75">
      <c r="B9" s="320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1" t="str">
        <f>结果表!E107</f>
        <v>3.房地产抵押价值</v>
      </c>
      <c r="C13" s="1397" t="s">
        <v>910</v>
      </c>
      <c r="D13" s="800" t="e">
        <f ca="1">结果表!H107</f>
        <v>#REF!</v>
      </c>
    </row>
    <row r="14" spans="1:5" ht="15.75">
      <c r="B14" s="3192"/>
      <c r="C14" s="1392" t="s">
        <v>911</v>
      </c>
      <c r="D14" s="797" t="e">
        <f ca="1">NUMBERSTRING(INT(D13*10000),2)&amp;"元整"</f>
        <v>#REF!</v>
      </c>
    </row>
    <row r="15" spans="1:5" ht="15">
      <c r="B15" s="3197"/>
      <c r="C15" s="1393" t="s">
        <v>921</v>
      </c>
      <c r="D15" s="806" t="e">
        <f ca="1">结果表!H108</f>
        <v>#REF!</v>
      </c>
    </row>
    <row r="16" spans="1:5" ht="15">
      <c r="B16" s="3198" t="str">
        <f>结果表!E109</f>
        <v>——</v>
      </c>
      <c r="C16" s="1397" t="s">
        <v>922</v>
      </c>
      <c r="D16" s="1398" t="str">
        <f>结果表!H109</f>
        <v>——</v>
      </c>
    </row>
    <row r="17" spans="1:5" ht="15.75">
      <c r="B17" s="3199"/>
      <c r="C17" s="1392" t="s">
        <v>923</v>
      </c>
      <c r="D17" s="797" t="e">
        <f>NUMBERSTRING(INT(D16*10000),2)&amp;"元整"</f>
        <v>#VALUE!</v>
      </c>
    </row>
    <row r="18" spans="1:5" ht="15">
      <c r="B18" s="3200"/>
      <c r="C18" s="1393" t="s">
        <v>912</v>
      </c>
      <c r="D18" s="806" t="str">
        <f>结果表!H110</f>
        <v>——</v>
      </c>
    </row>
    <row r="19" spans="1:5" ht="15.75">
      <c r="B19" s="3191" t="str">
        <f>结果表!E111</f>
        <v>——</v>
      </c>
      <c r="C19" s="1397" t="s">
        <v>910</v>
      </c>
      <c r="D19" s="798" t="str">
        <f>结果表!H111</f>
        <v>——</v>
      </c>
    </row>
    <row r="20" spans="1:5" ht="15.75">
      <c r="B20" s="3192"/>
      <c r="C20" s="1392" t="s">
        <v>923</v>
      </c>
      <c r="D20" s="797" t="e">
        <f>NUMBERSTRING(INT(D19*10000),2)&amp;"元整"</f>
        <v>#VALUE!</v>
      </c>
    </row>
    <row r="21" spans="1:5" ht="15.75" thickBot="1">
      <c r="B21" s="319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26087</v>
      </c>
      <c r="C2" s="2" t="s">
        <v>106</v>
      </c>
      <c r="D2" s="191"/>
      <c r="E2" s="191"/>
      <c r="F2" s="191"/>
      <c r="G2" s="191"/>
    </row>
    <row r="3" spans="1:7" s="192" customFormat="1" ht="18" customHeight="1" thickBot="1">
      <c r="A3" s="195" t="s">
        <v>58</v>
      </c>
      <c r="B3" s="196">
        <f ca="1">ROUND(B2*10000/'数据-汇总表'!E3,0)</f>
        <v>40631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51</v>
      </c>
      <c r="D10" s="795">
        <f>'数据-汇总表'!E6</f>
        <v>6420.54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v>
      </c>
      <c r="D19" s="204">
        <f>'数据-汇总表'!E3</f>
        <v>6420.54</v>
      </c>
      <c r="E19" s="203">
        <f>'数据-取费表'!B31</f>
        <v>185</v>
      </c>
      <c r="F19" s="223"/>
      <c r="G19" s="1" t="s">
        <v>436</v>
      </c>
    </row>
    <row r="20" spans="1:7" s="206" customFormat="1" ht="13.5" customHeight="1">
      <c r="A20" s="731" t="s">
        <v>419</v>
      </c>
      <c r="B20" s="202" t="s">
        <v>77</v>
      </c>
      <c r="C20" s="224">
        <f>ROUND((C5+C19)*F20,0)</f>
        <v>415</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628</v>
      </c>
      <c r="D22" s="227">
        <f ca="1">C26</f>
        <v>2.0000000000000001E-4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2.0000000000000001E-4</v>
      </c>
      <c r="D26" s="230"/>
      <c r="E26" s="233"/>
      <c r="F26" s="231"/>
      <c r="G26" s="235"/>
    </row>
    <row r="27" spans="1:7" s="206" customFormat="1" ht="24.75">
      <c r="A27" s="731" t="s">
        <v>342</v>
      </c>
      <c r="B27" s="236" t="s">
        <v>85</v>
      </c>
      <c r="C27" s="237">
        <f>C28</f>
        <v>1057</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1057</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24366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2247</v>
      </c>
      <c r="D34" s="209"/>
      <c r="E34" s="212"/>
      <c r="F34" s="249">
        <f>IF('数据-取费表'!B24=0,1,'数据-取费表'!N16)</f>
        <v>1</v>
      </c>
      <c r="G34" s="211" t="s">
        <v>89</v>
      </c>
    </row>
    <row r="35" spans="1:7" ht="13.5" customHeight="1">
      <c r="A35" s="734" t="s">
        <v>351</v>
      </c>
      <c r="B35" s="207" t="s">
        <v>33</v>
      </c>
      <c r="C35" s="212">
        <f>ROUND(C34*F35,0)</f>
        <v>112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6420.54</v>
      </c>
      <c r="E37" s="241">
        <f>'数据-取费表'!B35</f>
        <v>5</v>
      </c>
      <c r="F37" s="251"/>
      <c r="G37" s="253" t="s">
        <v>92</v>
      </c>
    </row>
    <row r="38" spans="1:7" ht="13.5" customHeight="1">
      <c r="A38" s="734" t="s">
        <v>354</v>
      </c>
      <c r="B38" s="207" t="s">
        <v>36</v>
      </c>
      <c r="C38" s="212">
        <f>ROUND(C34*F38,0)</f>
        <v>112</v>
      </c>
      <c r="D38" s="212"/>
      <c r="E38" s="212"/>
      <c r="F38" s="251">
        <f>'数据-取费表'!B36</f>
        <v>0.05</v>
      </c>
      <c r="G38" s="211" t="s">
        <v>90</v>
      </c>
    </row>
    <row r="39" spans="1:7" s="206" customFormat="1" ht="13.5" customHeight="1">
      <c r="A39" s="731" t="s">
        <v>338</v>
      </c>
      <c r="B39" s="202" t="s">
        <v>77</v>
      </c>
      <c r="C39" s="224">
        <f>ROUND(C33*F20,0)</f>
        <v>49</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38</v>
      </c>
      <c r="D41" s="227">
        <f ca="1">C44</f>
        <v>2.0000000000000001E-4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37</v>
      </c>
      <c r="D42" s="230"/>
      <c r="E42" s="230"/>
      <c r="F42" s="231"/>
      <c r="G42" s="3372" t="s">
        <v>94</v>
      </c>
    </row>
    <row r="43" spans="1:7" ht="13.5" customHeight="1">
      <c r="A43" s="734" t="s">
        <v>347</v>
      </c>
      <c r="B43" s="207" t="s">
        <v>426</v>
      </c>
      <c r="C43" s="230">
        <f ca="1">ROUND(IF('数据-取费表'!B22&lt;=1,C39*F22*'数据-取费表'!B21/2,C39*(POWER((1+F22),'数据-取费表'!B21/2)-1)),0)</f>
        <v>1</v>
      </c>
      <c r="D43" s="230"/>
      <c r="E43" s="230"/>
      <c r="F43" s="231"/>
      <c r="G43" s="3373"/>
    </row>
    <row r="44" spans="1:7" ht="13.5" customHeight="1">
      <c r="A44" s="734" t="s">
        <v>348</v>
      </c>
      <c r="B44" s="207" t="s">
        <v>428</v>
      </c>
      <c r="C44" s="230">
        <f ca="1">ROUND(IF('数据-取费表'!B22&lt;=1,C40*F22*'数据-取费表'!B21/2,C40*(POWER((1+F22),'数据-取费表'!B21/2)-1)),4)</f>
        <v>2.0000000000000001E-4</v>
      </c>
      <c r="D44" s="230"/>
      <c r="E44" s="230"/>
      <c r="F44" s="231"/>
      <c r="G44" s="3374"/>
    </row>
    <row r="45" spans="1:7" s="206" customFormat="1" ht="13.5" customHeight="1">
      <c r="A45" s="731" t="s">
        <v>341</v>
      </c>
      <c r="B45" s="236" t="s">
        <v>85</v>
      </c>
      <c r="C45" s="237">
        <f>C46</f>
        <v>126</v>
      </c>
      <c r="D45" s="227">
        <f>C47</f>
        <v>5.0000000000000001E-4</v>
      </c>
      <c r="E45" s="228" t="s">
        <v>102</v>
      </c>
      <c r="F45" s="238"/>
      <c r="G45" s="239" t="s">
        <v>434</v>
      </c>
    </row>
    <row r="46" spans="1:7" s="206" customFormat="1" ht="13.5" customHeight="1">
      <c r="A46" s="734" t="s">
        <v>349</v>
      </c>
      <c r="B46" s="240" t="s">
        <v>427</v>
      </c>
      <c r="C46" s="241">
        <f>ROUND((C33+C39)*F27,0)</f>
        <v>126</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2868</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1721</v>
      </c>
      <c r="D51" s="224"/>
      <c r="E51" s="224"/>
      <c r="F51" s="256"/>
      <c r="G51" s="226" t="s">
        <v>37</v>
      </c>
    </row>
    <row r="52" spans="1:7" s="200" customFormat="1" ht="16.5" thickBot="1">
      <c r="A52" s="257" t="s">
        <v>38</v>
      </c>
      <c r="B52" s="258"/>
      <c r="C52" s="259">
        <f ca="1">C31+C51</f>
        <v>26087</v>
      </c>
      <c r="D52" s="258"/>
      <c r="E52" s="258"/>
      <c r="F52" s="258"/>
      <c r="G52" s="260"/>
    </row>
    <row r="55" spans="1:7" ht="15">
      <c r="B55" s="262" t="s">
        <v>39</v>
      </c>
      <c r="C55" s="263"/>
    </row>
    <row r="56" spans="1:7">
      <c r="B56" s="265" t="s">
        <v>40</v>
      </c>
      <c r="C56" s="266">
        <f ca="1">ROUND(C51/C52,3)</f>
        <v>6.6000000000000003E-2</v>
      </c>
    </row>
    <row r="57" spans="1:7">
      <c r="B57" s="265" t="s">
        <v>41</v>
      </c>
      <c r="C57" s="267">
        <f ca="1">1-C56</f>
        <v>0.93399999999999994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4"/>
  </cols>
  <sheetData>
    <row r="1" spans="1:7">
      <c r="A1" s="3509" t="s">
        <v>3181</v>
      </c>
      <c r="B1" s="3509"/>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10" t="s">
        <v>3232</v>
      </c>
      <c r="B1" s="3510"/>
      <c r="C1" s="3510"/>
      <c r="D1" s="3510"/>
      <c r="E1" s="3510"/>
      <c r="F1" s="3511"/>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D2E02-5D22-4430-AF96-17AF72C6A0AC}">
  <sheetPr>
    <tabColor theme="6" tint="0.79998168889431442"/>
  </sheetPr>
  <dimension ref="B2:X69"/>
  <sheetViews>
    <sheetView workbookViewId="0">
      <selection activeCell="AA35" sqref="AA35"/>
    </sheetView>
  </sheetViews>
  <sheetFormatPr defaultRowHeight="13.5"/>
  <sheetData>
    <row r="2" spans="2:24">
      <c r="B2" s="3189" t="s">
        <v>3488</v>
      </c>
    </row>
    <row r="3" spans="2:24">
      <c r="X3" s="3189" t="s">
        <v>3502</v>
      </c>
    </row>
    <row r="16" spans="2:24">
      <c r="R16" s="1405" t="s">
        <v>3491</v>
      </c>
      <c r="S16">
        <v>3600</v>
      </c>
      <c r="T16">
        <v>0.12</v>
      </c>
    </row>
    <row r="17" spans="18:24">
      <c r="R17" s="1405" t="s">
        <v>3492</v>
      </c>
      <c r="S17">
        <v>670</v>
      </c>
      <c r="T17">
        <v>0.15</v>
      </c>
    </row>
    <row r="18" spans="18:24">
      <c r="R18" s="1405" t="s">
        <v>3493</v>
      </c>
      <c r="S18">
        <v>2500</v>
      </c>
      <c r="T18">
        <v>0.16</v>
      </c>
    </row>
    <row r="32" spans="18:24">
      <c r="X32" s="3189" t="s">
        <v>3503</v>
      </c>
    </row>
    <row r="38" spans="2:2">
      <c r="B38" s="3189" t="s">
        <v>3489</v>
      </c>
    </row>
    <row r="69" spans="2:2">
      <c r="B69" s="3189" t="s">
        <v>3490</v>
      </c>
    </row>
  </sheetData>
  <phoneticPr fontId="135" type="noConversion"/>
  <hyperlinks>
    <hyperlink ref="B2" r:id="rId1" display="https://bj.58.com/fangchan/86776244098396x.shtml?utm_source=market&amp;prd=x0NAXiR1wlSETnm4cICGekkOJMlI%2Bdms%2Byphkd0mmAA%3D&amp;houseId=4507516600556558&amp;urlParamsMap=C35E7EE088EE96AD5B7AB320623C5B7F10A0A8BE37A01657093E79E37E345CA81FC72255DCABA8EAF2334200C04095E1AB085A9CA392591A2333E233E5AE39F370AB10A155DA944106D33B53279C44437AFBBB326CB05F43238AA49BBBC5B4FCCBBB5ABD2E2CE99A&amp;gpos=34&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69" xr:uid="{633092FD-5904-459E-911E-C365CBB75520}"/>
    <hyperlink ref="B38" r:id="rId2" display="https://bj.58.com/fangchan/86613233089626x.shtml?utm_source=market&amp;prd=x0NAXiR1wlSETnm4cICGegBgd5CkQQVlmZwYyLZbMLM%3D&amp;houseId=4486651191438351&amp;urlParamsMap=C35E7EE088EE96AD5B7AB320623C5B7F10A0A8BE37A01657093E79E37E345CA81FC72255DCABA8EAF2334200C04095E1AB085A9CA392591A2333E233E5AE39F370AB10A155DA944106D33B53279C44437AFBBB326CB05F43238AA49BBBC5B4FC8BC13C941E8B1507&amp;gpos=3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0" xr:uid="{E5910B02-2429-4432-A312-916D0B734063}"/>
    <hyperlink ref="B69" r:id="rId3" display="https://bj.58.com/fangchan/87057396288986x.shtml?utm_source=market&amp;prd=x0NAXiR1wlSETnm4cICGeqGtTfuj%2Bo4oH4PFVh5uJ6w%3D&amp;houseId=4543504080956417&amp;urlParamsMap=C35E7EE088EE96AD5B7AB320623C5B7F10A0A8BE37A01657093E79E37E345CA81FC72255DCABA8EAF2334200C04095E1AB085A9CA392591A2333E233E5AE39F370AB10A155DA944106D33B53279C44437AFBBB326CB05F43238AA49BBBC5B4FC4B9C0FA7F40F37C7&amp;gpos=41&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4ef-2436-ba65a136507b&amp;ClickID=73" xr:uid="{060D5834-15D9-4628-9E01-9268CAB544FE}"/>
    <hyperlink ref="X3" r:id="rId4" display="https://bj.58.com/fangchan/87087582728925x.shtml?prd=x0NAXiR1wlSETnm4cICGeh20p%2Fxux9HWr1I9WpYeOFU%3D&amp;houseId=4547367945266176&amp;urlParamsMap=F2B24C30260C446FB64A23C1ECDF621E0E96AE5D9B030477E6F5329E4B02FFAE6F9ACC7570FF8356E59EC0DA9FDBF566A489729FC4F9085CC58E1ED0353B5AA6AB914A63C207031F90BCF3C9225699A433F9B1375FB8FE59DB32F9C8B58BC2BB327EE3DD8D031C31&amp;gpos=46&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7" xr:uid="{4850D6A7-BAA2-44C0-99D5-9CF0008F0425}"/>
    <hyperlink ref="X32" r:id="rId5" display="https://bj.58.com/fangchan/86387690157277x.shtml?prd=x0NAXiR1wlSETnm4cICGejNzQ2mCMa4zIymGPc0GACY%3D&amp;houseId=4457781696095246&amp;urlParamsMap=F2B24C30260C446FB64A23C1ECDF621E0E96AE5D9B030477E6F5329E4B02FFAE6F9ACC7570FF8356E59EC0DA9FDBF566A489729FC4F9085CC58E1ED0353B5AA6AB914A63C207031F90BCF3C9225699A433F9B1375FB8FE59DB32F9C8B58BC2BB327EE3DD8D031C31&amp;gpos=48&amp;positionType=commoninfo&amp;cocoTestType=coco_area_expand_test&amp;legoCocoTestType=coco_area_expand_test&amp;filterJson=eyJRVVlVIjpbeyJrZXkiOiIiLCJsYWJlbCI6IuW5s-iwtyIsInZhbCI6InBpbmdndSJ9XX0&amp;jx_abtest=ZWljX3N5ZGNfcGNfcmVjb21tZW5kX3Rlc3QsY29jb19hcmVhX2V4cGFuZF90ZXN0LHVzZXJfcGhhc2VfbA&amp;list_type=main&amp;PGTID=0d000000-0000-0af2-a635-a80eead58fa3&amp;ClickID=58" xr:uid="{23648D63-5020-448A-815B-A275B2AE7CB0}"/>
  </hyperlinks>
  <pageMargins left="0.7" right="0.7" top="0.75" bottom="0.75" header="0.3" footer="0.3"/>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5" t="s">
        <v>2839</v>
      </c>
      <c r="B1" s="3525"/>
      <c r="C1" s="3525"/>
      <c r="D1" s="3525"/>
      <c r="E1" s="3525"/>
      <c r="F1" s="3525"/>
      <c r="G1" s="352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2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2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2" customFormat="1" ht="14.25" customHeight="1">
      <c r="A65" s="2947" t="s">
        <v>110</v>
      </c>
      <c r="B65" s="2947" t="s">
        <v>203</v>
      </c>
      <c r="C65" s="2947">
        <v>19290</v>
      </c>
      <c r="D65" s="2947">
        <v>17020</v>
      </c>
      <c r="E65" s="2947">
        <v>19880</v>
      </c>
      <c r="F65" s="2947">
        <v>4070</v>
      </c>
      <c r="G65" s="2947">
        <v>11550</v>
      </c>
    </row>
    <row r="66" spans="1:7" s="2782" customFormat="1" ht="14.25" customHeight="1">
      <c r="A66" s="2947" t="s">
        <v>110</v>
      </c>
      <c r="B66" s="2947" t="s">
        <v>210</v>
      </c>
      <c r="C66" s="2947">
        <v>17090</v>
      </c>
      <c r="D66" s="2947">
        <v>18340</v>
      </c>
      <c r="E66" s="2947">
        <v>21830</v>
      </c>
      <c r="F66" s="2947">
        <v>4690</v>
      </c>
      <c r="G66" s="2947">
        <v>12450</v>
      </c>
    </row>
    <row r="67" spans="1:7" s="2782" customFormat="1" ht="14.25" customHeight="1">
      <c r="A67" s="2947" t="s">
        <v>110</v>
      </c>
      <c r="B67" s="2947" t="s">
        <v>216</v>
      </c>
      <c r="C67" s="2947">
        <v>18420</v>
      </c>
      <c r="D67" s="2947">
        <v>16360</v>
      </c>
      <c r="E67" s="2947">
        <v>20020</v>
      </c>
      <c r="F67" s="2947">
        <v>5150</v>
      </c>
      <c r="G67" s="2947">
        <v>11110</v>
      </c>
    </row>
    <row r="68" spans="1:7" s="2782" customFormat="1" ht="14.25" customHeight="1">
      <c r="A68" s="2947" t="s">
        <v>110</v>
      </c>
      <c r="B68" s="2947" t="s">
        <v>224</v>
      </c>
      <c r="C68" s="2947">
        <v>16450</v>
      </c>
      <c r="D68" s="2947">
        <v>18430</v>
      </c>
      <c r="E68" s="2947">
        <v>21010</v>
      </c>
      <c r="F68" s="2947">
        <v>4720</v>
      </c>
      <c r="G68" s="2947">
        <v>12510</v>
      </c>
    </row>
    <row r="69" spans="1:7" s="2782" customFormat="1" ht="14.25" customHeight="1">
      <c r="A69" s="2947" t="s">
        <v>110</v>
      </c>
      <c r="B69" s="2947" t="s">
        <v>232</v>
      </c>
      <c r="C69" s="2947">
        <v>18510</v>
      </c>
      <c r="D69" s="2947">
        <v>16300</v>
      </c>
      <c r="E69" s="2947">
        <v>18830</v>
      </c>
      <c r="F69" s="2947">
        <v>5400</v>
      </c>
      <c r="G69" s="2947">
        <v>11070</v>
      </c>
    </row>
    <row r="70" spans="1:7" s="2782" customFormat="1" ht="14.25" customHeight="1">
      <c r="A70" s="2947" t="s">
        <v>110</v>
      </c>
      <c r="B70" s="2947" t="s">
        <v>237</v>
      </c>
      <c r="C70" s="2947">
        <v>16370</v>
      </c>
      <c r="D70" s="2947">
        <v>18620</v>
      </c>
      <c r="E70" s="2947">
        <v>21100</v>
      </c>
      <c r="F70" s="2947">
        <v>5700</v>
      </c>
      <c r="G70" s="2947">
        <v>12640</v>
      </c>
    </row>
    <row r="71" spans="1:7" s="2782" customFormat="1" ht="14.25" customHeight="1">
      <c r="A71" s="2947" t="s">
        <v>110</v>
      </c>
      <c r="B71" s="2947" t="s">
        <v>246</v>
      </c>
      <c r="C71" s="2947">
        <v>18700</v>
      </c>
      <c r="D71" s="2947">
        <v>16290</v>
      </c>
      <c r="E71" s="2947">
        <v>18760</v>
      </c>
      <c r="F71" s="2947">
        <v>4780</v>
      </c>
      <c r="G71" s="2947">
        <v>11050</v>
      </c>
    </row>
    <row r="72" spans="1:7" s="2782" customFormat="1" ht="14.25" customHeight="1">
      <c r="A72" s="2947" t="s">
        <v>110</v>
      </c>
      <c r="B72" s="2947" t="s">
        <v>253</v>
      </c>
      <c r="C72" s="2947">
        <v>16340</v>
      </c>
      <c r="D72" s="2947">
        <v>17520</v>
      </c>
      <c r="E72" s="2947">
        <v>21170</v>
      </c>
      <c r="F72" s="2947"/>
      <c r="G72" s="2947">
        <v>11900</v>
      </c>
    </row>
    <row r="73" spans="1:7" s="2782" customFormat="1" ht="14.25" customHeight="1">
      <c r="A73" s="2947" t="s">
        <v>110</v>
      </c>
      <c r="B73" s="2947" t="s">
        <v>261</v>
      </c>
      <c r="C73" s="2947">
        <v>17610</v>
      </c>
      <c r="D73" s="2947">
        <v>18520</v>
      </c>
      <c r="E73" s="2947">
        <v>18720</v>
      </c>
      <c r="F73" s="2947"/>
      <c r="G73" s="2947">
        <v>12570</v>
      </c>
    </row>
    <row r="74" spans="1:7" s="2782" customFormat="1" ht="14.25" customHeight="1">
      <c r="A74" s="2947" t="s">
        <v>110</v>
      </c>
      <c r="B74" s="2947" t="s">
        <v>268</v>
      </c>
      <c r="C74" s="2947">
        <v>18600</v>
      </c>
      <c r="D74" s="2947">
        <v>16480</v>
      </c>
      <c r="E74" s="2947">
        <v>20100</v>
      </c>
      <c r="F74" s="2947"/>
      <c r="G74" s="2947">
        <v>11190</v>
      </c>
    </row>
    <row r="75" spans="1:7" s="2782" customFormat="1" ht="14.25" customHeight="1">
      <c r="A75" s="2947" t="s">
        <v>110</v>
      </c>
      <c r="B75" s="2947" t="s">
        <v>272</v>
      </c>
      <c r="C75" s="2947">
        <v>16570</v>
      </c>
      <c r="D75" s="2947">
        <v>17530</v>
      </c>
      <c r="E75" s="2947">
        <v>21030</v>
      </c>
      <c r="F75" s="2947"/>
      <c r="G75" s="2947">
        <v>11900</v>
      </c>
    </row>
    <row r="76" spans="1:7" s="2782" customFormat="1" ht="14.25" customHeight="1">
      <c r="A76" s="2947" t="s">
        <v>110</v>
      </c>
      <c r="B76" s="2947" t="s">
        <v>278</v>
      </c>
      <c r="C76" s="2947">
        <v>17610</v>
      </c>
      <c r="D76" s="2947">
        <v>20800</v>
      </c>
      <c r="E76" s="2947">
        <v>18920</v>
      </c>
      <c r="F76" s="2947"/>
      <c r="G76" s="2947">
        <v>14120</v>
      </c>
    </row>
    <row r="77" spans="1:7" s="2782" customFormat="1" ht="14.25" customHeight="1">
      <c r="A77" s="2947" t="s">
        <v>110</v>
      </c>
      <c r="B77" s="2947" t="s">
        <v>281</v>
      </c>
      <c r="C77" s="2947">
        <v>20890</v>
      </c>
      <c r="D77" s="2947">
        <v>19740</v>
      </c>
      <c r="E77" s="2947">
        <v>20110</v>
      </c>
      <c r="F77" s="2947"/>
      <c r="G77" s="2947">
        <v>13400</v>
      </c>
    </row>
    <row r="78" spans="1:7" s="2782" customFormat="1" ht="14.25" customHeight="1">
      <c r="A78" s="2947" t="s">
        <v>110</v>
      </c>
      <c r="B78" s="2947" t="s">
        <v>2938</v>
      </c>
      <c r="C78" s="2947">
        <v>19820</v>
      </c>
      <c r="D78" s="2947">
        <v>19780</v>
      </c>
      <c r="E78" s="2947">
        <v>18560</v>
      </c>
      <c r="F78" s="2947"/>
      <c r="G78" s="2947">
        <v>13430</v>
      </c>
    </row>
    <row r="79" spans="1:7" s="2782" customFormat="1" ht="14.25" customHeight="1">
      <c r="A79" s="2947" t="s">
        <v>110</v>
      </c>
      <c r="B79" s="2947" t="s">
        <v>2941</v>
      </c>
      <c r="C79" s="2947">
        <v>21660</v>
      </c>
      <c r="D79" s="2947">
        <v>18000</v>
      </c>
      <c r="E79" s="2947">
        <v>22570</v>
      </c>
      <c r="F79" s="2947"/>
      <c r="G79" s="2947">
        <v>12220</v>
      </c>
    </row>
    <row r="80" spans="1:7" s="2782" customFormat="1" ht="14.25" customHeight="1">
      <c r="A80" s="2947" t="s">
        <v>110</v>
      </c>
      <c r="B80" s="2947" t="s">
        <v>2945</v>
      </c>
      <c r="C80" s="2947">
        <v>19850</v>
      </c>
      <c r="D80" s="2947"/>
      <c r="E80" s="2947">
        <v>21700</v>
      </c>
      <c r="F80" s="2947"/>
      <c r="G80" s="2947"/>
    </row>
    <row r="81" spans="1:7" s="2782" customFormat="1" ht="14.25" customHeight="1">
      <c r="A81" s="2947" t="s">
        <v>110</v>
      </c>
      <c r="B81" s="2947" t="s">
        <v>2950</v>
      </c>
      <c r="C81" s="2947">
        <v>18080</v>
      </c>
      <c r="D81" s="2947"/>
      <c r="E81" s="2947">
        <v>20900</v>
      </c>
      <c r="F81" s="2947"/>
      <c r="G81" s="2947"/>
    </row>
    <row r="82" spans="1:7" s="2782" customFormat="1" ht="14.25" customHeight="1">
      <c r="A82" s="2947" t="s">
        <v>110</v>
      </c>
      <c r="B82" s="2947" t="s">
        <v>2957</v>
      </c>
      <c r="C82" s="2947"/>
      <c r="D82" s="2947"/>
      <c r="E82" s="2947">
        <v>20840</v>
      </c>
      <c r="F82" s="2947"/>
      <c r="G82" s="2947"/>
    </row>
    <row r="83" spans="1:7" s="2782" customFormat="1" ht="14.25" customHeight="1">
      <c r="A83" s="2947" t="s">
        <v>110</v>
      </c>
      <c r="B83" s="2947" t="s">
        <v>3068</v>
      </c>
      <c r="C83" s="2947"/>
      <c r="D83" s="2947"/>
      <c r="E83" s="2947"/>
      <c r="F83" s="2947">
        <v>4770</v>
      </c>
      <c r="G83" s="2947"/>
    </row>
    <row r="84" spans="1:7" s="2782" customFormat="1" ht="14.25" customHeight="1">
      <c r="A84" s="2947" t="s">
        <v>110</v>
      </c>
      <c r="B84" s="2947" t="s">
        <v>3069</v>
      </c>
      <c r="C84" s="2947"/>
      <c r="D84" s="2947"/>
      <c r="E84" s="2947"/>
      <c r="F84" s="2947">
        <v>4600</v>
      </c>
      <c r="G84" s="2947"/>
    </row>
    <row r="85" spans="1:7" s="2782" customFormat="1" ht="14.25" customHeight="1">
      <c r="A85" s="2947" t="s">
        <v>110</v>
      </c>
      <c r="B85" s="2947" t="s">
        <v>3070</v>
      </c>
      <c r="C85" s="2947"/>
      <c r="D85" s="2947"/>
      <c r="E85" s="2947"/>
      <c r="F85" s="2947">
        <v>4680</v>
      </c>
      <c r="G85" s="2947"/>
    </row>
    <row r="86" spans="1:7" s="2782" customFormat="1" ht="14.25" customHeight="1" thickBot="1">
      <c r="A86" s="2955" t="s">
        <v>110</v>
      </c>
      <c r="B86" s="2957" t="s">
        <v>3071</v>
      </c>
      <c r="C86" s="2958">
        <v>16610</v>
      </c>
      <c r="D86" s="2958">
        <v>16540</v>
      </c>
      <c r="E86" s="2958">
        <v>18850</v>
      </c>
      <c r="F86" s="2958"/>
      <c r="G86" s="2958">
        <v>11220</v>
      </c>
    </row>
    <row r="87" spans="1:7" s="2782" customFormat="1" ht="14.25" customHeight="1">
      <c r="A87" s="2952" t="s">
        <v>303</v>
      </c>
      <c r="B87" s="2943" t="s">
        <v>3072</v>
      </c>
      <c r="C87" s="2943">
        <v>15240</v>
      </c>
      <c r="D87" s="2943">
        <v>15170</v>
      </c>
      <c r="E87" s="2943">
        <v>18260</v>
      </c>
      <c r="F87" s="2943">
        <v>3830</v>
      </c>
      <c r="G87" s="2959">
        <v>10020</v>
      </c>
    </row>
    <row r="88" spans="1:7" s="2782" customFormat="1" ht="14.25" customHeight="1">
      <c r="A88" s="2947" t="s">
        <v>303</v>
      </c>
      <c r="B88" s="2947" t="s">
        <v>131</v>
      </c>
      <c r="C88" s="2947">
        <v>17310</v>
      </c>
      <c r="D88" s="2947">
        <v>17220</v>
      </c>
      <c r="E88" s="2947">
        <v>18610</v>
      </c>
      <c r="F88" s="2947">
        <v>3990</v>
      </c>
      <c r="G88" s="2960">
        <v>11380</v>
      </c>
    </row>
    <row r="89" spans="1:7" s="2782" customFormat="1" ht="14.25" customHeight="1">
      <c r="A89" s="2947" t="s">
        <v>303</v>
      </c>
      <c r="B89" s="2947" t="s">
        <v>140</v>
      </c>
      <c r="C89" s="2947">
        <v>15600</v>
      </c>
      <c r="D89" s="2947">
        <v>15550</v>
      </c>
      <c r="E89" s="2947">
        <v>19200</v>
      </c>
      <c r="F89" s="2947">
        <v>4110</v>
      </c>
      <c r="G89" s="2960">
        <v>10270</v>
      </c>
    </row>
    <row r="90" spans="1:7" s="2782" customFormat="1" ht="14.25" customHeight="1">
      <c r="A90" s="2947" t="s">
        <v>303</v>
      </c>
      <c r="B90" s="2947" t="s">
        <v>149</v>
      </c>
      <c r="C90" s="2947">
        <v>17330</v>
      </c>
      <c r="D90" s="2947">
        <v>17240</v>
      </c>
      <c r="E90" s="2947">
        <v>18570</v>
      </c>
      <c r="F90" s="2947">
        <v>4070</v>
      </c>
      <c r="G90" s="2960">
        <v>11390</v>
      </c>
    </row>
    <row r="91" spans="1:7" s="2782" customFormat="1" ht="14.25" customHeight="1">
      <c r="A91" s="2947" t="s">
        <v>303</v>
      </c>
      <c r="B91" s="2947" t="s">
        <v>158</v>
      </c>
      <c r="C91" s="2947">
        <v>16330</v>
      </c>
      <c r="D91" s="2947">
        <v>16260</v>
      </c>
      <c r="E91" s="2947">
        <v>16800</v>
      </c>
      <c r="F91" s="2947">
        <v>3410</v>
      </c>
      <c r="G91" s="2960">
        <v>10740</v>
      </c>
    </row>
    <row r="92" spans="1:7" s="2782" customFormat="1" ht="14.25" customHeight="1">
      <c r="A92" s="2947" t="s">
        <v>303</v>
      </c>
      <c r="B92" s="2947" t="s">
        <v>165</v>
      </c>
      <c r="C92" s="2947">
        <v>15570</v>
      </c>
      <c r="D92" s="2947">
        <v>15500</v>
      </c>
      <c r="E92" s="2947">
        <v>17360</v>
      </c>
      <c r="F92" s="2947">
        <v>3510</v>
      </c>
      <c r="G92" s="2960">
        <v>10240</v>
      </c>
    </row>
    <row r="93" spans="1:7" s="2782" customFormat="1" ht="14.25" customHeight="1">
      <c r="A93" s="2947" t="s">
        <v>303</v>
      </c>
      <c r="B93" s="2947" t="s">
        <v>171</v>
      </c>
      <c r="C93" s="2947">
        <v>14000</v>
      </c>
      <c r="D93" s="2947">
        <v>13930</v>
      </c>
      <c r="E93" s="2947">
        <v>18200</v>
      </c>
      <c r="F93" s="2947">
        <v>3640</v>
      </c>
      <c r="G93" s="2960">
        <v>9210</v>
      </c>
    </row>
    <row r="94" spans="1:7" s="2782" customFormat="1" ht="14.25" customHeight="1">
      <c r="A94" s="2947" t="s">
        <v>303</v>
      </c>
      <c r="B94" s="2947" t="s">
        <v>178</v>
      </c>
      <c r="C94" s="2947">
        <v>14530</v>
      </c>
      <c r="D94" s="2947">
        <v>14470</v>
      </c>
      <c r="E94" s="2947">
        <v>18240</v>
      </c>
      <c r="F94" s="2947">
        <v>3180</v>
      </c>
      <c r="G94" s="2960">
        <v>9560</v>
      </c>
    </row>
    <row r="95" spans="1:7" s="2782" customFormat="1" ht="14.25" customHeight="1">
      <c r="A95" s="2947" t="s">
        <v>303</v>
      </c>
      <c r="B95" s="2947" t="s">
        <v>188</v>
      </c>
      <c r="C95" s="2947">
        <v>17330</v>
      </c>
      <c r="D95" s="2947">
        <v>17260</v>
      </c>
      <c r="E95" s="2947">
        <v>18420</v>
      </c>
      <c r="F95" s="2947">
        <v>3060</v>
      </c>
      <c r="G95" s="2960">
        <v>11410</v>
      </c>
    </row>
    <row r="96" spans="1:7" s="2782" customFormat="1" ht="14.25" customHeight="1">
      <c r="A96" s="2947" t="s">
        <v>303</v>
      </c>
      <c r="B96" s="2947" t="s">
        <v>197</v>
      </c>
      <c r="C96" s="2947">
        <v>15030</v>
      </c>
      <c r="D96" s="2947">
        <v>14970</v>
      </c>
      <c r="E96" s="2947">
        <v>17580</v>
      </c>
      <c r="F96" s="2947">
        <v>2970</v>
      </c>
      <c r="G96" s="2960">
        <v>9890</v>
      </c>
    </row>
    <row r="97" spans="1:7" s="2782" customFormat="1" ht="14.25" customHeight="1">
      <c r="A97" s="2947" t="s">
        <v>303</v>
      </c>
      <c r="B97" s="2947" t="s">
        <v>204</v>
      </c>
      <c r="C97" s="2947">
        <v>17400</v>
      </c>
      <c r="D97" s="2947">
        <v>17330</v>
      </c>
      <c r="E97" s="2947">
        <v>16430</v>
      </c>
      <c r="F97" s="2947">
        <v>2950</v>
      </c>
      <c r="G97" s="2960">
        <v>11450</v>
      </c>
    </row>
    <row r="98" spans="1:7" s="2782" customFormat="1" ht="14.25" customHeight="1">
      <c r="A98" s="2947" t="s">
        <v>303</v>
      </c>
      <c r="B98" s="2947" t="s">
        <v>211</v>
      </c>
      <c r="C98" s="2947">
        <v>15200</v>
      </c>
      <c r="D98" s="2947">
        <v>15120</v>
      </c>
      <c r="E98" s="2947">
        <v>17550</v>
      </c>
      <c r="F98" s="2947">
        <v>3080</v>
      </c>
      <c r="G98" s="2960">
        <v>9990</v>
      </c>
    </row>
    <row r="99" spans="1:7" s="2782" customFormat="1" ht="14.25" customHeight="1">
      <c r="A99" s="2947" t="s">
        <v>303</v>
      </c>
      <c r="B99" s="2947" t="s">
        <v>217</v>
      </c>
      <c r="C99" s="2947">
        <v>17520</v>
      </c>
      <c r="D99" s="2947">
        <v>17430</v>
      </c>
      <c r="E99" s="2947">
        <v>16350</v>
      </c>
      <c r="F99" s="2947">
        <v>3260</v>
      </c>
      <c r="G99" s="2960">
        <v>11510</v>
      </c>
    </row>
    <row r="100" spans="1:7" s="2782" customFormat="1" ht="14.25" customHeight="1">
      <c r="A100" s="2947" t="s">
        <v>303</v>
      </c>
      <c r="B100" s="2947" t="s">
        <v>225</v>
      </c>
      <c r="C100" s="2947">
        <v>15340</v>
      </c>
      <c r="D100" s="2947">
        <v>15260</v>
      </c>
      <c r="E100" s="2947">
        <v>15930</v>
      </c>
      <c r="F100" s="2947">
        <v>2740</v>
      </c>
      <c r="G100" s="2960">
        <v>10080</v>
      </c>
    </row>
    <row r="101" spans="1:7" s="2782" customFormat="1" ht="14.25" customHeight="1">
      <c r="A101" s="2947" t="s">
        <v>303</v>
      </c>
      <c r="B101" s="2947" t="s">
        <v>233</v>
      </c>
      <c r="C101" s="2947">
        <v>14620</v>
      </c>
      <c r="D101" s="2947">
        <v>14560</v>
      </c>
      <c r="E101" s="2947">
        <v>15570</v>
      </c>
      <c r="F101" s="2947">
        <v>3500</v>
      </c>
      <c r="G101" s="2960">
        <v>9630</v>
      </c>
    </row>
    <row r="102" spans="1:7" s="2782" customFormat="1" ht="14.25" customHeight="1">
      <c r="A102" s="2947" t="s">
        <v>303</v>
      </c>
      <c r="B102" s="2947" t="s">
        <v>238</v>
      </c>
      <c r="C102" s="2947">
        <v>13680</v>
      </c>
      <c r="D102" s="2947">
        <v>13610</v>
      </c>
      <c r="E102" s="2947">
        <v>15690</v>
      </c>
      <c r="F102" s="2947">
        <v>2870</v>
      </c>
      <c r="G102" s="2960">
        <v>8990</v>
      </c>
    </row>
    <row r="103" spans="1:7" s="2782" customFormat="1" ht="14.25" customHeight="1">
      <c r="A103" s="2947" t="s">
        <v>303</v>
      </c>
      <c r="B103" s="2947" t="s">
        <v>247</v>
      </c>
      <c r="C103" s="2947">
        <v>14620</v>
      </c>
      <c r="D103" s="2947">
        <v>14540</v>
      </c>
      <c r="E103" s="2947">
        <v>15240</v>
      </c>
      <c r="F103" s="2947">
        <v>2840</v>
      </c>
      <c r="G103" s="2960">
        <v>9610</v>
      </c>
    </row>
    <row r="104" spans="1:7" s="2782" customFormat="1" ht="14.25" customHeight="1">
      <c r="A104" s="2947" t="s">
        <v>303</v>
      </c>
      <c r="B104" s="2947" t="s">
        <v>254</v>
      </c>
      <c r="C104" s="2947">
        <v>13610</v>
      </c>
      <c r="D104" s="2947">
        <v>13540</v>
      </c>
      <c r="E104" s="2947">
        <v>15750</v>
      </c>
      <c r="F104" s="2947">
        <v>2770</v>
      </c>
      <c r="G104" s="2960">
        <v>8940</v>
      </c>
    </row>
    <row r="105" spans="1:7" s="2782" customFormat="1" ht="14.25" customHeight="1">
      <c r="A105" s="2947" t="s">
        <v>303</v>
      </c>
      <c r="B105" s="2947" t="s">
        <v>262</v>
      </c>
      <c r="C105" s="2947">
        <v>13310</v>
      </c>
      <c r="D105" s="2947">
        <v>13240</v>
      </c>
      <c r="E105" s="2947">
        <v>16280</v>
      </c>
      <c r="F105" s="2947">
        <v>3210</v>
      </c>
      <c r="G105" s="2960">
        <v>8750</v>
      </c>
    </row>
    <row r="106" spans="1:7" s="2782" customFormat="1" ht="14.25" customHeight="1">
      <c r="A106" s="2947" t="s">
        <v>303</v>
      </c>
      <c r="B106" s="2947" t="s">
        <v>269</v>
      </c>
      <c r="C106" s="2947">
        <v>13010</v>
      </c>
      <c r="D106" s="2947">
        <v>12930</v>
      </c>
      <c r="E106" s="2947">
        <v>14960</v>
      </c>
      <c r="F106" s="2947">
        <v>3530</v>
      </c>
      <c r="G106" s="2960">
        <v>8550</v>
      </c>
    </row>
    <row r="107" spans="1:7" s="2782" customFormat="1" ht="14.25" customHeight="1">
      <c r="A107" s="2947" t="s">
        <v>303</v>
      </c>
      <c r="B107" s="2947" t="s">
        <v>273</v>
      </c>
      <c r="C107" s="2947">
        <v>13070</v>
      </c>
      <c r="D107" s="2947">
        <v>13000</v>
      </c>
      <c r="E107" s="2947">
        <v>15910</v>
      </c>
      <c r="F107" s="2947">
        <v>3990</v>
      </c>
      <c r="G107" s="2960">
        <v>8580</v>
      </c>
    </row>
    <row r="108" spans="1:7" s="2782" customFormat="1" ht="14.25" customHeight="1">
      <c r="A108" s="2947" t="s">
        <v>303</v>
      </c>
      <c r="B108" s="2947" t="s">
        <v>279</v>
      </c>
      <c r="C108" s="2947">
        <v>12640</v>
      </c>
      <c r="D108" s="2947">
        <v>12580</v>
      </c>
      <c r="E108" s="2947">
        <v>15730</v>
      </c>
      <c r="F108" s="2947"/>
      <c r="G108" s="2960">
        <v>8310</v>
      </c>
    </row>
    <row r="109" spans="1:7" s="2782" customFormat="1" ht="14.25" customHeight="1">
      <c r="A109" s="2947" t="s">
        <v>303</v>
      </c>
      <c r="B109" s="2947" t="s">
        <v>282</v>
      </c>
      <c r="C109" s="2947">
        <v>13130</v>
      </c>
      <c r="D109" s="2947">
        <v>13070</v>
      </c>
      <c r="E109" s="2947">
        <v>15000</v>
      </c>
      <c r="F109" s="2947"/>
      <c r="G109" s="2960">
        <v>8630</v>
      </c>
    </row>
    <row r="110" spans="1:7" s="2782" customFormat="1" ht="14.25" customHeight="1">
      <c r="A110" s="2947" t="s">
        <v>303</v>
      </c>
      <c r="B110" s="2947" t="s">
        <v>284</v>
      </c>
      <c r="C110" s="2947">
        <v>13560</v>
      </c>
      <c r="D110" s="2947">
        <v>13490</v>
      </c>
      <c r="E110" s="2947">
        <v>16300</v>
      </c>
      <c r="F110" s="2947"/>
      <c r="G110" s="2960">
        <v>8920</v>
      </c>
    </row>
    <row r="111" spans="1:7" s="2782" customFormat="1" ht="14.25" customHeight="1">
      <c r="A111" s="2947" t="s">
        <v>303</v>
      </c>
      <c r="B111" s="2947" t="s">
        <v>287</v>
      </c>
      <c r="C111" s="2947">
        <v>12440</v>
      </c>
      <c r="D111" s="2947">
        <v>12380</v>
      </c>
      <c r="E111" s="2947">
        <v>17850</v>
      </c>
      <c r="F111" s="2947"/>
      <c r="G111" s="2960">
        <v>8180</v>
      </c>
    </row>
    <row r="112" spans="1:7" s="2782" customFormat="1" ht="14.25" customHeight="1">
      <c r="A112" s="2947" t="s">
        <v>303</v>
      </c>
      <c r="B112" s="2947" t="s">
        <v>291</v>
      </c>
      <c r="C112" s="2947">
        <v>13260</v>
      </c>
      <c r="D112" s="2947">
        <v>13180</v>
      </c>
      <c r="E112" s="2947">
        <v>19740</v>
      </c>
      <c r="F112" s="2947"/>
      <c r="G112" s="2960">
        <v>8710</v>
      </c>
    </row>
    <row r="113" spans="1:7" s="2782" customFormat="1" ht="14.25" customHeight="1">
      <c r="A113" s="2947" t="s">
        <v>303</v>
      </c>
      <c r="B113" s="2947" t="s">
        <v>2951</v>
      </c>
      <c r="C113" s="2947">
        <v>15520</v>
      </c>
      <c r="D113" s="2947">
        <v>15450</v>
      </c>
      <c r="E113" s="2947"/>
      <c r="F113" s="2947"/>
      <c r="G113" s="2960">
        <v>10210</v>
      </c>
    </row>
    <row r="114" spans="1:7" s="2782" customFormat="1" ht="14.25" customHeight="1">
      <c r="A114" s="2947" t="s">
        <v>303</v>
      </c>
      <c r="B114" s="2947" t="s">
        <v>2958</v>
      </c>
      <c r="C114" s="2947">
        <v>13110</v>
      </c>
      <c r="D114" s="2947">
        <v>13050</v>
      </c>
      <c r="E114" s="2947"/>
      <c r="F114" s="2947"/>
      <c r="G114" s="2960">
        <v>8620</v>
      </c>
    </row>
    <row r="115" spans="1:7" s="2782" customFormat="1" ht="14.25" customHeight="1">
      <c r="A115" s="2947" t="s">
        <v>303</v>
      </c>
      <c r="B115" s="2947" t="s">
        <v>2964</v>
      </c>
      <c r="C115" s="2947">
        <v>12460</v>
      </c>
      <c r="D115" s="2947">
        <v>12390</v>
      </c>
      <c r="E115" s="2947"/>
      <c r="F115" s="2947"/>
      <c r="G115" s="2960">
        <v>8190</v>
      </c>
    </row>
    <row r="116" spans="1:7" s="2782" customFormat="1" ht="14.25" customHeight="1">
      <c r="A116" s="2947" t="s">
        <v>303</v>
      </c>
      <c r="B116" s="2947" t="s">
        <v>2971</v>
      </c>
      <c r="C116" s="2947">
        <v>13580</v>
      </c>
      <c r="D116" s="2947">
        <v>13520</v>
      </c>
      <c r="E116" s="2947"/>
      <c r="F116" s="2947"/>
      <c r="G116" s="2960">
        <v>8930</v>
      </c>
    </row>
    <row r="117" spans="1:7" s="2782" customFormat="1" ht="14.25" customHeight="1">
      <c r="A117" s="2947" t="s">
        <v>303</v>
      </c>
      <c r="B117" s="2947" t="s">
        <v>2978</v>
      </c>
      <c r="C117" s="2947">
        <v>17120</v>
      </c>
      <c r="D117" s="2947">
        <v>17040</v>
      </c>
      <c r="E117" s="2947"/>
      <c r="F117" s="2947"/>
      <c r="G117" s="2960">
        <v>11260</v>
      </c>
    </row>
    <row r="118" spans="1:7" s="2782" customFormat="1" ht="14.25" customHeight="1">
      <c r="A118" s="2947" t="s">
        <v>303</v>
      </c>
      <c r="B118" s="2947" t="s">
        <v>2983</v>
      </c>
      <c r="C118" s="2947">
        <v>14860</v>
      </c>
      <c r="D118" s="2947">
        <v>14790</v>
      </c>
      <c r="E118" s="2947"/>
      <c r="F118" s="2947"/>
      <c r="G118" s="2960">
        <v>9780</v>
      </c>
    </row>
    <row r="119" spans="1:7" s="2782" customFormat="1" ht="14.25" customHeight="1">
      <c r="A119" s="2947" t="s">
        <v>303</v>
      </c>
      <c r="B119" s="2947" t="s">
        <v>2987</v>
      </c>
      <c r="C119" s="2947">
        <v>16470</v>
      </c>
      <c r="D119" s="2947">
        <v>16400</v>
      </c>
      <c r="E119" s="2947"/>
      <c r="F119" s="2947"/>
      <c r="G119" s="2960">
        <v>10840</v>
      </c>
    </row>
    <row r="120" spans="1:7" s="2782" customFormat="1" ht="14.25" customHeight="1">
      <c r="A120" s="2947" t="s">
        <v>303</v>
      </c>
      <c r="B120" s="2947" t="s">
        <v>3073</v>
      </c>
      <c r="C120" s="2947"/>
      <c r="D120" s="2947"/>
      <c r="E120" s="2947"/>
      <c r="F120" s="2947">
        <v>4160</v>
      </c>
      <c r="G120" s="2960"/>
    </row>
    <row r="121" spans="1:7" s="2782" customFormat="1" ht="14.25" customHeight="1">
      <c r="A121" s="2947" t="s">
        <v>303</v>
      </c>
      <c r="B121" s="2947" t="s">
        <v>3074</v>
      </c>
      <c r="C121" s="2947"/>
      <c r="D121" s="2947"/>
      <c r="E121" s="2947"/>
      <c r="F121" s="2947">
        <v>3880</v>
      </c>
      <c r="G121" s="2960"/>
    </row>
    <row r="122" spans="1:7" s="2782" customFormat="1" ht="14.25" customHeight="1">
      <c r="A122" s="2947" t="s">
        <v>303</v>
      </c>
      <c r="B122" s="2947" t="s">
        <v>3075</v>
      </c>
      <c r="C122" s="2947">
        <v>13750</v>
      </c>
      <c r="D122" s="2947">
        <v>13680</v>
      </c>
      <c r="E122" s="2947">
        <v>16460</v>
      </c>
      <c r="F122" s="2947">
        <v>2880</v>
      </c>
      <c r="G122" s="2960">
        <v>9040</v>
      </c>
    </row>
    <row r="123" spans="1:7" s="2782" customFormat="1" ht="14.25" customHeight="1">
      <c r="A123" s="2947" t="s">
        <v>303</v>
      </c>
      <c r="B123" s="2947" t="s">
        <v>3006</v>
      </c>
      <c r="C123" s="2947">
        <v>13590</v>
      </c>
      <c r="D123" s="2947">
        <v>13520</v>
      </c>
      <c r="E123" s="2947">
        <v>16290</v>
      </c>
      <c r="F123" s="2947">
        <v>2790</v>
      </c>
      <c r="G123" s="2960">
        <v>8930</v>
      </c>
    </row>
    <row r="124" spans="1:7" s="2782" customFormat="1" ht="14.25" customHeight="1">
      <c r="A124" s="2947" t="s">
        <v>303</v>
      </c>
      <c r="B124" s="2947" t="s">
        <v>3011</v>
      </c>
      <c r="C124" s="2947">
        <v>13400</v>
      </c>
      <c r="D124" s="2947">
        <v>13320</v>
      </c>
      <c r="E124" s="2947">
        <v>16100</v>
      </c>
      <c r="F124" s="2947">
        <v>2320</v>
      </c>
      <c r="G124" s="2960">
        <v>8800</v>
      </c>
    </row>
    <row r="125" spans="1:7" s="2782" customFormat="1" ht="14.25" customHeight="1">
      <c r="A125" s="2947" t="s">
        <v>303</v>
      </c>
      <c r="B125" s="2947" t="s">
        <v>3016</v>
      </c>
      <c r="C125" s="2947">
        <v>12860</v>
      </c>
      <c r="D125" s="2947">
        <v>12790</v>
      </c>
      <c r="E125" s="2947">
        <v>15370</v>
      </c>
      <c r="F125" s="2947">
        <v>2280</v>
      </c>
      <c r="G125" s="2960">
        <v>8450</v>
      </c>
    </row>
    <row r="126" spans="1:7" s="2782" customFormat="1" ht="14.25" customHeight="1" thickBot="1">
      <c r="A126" s="2961" t="s">
        <v>303</v>
      </c>
      <c r="B126" s="2954" t="s">
        <v>3021</v>
      </c>
      <c r="C126" s="2954">
        <v>12960</v>
      </c>
      <c r="D126" s="2954">
        <v>12890</v>
      </c>
      <c r="E126" s="2954">
        <v>15530</v>
      </c>
      <c r="F126" s="2954">
        <v>2910</v>
      </c>
      <c r="G126" s="2962">
        <v>8520</v>
      </c>
    </row>
    <row r="127" spans="1:7" s="2782" customFormat="1" ht="14.25" customHeight="1">
      <c r="A127" s="2952" t="s">
        <v>29</v>
      </c>
      <c r="B127" s="2943" t="s">
        <v>3076</v>
      </c>
      <c r="C127" s="2947">
        <v>12280</v>
      </c>
      <c r="D127" s="2947">
        <v>12250</v>
      </c>
      <c r="E127" s="2947">
        <v>15130</v>
      </c>
      <c r="F127" s="2947">
        <v>2710</v>
      </c>
      <c r="G127" s="2947">
        <v>7870</v>
      </c>
    </row>
    <row r="128" spans="1:7" s="2782" customFormat="1" ht="14.25" customHeight="1">
      <c r="A128" s="2947" t="s">
        <v>29</v>
      </c>
      <c r="B128" s="2947" t="s">
        <v>132</v>
      </c>
      <c r="C128" s="2947">
        <v>13180</v>
      </c>
      <c r="D128" s="2947">
        <v>13150</v>
      </c>
      <c r="E128" s="2947">
        <v>16190</v>
      </c>
      <c r="F128" s="2947">
        <v>2820</v>
      </c>
      <c r="G128" s="2947">
        <v>8460</v>
      </c>
    </row>
    <row r="129" spans="1:7" s="2782" customFormat="1" ht="14.25" customHeight="1">
      <c r="A129" s="2947" t="s">
        <v>29</v>
      </c>
      <c r="B129" s="2947" t="s">
        <v>141</v>
      </c>
      <c r="C129" s="2947">
        <v>10950</v>
      </c>
      <c r="D129" s="2947">
        <v>10920</v>
      </c>
      <c r="E129" s="2947">
        <v>13820</v>
      </c>
      <c r="F129" s="2947">
        <v>2500</v>
      </c>
      <c r="G129" s="2947">
        <v>7020</v>
      </c>
    </row>
    <row r="130" spans="1:7" s="2782" customFormat="1" ht="14.25" customHeight="1">
      <c r="A130" s="2947" t="s">
        <v>29</v>
      </c>
      <c r="B130" s="2947" t="s">
        <v>150</v>
      </c>
      <c r="C130" s="2947">
        <v>10910</v>
      </c>
      <c r="D130" s="2947">
        <v>10860</v>
      </c>
      <c r="E130" s="2947">
        <v>13730</v>
      </c>
      <c r="F130" s="2947">
        <v>2760</v>
      </c>
      <c r="G130" s="2947">
        <v>6990</v>
      </c>
    </row>
    <row r="131" spans="1:7" s="2782" customFormat="1" ht="14.25" customHeight="1">
      <c r="A131" s="2947" t="s">
        <v>29</v>
      </c>
      <c r="B131" s="2947" t="s">
        <v>159</v>
      </c>
      <c r="C131" s="2947">
        <v>12910</v>
      </c>
      <c r="D131" s="2947">
        <v>12870</v>
      </c>
      <c r="E131" s="2947">
        <v>15720</v>
      </c>
      <c r="F131" s="2947">
        <v>2750</v>
      </c>
      <c r="G131" s="2947">
        <v>8280</v>
      </c>
    </row>
    <row r="132" spans="1:7" s="2782" customFormat="1" ht="14.25" customHeight="1">
      <c r="A132" s="2947" t="s">
        <v>29</v>
      </c>
      <c r="B132" s="2947" t="s">
        <v>166</v>
      </c>
      <c r="C132" s="2947">
        <v>11910</v>
      </c>
      <c r="D132" s="2947">
        <v>11860</v>
      </c>
      <c r="E132" s="2947">
        <v>14730</v>
      </c>
      <c r="F132" s="2947">
        <v>2360</v>
      </c>
      <c r="G132" s="2947">
        <v>7630</v>
      </c>
    </row>
    <row r="133" spans="1:7" s="2782" customFormat="1" ht="14.25" customHeight="1">
      <c r="A133" s="2947" t="s">
        <v>29</v>
      </c>
      <c r="B133" s="2947" t="s">
        <v>172</v>
      </c>
      <c r="C133" s="2947">
        <v>12270</v>
      </c>
      <c r="D133" s="2947">
        <v>12210</v>
      </c>
      <c r="E133" s="2947">
        <v>15010</v>
      </c>
      <c r="F133" s="2947">
        <v>2580</v>
      </c>
      <c r="G133" s="2947">
        <v>7860</v>
      </c>
    </row>
    <row r="134" spans="1:7" s="2782" customFormat="1" ht="14.25" customHeight="1">
      <c r="A134" s="2947" t="s">
        <v>29</v>
      </c>
      <c r="B134" s="2947" t="s">
        <v>179</v>
      </c>
      <c r="C134" s="2947">
        <v>10800</v>
      </c>
      <c r="D134" s="2947">
        <v>10780</v>
      </c>
      <c r="E134" s="2947">
        <v>13640</v>
      </c>
      <c r="F134" s="2947">
        <v>2110</v>
      </c>
      <c r="G134" s="2947">
        <v>6930</v>
      </c>
    </row>
    <row r="135" spans="1:7" s="2782" customFormat="1" ht="14.25" customHeight="1">
      <c r="A135" s="2947" t="s">
        <v>29</v>
      </c>
      <c r="B135" s="2947" t="s">
        <v>189</v>
      </c>
      <c r="C135" s="2947">
        <v>10430</v>
      </c>
      <c r="D135" s="2947">
        <v>10390</v>
      </c>
      <c r="E135" s="2947">
        <v>13140</v>
      </c>
      <c r="F135" s="2947">
        <v>2240</v>
      </c>
      <c r="G135" s="2947">
        <v>6680</v>
      </c>
    </row>
    <row r="136" spans="1:7" s="2782" customFormat="1" ht="14.25" customHeight="1">
      <c r="A136" s="2947" t="s">
        <v>29</v>
      </c>
      <c r="B136" s="2947" t="s">
        <v>198</v>
      </c>
      <c r="C136" s="2947">
        <v>11930</v>
      </c>
      <c r="D136" s="2947">
        <v>11880</v>
      </c>
      <c r="E136" s="2947">
        <v>14770</v>
      </c>
      <c r="F136" s="2947">
        <v>1970</v>
      </c>
      <c r="G136" s="2947">
        <v>7640</v>
      </c>
    </row>
    <row r="137" spans="1:7" s="2782" customFormat="1" ht="14.25" customHeight="1">
      <c r="A137" s="2947" t="s">
        <v>29</v>
      </c>
      <c r="B137" s="2947" t="s">
        <v>205</v>
      </c>
      <c r="C137" s="2947">
        <v>10470</v>
      </c>
      <c r="D137" s="2947">
        <v>10430</v>
      </c>
      <c r="E137" s="2947">
        <v>13190</v>
      </c>
      <c r="F137" s="2947">
        <v>1990</v>
      </c>
      <c r="G137" s="2947">
        <v>6710</v>
      </c>
    </row>
    <row r="138" spans="1:7" s="2782" customFormat="1" ht="14.25" customHeight="1">
      <c r="A138" s="2947" t="s">
        <v>29</v>
      </c>
      <c r="B138" s="2947" t="s">
        <v>212</v>
      </c>
      <c r="C138" s="2947">
        <v>10410</v>
      </c>
      <c r="D138" s="2947">
        <v>10380</v>
      </c>
      <c r="E138" s="2947">
        <v>13130</v>
      </c>
      <c r="F138" s="2947">
        <v>2030</v>
      </c>
      <c r="G138" s="2947">
        <v>6680</v>
      </c>
    </row>
    <row r="139" spans="1:7" s="2782" customFormat="1" ht="14.25" customHeight="1">
      <c r="A139" s="2947" t="s">
        <v>29</v>
      </c>
      <c r="B139" s="2947" t="s">
        <v>218</v>
      </c>
      <c r="C139" s="2947">
        <v>9460</v>
      </c>
      <c r="D139" s="2947">
        <v>9410</v>
      </c>
      <c r="E139" s="2947">
        <v>12050</v>
      </c>
      <c r="F139" s="2947">
        <v>2140</v>
      </c>
      <c r="G139" s="2947">
        <v>6050</v>
      </c>
    </row>
    <row r="140" spans="1:7" s="2782" customFormat="1" ht="14.25" customHeight="1">
      <c r="A140" s="2947" t="s">
        <v>29</v>
      </c>
      <c r="B140" s="2947" t="s">
        <v>226</v>
      </c>
      <c r="C140" s="2947">
        <v>11030</v>
      </c>
      <c r="D140" s="2947">
        <v>10980</v>
      </c>
      <c r="E140" s="2947">
        <v>13880</v>
      </c>
      <c r="F140" s="2947">
        <v>2210</v>
      </c>
      <c r="G140" s="2947">
        <v>7060</v>
      </c>
    </row>
    <row r="141" spans="1:7" s="2782" customFormat="1" ht="14.25" customHeight="1">
      <c r="A141" s="2947" t="s">
        <v>29</v>
      </c>
      <c r="B141" s="2947" t="s">
        <v>234</v>
      </c>
      <c r="C141" s="2947">
        <v>11200</v>
      </c>
      <c r="D141" s="2947">
        <v>11150</v>
      </c>
      <c r="E141" s="2947">
        <v>14100</v>
      </c>
      <c r="F141" s="2947">
        <v>2470</v>
      </c>
      <c r="G141" s="2947">
        <v>7170</v>
      </c>
    </row>
    <row r="142" spans="1:7" s="2782" customFormat="1" ht="14.25" customHeight="1">
      <c r="A142" s="2947" t="s">
        <v>29</v>
      </c>
      <c r="B142" s="2947" t="s">
        <v>239</v>
      </c>
      <c r="C142" s="2947">
        <v>10780</v>
      </c>
      <c r="D142" s="2947">
        <v>10730</v>
      </c>
      <c r="E142" s="2947">
        <v>13540</v>
      </c>
      <c r="F142" s="2947">
        <v>2280</v>
      </c>
      <c r="G142" s="2947">
        <v>6900</v>
      </c>
    </row>
    <row r="143" spans="1:7" s="2782" customFormat="1" ht="14.25" customHeight="1">
      <c r="A143" s="2947" t="s">
        <v>29</v>
      </c>
      <c r="B143" s="2947" t="s">
        <v>248</v>
      </c>
      <c r="C143" s="2947">
        <v>11550</v>
      </c>
      <c r="D143" s="2947">
        <v>11490</v>
      </c>
      <c r="E143" s="2947">
        <v>14480</v>
      </c>
      <c r="F143" s="2947">
        <v>2070</v>
      </c>
      <c r="G143" s="2947">
        <v>7390</v>
      </c>
    </row>
    <row r="144" spans="1:7" s="2782" customFormat="1" ht="14.25" customHeight="1">
      <c r="A144" s="2947" t="s">
        <v>29</v>
      </c>
      <c r="B144" s="2947" t="s">
        <v>255</v>
      </c>
      <c r="C144" s="2947">
        <v>10720</v>
      </c>
      <c r="D144" s="2947">
        <v>10680</v>
      </c>
      <c r="E144" s="2947">
        <v>13480</v>
      </c>
      <c r="F144" s="2947">
        <v>2440</v>
      </c>
      <c r="G144" s="2947">
        <v>6870</v>
      </c>
    </row>
    <row r="145" spans="1:7" s="2782" customFormat="1" ht="14.25" customHeight="1">
      <c r="A145" s="2947" t="s">
        <v>29</v>
      </c>
      <c r="B145" s="2947" t="s">
        <v>263</v>
      </c>
      <c r="C145" s="2947">
        <v>10340</v>
      </c>
      <c r="D145" s="2947">
        <v>10290</v>
      </c>
      <c r="E145" s="2947">
        <v>12880</v>
      </c>
      <c r="F145" s="2947">
        <v>2650</v>
      </c>
      <c r="G145" s="2947">
        <v>6620</v>
      </c>
    </row>
    <row r="146" spans="1:7" s="2782" customFormat="1" ht="14.25" customHeight="1">
      <c r="A146" s="2947" t="s">
        <v>29</v>
      </c>
      <c r="B146" s="2947" t="s">
        <v>270</v>
      </c>
      <c r="C146" s="2947">
        <v>11890</v>
      </c>
      <c r="D146" s="2947">
        <v>11830</v>
      </c>
      <c r="E146" s="2947">
        <v>14670</v>
      </c>
      <c r="F146" s="2947"/>
      <c r="G146" s="2947">
        <v>7610</v>
      </c>
    </row>
    <row r="147" spans="1:7" s="2782" customFormat="1" ht="14.25" customHeight="1">
      <c r="A147" s="2947" t="s">
        <v>29</v>
      </c>
      <c r="B147" s="2947" t="s">
        <v>274</v>
      </c>
      <c r="C147" s="2947">
        <v>12650</v>
      </c>
      <c r="D147" s="2947">
        <v>12600</v>
      </c>
      <c r="E147" s="2947">
        <v>15440</v>
      </c>
      <c r="F147" s="2947"/>
      <c r="G147" s="2947">
        <v>8110</v>
      </c>
    </row>
    <row r="148" spans="1:7" s="2782" customFormat="1" ht="14.25" customHeight="1">
      <c r="A148" s="2947" t="s">
        <v>29</v>
      </c>
      <c r="B148" s="2947" t="s">
        <v>3077</v>
      </c>
      <c r="C148" s="2947">
        <v>10370</v>
      </c>
      <c r="D148" s="2947">
        <v>10310</v>
      </c>
      <c r="E148" s="2947">
        <v>12970</v>
      </c>
      <c r="F148" s="2947"/>
      <c r="G148" s="2947">
        <v>6630</v>
      </c>
    </row>
    <row r="149" spans="1:7" s="2782" customFormat="1" ht="14.25" customHeight="1">
      <c r="A149" s="2947" t="s">
        <v>29</v>
      </c>
      <c r="B149" s="2947" t="s">
        <v>3078</v>
      </c>
      <c r="C149" s="2947">
        <v>11600</v>
      </c>
      <c r="D149" s="2947">
        <v>11560</v>
      </c>
      <c r="E149" s="2947">
        <v>14540</v>
      </c>
      <c r="F149" s="2947">
        <v>2390</v>
      </c>
      <c r="G149" s="2947">
        <v>7430</v>
      </c>
    </row>
    <row r="150" spans="1:7" s="2782" customFormat="1" ht="14.25" customHeight="1">
      <c r="A150" s="2947" t="s">
        <v>29</v>
      </c>
      <c r="B150" s="2947" t="s">
        <v>292</v>
      </c>
      <c r="C150" s="2947">
        <v>9950</v>
      </c>
      <c r="D150" s="2947">
        <v>9890</v>
      </c>
      <c r="E150" s="2947">
        <v>12590</v>
      </c>
      <c r="F150" s="2947">
        <v>1970</v>
      </c>
      <c r="G150" s="2947">
        <v>6360</v>
      </c>
    </row>
    <row r="151" spans="1:7" s="2782" customFormat="1" ht="14.25" customHeight="1">
      <c r="A151" s="2947" t="s">
        <v>29</v>
      </c>
      <c r="B151" s="2947" t="s">
        <v>294</v>
      </c>
      <c r="C151" s="2947">
        <v>10700</v>
      </c>
      <c r="D151" s="2947">
        <v>10650</v>
      </c>
      <c r="E151" s="2947">
        <v>13420</v>
      </c>
      <c r="F151" s="2947">
        <v>2020</v>
      </c>
      <c r="G151" s="2947">
        <v>6850</v>
      </c>
    </row>
    <row r="152" spans="1:7" s="2782" customFormat="1" ht="14.25" customHeight="1">
      <c r="A152" s="2947" t="s">
        <v>29</v>
      </c>
      <c r="B152" s="2947" t="s">
        <v>297</v>
      </c>
      <c r="C152" s="2947">
        <v>10310</v>
      </c>
      <c r="D152" s="2947">
        <v>10260</v>
      </c>
      <c r="E152" s="2947">
        <v>12820</v>
      </c>
      <c r="F152" s="2947">
        <v>1980</v>
      </c>
      <c r="G152" s="2947">
        <v>6600</v>
      </c>
    </row>
    <row r="153" spans="1:7" s="2782" customFormat="1" ht="14.25" customHeight="1">
      <c r="A153" s="2947" t="s">
        <v>29</v>
      </c>
      <c r="B153" s="2947" t="s">
        <v>2952</v>
      </c>
      <c r="C153" s="2947">
        <v>10880</v>
      </c>
      <c r="D153" s="2947">
        <v>10820</v>
      </c>
      <c r="E153" s="2947">
        <v>13660</v>
      </c>
      <c r="F153" s="2947">
        <v>2260</v>
      </c>
      <c r="G153" s="2947">
        <v>6970</v>
      </c>
    </row>
    <row r="154" spans="1:7" s="2782" customFormat="1" ht="14.25" customHeight="1">
      <c r="A154" s="2947" t="s">
        <v>29</v>
      </c>
      <c r="B154" s="2947" t="s">
        <v>3079</v>
      </c>
      <c r="C154" s="2947">
        <v>11220</v>
      </c>
      <c r="D154" s="2947">
        <v>11160</v>
      </c>
      <c r="E154" s="2947">
        <v>14130</v>
      </c>
      <c r="F154" s="2947">
        <v>2230</v>
      </c>
      <c r="G154" s="2947">
        <v>7180</v>
      </c>
    </row>
    <row r="155" spans="1:7" s="2782" customFormat="1" ht="14.25" customHeight="1">
      <c r="A155" s="2947" t="s">
        <v>29</v>
      </c>
      <c r="B155" s="2947" t="s">
        <v>2965</v>
      </c>
      <c r="C155" s="2947">
        <v>10430</v>
      </c>
      <c r="D155" s="2947">
        <v>10380</v>
      </c>
      <c r="E155" s="2947">
        <v>13140</v>
      </c>
      <c r="F155" s="2947">
        <v>2080</v>
      </c>
      <c r="G155" s="2947">
        <v>6650</v>
      </c>
    </row>
    <row r="156" spans="1:7" s="2782" customFormat="1" ht="14.25" customHeight="1">
      <c r="A156" s="2947" t="s">
        <v>29</v>
      </c>
      <c r="B156" s="2947" t="s">
        <v>3080</v>
      </c>
      <c r="C156" s="2947">
        <v>10440</v>
      </c>
      <c r="D156" s="2947">
        <v>10400</v>
      </c>
      <c r="E156" s="2947">
        <v>13150</v>
      </c>
      <c r="F156" s="2947">
        <v>2490</v>
      </c>
      <c r="G156" s="2947">
        <v>6690</v>
      </c>
    </row>
    <row r="157" spans="1:7" s="2782" customFormat="1" ht="14.25" customHeight="1">
      <c r="A157" s="2947" t="s">
        <v>29</v>
      </c>
      <c r="B157" s="2947" t="s">
        <v>300</v>
      </c>
      <c r="C157" s="2947">
        <v>10970</v>
      </c>
      <c r="D157" s="2947">
        <v>10920</v>
      </c>
      <c r="E157" s="2947">
        <v>13840</v>
      </c>
      <c r="F157" s="2947">
        <v>2420</v>
      </c>
      <c r="G157" s="2947">
        <v>7020</v>
      </c>
    </row>
    <row r="158" spans="1:7" s="2782" customFormat="1" ht="14.25" customHeight="1">
      <c r="A158" s="2947" t="s">
        <v>29</v>
      </c>
      <c r="B158" s="2947" t="s">
        <v>301</v>
      </c>
      <c r="C158" s="2947">
        <v>9590</v>
      </c>
      <c r="D158" s="2947">
        <v>9540</v>
      </c>
      <c r="E158" s="2947">
        <v>12210</v>
      </c>
      <c r="F158" s="2947">
        <v>2100</v>
      </c>
      <c r="G158" s="2947">
        <v>6130</v>
      </c>
    </row>
    <row r="159" spans="1:7" s="2782" customFormat="1" ht="14.25" customHeight="1">
      <c r="A159" s="2947" t="s">
        <v>29</v>
      </c>
      <c r="B159" s="2947" t="s">
        <v>302</v>
      </c>
      <c r="C159" s="2947">
        <v>11190</v>
      </c>
      <c r="D159" s="2947">
        <v>11140</v>
      </c>
      <c r="E159" s="2947">
        <v>14090</v>
      </c>
      <c r="F159" s="2947">
        <v>2470</v>
      </c>
      <c r="G159" s="2947">
        <v>7170</v>
      </c>
    </row>
    <row r="160" spans="1:7" s="2782" customFormat="1" ht="14.25" customHeight="1">
      <c r="A160" s="2947" t="s">
        <v>29</v>
      </c>
      <c r="B160" s="2947" t="s">
        <v>3081</v>
      </c>
      <c r="C160" s="2947">
        <v>11180</v>
      </c>
      <c r="D160" s="2947">
        <v>11140</v>
      </c>
      <c r="E160" s="2947">
        <v>14050</v>
      </c>
      <c r="F160" s="2947">
        <v>2270</v>
      </c>
      <c r="G160" s="2947">
        <v>7170</v>
      </c>
    </row>
    <row r="161" spans="1:7" s="2782" customFormat="1" ht="14.25" customHeight="1">
      <c r="A161" s="2947" t="s">
        <v>29</v>
      </c>
      <c r="B161" s="2947" t="s">
        <v>2997</v>
      </c>
      <c r="C161" s="2947">
        <v>11160</v>
      </c>
      <c r="D161" s="2947">
        <v>11120</v>
      </c>
      <c r="E161" s="2947">
        <v>14020</v>
      </c>
      <c r="F161" s="2947">
        <v>2150</v>
      </c>
      <c r="G161" s="2947">
        <v>7160</v>
      </c>
    </row>
    <row r="162" spans="1:7" s="2782" customFormat="1" ht="14.25" customHeight="1">
      <c r="A162" s="2947" t="s">
        <v>29</v>
      </c>
      <c r="B162" s="2947" t="s">
        <v>3002</v>
      </c>
      <c r="C162" s="2947">
        <v>9620</v>
      </c>
      <c r="D162" s="2947">
        <v>9570</v>
      </c>
      <c r="E162" s="2947">
        <v>12320</v>
      </c>
      <c r="F162" s="2947">
        <v>2010</v>
      </c>
      <c r="G162" s="2947">
        <v>6160</v>
      </c>
    </row>
    <row r="163" spans="1:7" s="2782" customFormat="1" ht="14.25" customHeight="1">
      <c r="A163" s="2947" t="s">
        <v>29</v>
      </c>
      <c r="B163" s="2947" t="s">
        <v>3007</v>
      </c>
      <c r="C163" s="2947">
        <v>9320</v>
      </c>
      <c r="D163" s="2947">
        <v>9270</v>
      </c>
      <c r="E163" s="2947">
        <v>11790</v>
      </c>
      <c r="F163" s="2947">
        <v>1920</v>
      </c>
      <c r="G163" s="2947">
        <v>5960</v>
      </c>
    </row>
    <row r="164" spans="1:7" s="2782" customFormat="1" ht="14.25" customHeight="1">
      <c r="A164" s="2947" t="s">
        <v>29</v>
      </c>
      <c r="B164" s="2947" t="s">
        <v>3012</v>
      </c>
      <c r="C164" s="2947"/>
      <c r="D164" s="2947"/>
      <c r="E164" s="2947"/>
      <c r="F164" s="2947">
        <v>1980</v>
      </c>
      <c r="G164" s="2947"/>
    </row>
    <row r="165" spans="1:7" s="2782" customFormat="1" ht="14.25" customHeight="1">
      <c r="A165" s="2947" t="s">
        <v>29</v>
      </c>
      <c r="B165" s="2947" t="s">
        <v>3082</v>
      </c>
      <c r="C165" s="2947">
        <v>11060</v>
      </c>
      <c r="D165" s="2947">
        <v>11030</v>
      </c>
      <c r="E165" s="2947">
        <v>13850</v>
      </c>
      <c r="F165" s="2947">
        <v>2170</v>
      </c>
      <c r="G165" s="2947">
        <v>7090</v>
      </c>
    </row>
    <row r="166" spans="1:7" s="2782" customFormat="1" ht="14.25" customHeight="1">
      <c r="A166" s="2947" t="s">
        <v>29</v>
      </c>
      <c r="B166" s="2947" t="s">
        <v>3022</v>
      </c>
      <c r="C166" s="2947">
        <v>11050</v>
      </c>
      <c r="D166" s="2947">
        <v>11010</v>
      </c>
      <c r="E166" s="2947">
        <v>13920</v>
      </c>
      <c r="F166" s="2947">
        <v>2140</v>
      </c>
      <c r="G166" s="2947">
        <v>7080</v>
      </c>
    </row>
    <row r="167" spans="1:7" s="2782" customFormat="1" ht="14.25" customHeight="1">
      <c r="A167" s="2947" t="s">
        <v>29</v>
      </c>
      <c r="B167" s="2947" t="s">
        <v>3026</v>
      </c>
      <c r="C167" s="2947">
        <v>10930</v>
      </c>
      <c r="D167" s="2947">
        <v>10890</v>
      </c>
      <c r="E167" s="2947">
        <v>13790</v>
      </c>
      <c r="F167" s="2947">
        <v>2010</v>
      </c>
      <c r="G167" s="2947">
        <v>7000</v>
      </c>
    </row>
    <row r="168" spans="1:7" s="2782" customFormat="1" ht="14.25" customHeight="1">
      <c r="A168" s="2947" t="s">
        <v>29</v>
      </c>
      <c r="B168" s="2947" t="s">
        <v>3031</v>
      </c>
      <c r="C168" s="2947">
        <v>9420</v>
      </c>
      <c r="D168" s="2947">
        <v>9380</v>
      </c>
      <c r="E168" s="2947">
        <v>11970</v>
      </c>
      <c r="F168" s="2947"/>
      <c r="G168" s="2947">
        <v>6040</v>
      </c>
    </row>
    <row r="169" spans="1:7" s="2782" customFormat="1" ht="14.25" customHeight="1">
      <c r="A169" s="2947" t="s">
        <v>29</v>
      </c>
      <c r="B169" s="2947" t="s">
        <v>3083</v>
      </c>
      <c r="C169" s="2947"/>
      <c r="D169" s="2947"/>
      <c r="E169" s="2947"/>
      <c r="F169" s="2947">
        <v>2880</v>
      </c>
      <c r="G169" s="2947"/>
    </row>
    <row r="170" spans="1:7" s="2782" customFormat="1" ht="14.25" customHeight="1">
      <c r="A170" s="2947" t="s">
        <v>29</v>
      </c>
      <c r="B170" s="2947" t="s">
        <v>3039</v>
      </c>
      <c r="C170" s="2947"/>
      <c r="D170" s="2947"/>
      <c r="E170" s="2947"/>
      <c r="F170" s="2947">
        <v>2880</v>
      </c>
      <c r="G170" s="2947"/>
    </row>
    <row r="171" spans="1:7" s="2782" customFormat="1" ht="14.25" customHeight="1">
      <c r="A171" s="2947" t="s">
        <v>29</v>
      </c>
      <c r="B171" s="2947" t="s">
        <v>3042</v>
      </c>
      <c r="C171" s="2947"/>
      <c r="D171" s="2947"/>
      <c r="E171" s="2947"/>
      <c r="F171" s="2947">
        <v>2880</v>
      </c>
      <c r="G171" s="2947"/>
    </row>
    <row r="172" spans="1:7" s="2782" customFormat="1" ht="14.25" customHeight="1">
      <c r="A172" s="2947" t="s">
        <v>29</v>
      </c>
      <c r="B172" s="2947" t="s">
        <v>3044</v>
      </c>
      <c r="C172" s="2947"/>
      <c r="D172" s="2947"/>
      <c r="E172" s="2947"/>
      <c r="F172" s="2947">
        <v>2880</v>
      </c>
      <c r="G172" s="2947"/>
    </row>
    <row r="173" spans="1:7" s="2782" customFormat="1" ht="14.25" customHeight="1">
      <c r="A173" s="2947" t="s">
        <v>29</v>
      </c>
      <c r="B173" s="2947" t="s">
        <v>3046</v>
      </c>
      <c r="C173" s="2947"/>
      <c r="D173" s="2947"/>
      <c r="E173" s="2947"/>
      <c r="F173" s="2947">
        <v>2150</v>
      </c>
      <c r="G173" s="2947"/>
    </row>
    <row r="174" spans="1:7" s="2782" customFormat="1" ht="14.25" customHeight="1">
      <c r="A174" s="2947" t="s">
        <v>29</v>
      </c>
      <c r="B174" s="2947" t="s">
        <v>3048</v>
      </c>
      <c r="C174" s="2947"/>
      <c r="D174" s="2947"/>
      <c r="E174" s="2947"/>
      <c r="F174" s="2947">
        <v>2030</v>
      </c>
      <c r="G174" s="2947"/>
    </row>
    <row r="175" spans="1:7" s="2782" customFormat="1" ht="14.25" customHeight="1">
      <c r="A175" s="2947" t="s">
        <v>29</v>
      </c>
      <c r="B175" s="2947" t="s">
        <v>3050</v>
      </c>
      <c r="C175" s="2947"/>
      <c r="D175" s="2947"/>
      <c r="E175" s="2947"/>
      <c r="F175" s="2947">
        <v>2780</v>
      </c>
      <c r="G175" s="2947"/>
    </row>
    <row r="176" spans="1:7" s="2782" customFormat="1" ht="14.25" customHeight="1">
      <c r="A176" s="2947" t="s">
        <v>29</v>
      </c>
      <c r="B176" s="2947" t="s">
        <v>3052</v>
      </c>
      <c r="C176" s="2947"/>
      <c r="D176" s="2947"/>
      <c r="E176" s="2947"/>
      <c r="F176" s="2947">
        <v>2780</v>
      </c>
      <c r="G176" s="2947"/>
    </row>
    <row r="177" spans="1:7" s="2782" customFormat="1" ht="14.25" customHeight="1">
      <c r="A177" s="2947" t="s">
        <v>29</v>
      </c>
      <c r="B177" s="2947" t="s">
        <v>3084</v>
      </c>
      <c r="C177" s="2947"/>
      <c r="D177" s="2947"/>
      <c r="E177" s="2947"/>
      <c r="F177" s="2947">
        <v>2780</v>
      </c>
      <c r="G177" s="2947"/>
    </row>
    <row r="178" spans="1:7" s="2782" customFormat="1" ht="14.25" customHeight="1">
      <c r="A178" s="2947" t="s">
        <v>29</v>
      </c>
      <c r="B178" s="2947" t="s">
        <v>3085</v>
      </c>
      <c r="C178" s="2947"/>
      <c r="D178" s="2947"/>
      <c r="E178" s="2947"/>
      <c r="F178" s="2947">
        <v>2060</v>
      </c>
      <c r="G178" s="2947"/>
    </row>
    <row r="179" spans="1:7" s="2782" customFormat="1" ht="14.25" customHeight="1">
      <c r="A179" s="2947" t="s">
        <v>29</v>
      </c>
      <c r="B179" s="2947" t="s">
        <v>3086</v>
      </c>
      <c r="C179" s="2947"/>
      <c r="D179" s="2947"/>
      <c r="E179" s="2947"/>
      <c r="F179" s="2947">
        <v>2120</v>
      </c>
      <c r="G179" s="2947"/>
    </row>
    <row r="180" spans="1:7" s="2782" customFormat="1" ht="14.25" customHeight="1">
      <c r="A180" s="2947" t="s">
        <v>29</v>
      </c>
      <c r="B180" s="2947" t="s">
        <v>3058</v>
      </c>
      <c r="C180" s="2947"/>
      <c r="D180" s="2947"/>
      <c r="E180" s="2947"/>
      <c r="F180" s="2947">
        <v>2340</v>
      </c>
      <c r="G180" s="2947"/>
    </row>
    <row r="181" spans="1:7" s="2782" customFormat="1" ht="14.25" customHeight="1">
      <c r="A181" s="2947" t="s">
        <v>29</v>
      </c>
      <c r="B181" s="2947" t="s">
        <v>3059</v>
      </c>
      <c r="C181" s="2947"/>
      <c r="D181" s="2947"/>
      <c r="E181" s="2947"/>
      <c r="F181" s="2947">
        <v>2340</v>
      </c>
      <c r="G181" s="2947"/>
    </row>
    <row r="182" spans="1:7" s="2782" customFormat="1" ht="14.25" customHeight="1">
      <c r="A182" s="2947" t="s">
        <v>29</v>
      </c>
      <c r="B182" s="2947" t="s">
        <v>3060</v>
      </c>
      <c r="C182" s="2947"/>
      <c r="D182" s="2947"/>
      <c r="E182" s="2947"/>
      <c r="F182" s="2947">
        <v>2340</v>
      </c>
      <c r="G182" s="2947"/>
    </row>
    <row r="183" spans="1:7" s="2782" customFormat="1" ht="14.25" customHeight="1">
      <c r="A183" s="2947" t="s">
        <v>29</v>
      </c>
      <c r="B183" s="2947" t="s">
        <v>3061</v>
      </c>
      <c r="C183" s="2947"/>
      <c r="D183" s="2947"/>
      <c r="E183" s="2947"/>
      <c r="F183" s="2947">
        <v>2340</v>
      </c>
      <c r="G183" s="2947"/>
    </row>
    <row r="184" spans="1:7" s="2782" customFormat="1" ht="14.25" customHeight="1">
      <c r="A184" s="2947" t="s">
        <v>29</v>
      </c>
      <c r="B184" s="2947" t="s">
        <v>3062</v>
      </c>
      <c r="C184" s="2947"/>
      <c r="D184" s="2947"/>
      <c r="E184" s="2947"/>
      <c r="F184" s="2947">
        <v>2340</v>
      </c>
      <c r="G184" s="2947"/>
    </row>
    <row r="185" spans="1:7" s="2782" customFormat="1" ht="14.25" customHeight="1">
      <c r="A185" s="2947" t="s">
        <v>29</v>
      </c>
      <c r="B185" s="2947" t="s">
        <v>3063</v>
      </c>
      <c r="C185" s="2947"/>
      <c r="D185" s="2947"/>
      <c r="E185" s="2947"/>
      <c r="F185" s="2947">
        <v>2530</v>
      </c>
      <c r="G185" s="2947"/>
    </row>
    <row r="186" spans="1:7" s="2782" customFormat="1" ht="14.25" customHeight="1">
      <c r="A186" s="2947" t="s">
        <v>29</v>
      </c>
      <c r="B186" s="2947" t="s">
        <v>3064</v>
      </c>
      <c r="C186" s="2947"/>
      <c r="D186" s="2947"/>
      <c r="E186" s="2947"/>
      <c r="F186" s="2947">
        <v>2550</v>
      </c>
      <c r="G186" s="2947"/>
    </row>
    <row r="187" spans="1:7" s="2782" customFormat="1" ht="14.25" customHeight="1">
      <c r="A187" s="2947" t="s">
        <v>29</v>
      </c>
      <c r="B187" s="2947" t="s">
        <v>3065</v>
      </c>
      <c r="C187" s="2947"/>
      <c r="D187" s="2947"/>
      <c r="E187" s="2947"/>
      <c r="F187" s="2947">
        <v>2070</v>
      </c>
      <c r="G187" s="2947"/>
    </row>
    <row r="188" spans="1:7" s="2782" customFormat="1" ht="14.25" customHeight="1">
      <c r="A188" s="2947" t="s">
        <v>29</v>
      </c>
      <c r="B188" s="2947" t="s">
        <v>3066</v>
      </c>
      <c r="C188" s="2947"/>
      <c r="D188" s="2947"/>
      <c r="E188" s="2947"/>
      <c r="F188" s="2947">
        <v>2340</v>
      </c>
      <c r="G188" s="2947"/>
    </row>
    <row r="189" spans="1:7" s="2782" customFormat="1" ht="14.25" customHeight="1" thickBot="1">
      <c r="A189" s="2955" t="s">
        <v>29</v>
      </c>
      <c r="B189" s="2958" t="s">
        <v>3067</v>
      </c>
      <c r="C189" s="2958"/>
      <c r="D189" s="2958"/>
      <c r="E189" s="2958"/>
      <c r="F189" s="2958">
        <v>2050</v>
      </c>
      <c r="G189" s="2958"/>
    </row>
    <row r="190" spans="1:7" s="2782" customFormat="1" ht="14.25" customHeight="1">
      <c r="A190" s="2952" t="s">
        <v>304</v>
      </c>
      <c r="B190" s="2943" t="s">
        <v>3087</v>
      </c>
      <c r="C190" s="2943">
        <v>8830</v>
      </c>
      <c r="D190" s="2943">
        <v>8790</v>
      </c>
      <c r="E190" s="2943">
        <v>11630</v>
      </c>
      <c r="F190" s="2943">
        <v>1790</v>
      </c>
      <c r="G190" s="2959">
        <v>5550</v>
      </c>
    </row>
    <row r="191" spans="1:7" s="2782" customFormat="1" ht="14.25" customHeight="1">
      <c r="A191" s="2947" t="s">
        <v>304</v>
      </c>
      <c r="B191" s="2947" t="s">
        <v>133</v>
      </c>
      <c r="C191" s="2947">
        <v>9780</v>
      </c>
      <c r="D191" s="2947">
        <v>9710</v>
      </c>
      <c r="E191" s="2947">
        <v>12550</v>
      </c>
      <c r="F191" s="2947">
        <v>1980</v>
      </c>
      <c r="G191" s="2960">
        <v>6130</v>
      </c>
    </row>
    <row r="192" spans="1:7" s="2782" customFormat="1" ht="14.25" customHeight="1">
      <c r="A192" s="2947" t="s">
        <v>304</v>
      </c>
      <c r="B192" s="2947" t="s">
        <v>142</v>
      </c>
      <c r="C192" s="2947">
        <v>8180</v>
      </c>
      <c r="D192" s="2947">
        <v>8140</v>
      </c>
      <c r="E192" s="2947">
        <v>10870</v>
      </c>
      <c r="F192" s="2947">
        <v>1690</v>
      </c>
      <c r="G192" s="2960">
        <v>5140</v>
      </c>
    </row>
    <row r="193" spans="1:7" s="2782" customFormat="1" ht="14.25" customHeight="1">
      <c r="A193" s="2947" t="s">
        <v>304</v>
      </c>
      <c r="B193" s="2947" t="s">
        <v>151</v>
      </c>
      <c r="C193" s="2947">
        <v>8440</v>
      </c>
      <c r="D193" s="2947">
        <v>8390</v>
      </c>
      <c r="E193" s="2947">
        <v>11210</v>
      </c>
      <c r="F193" s="2947">
        <v>1600</v>
      </c>
      <c r="G193" s="2960">
        <v>5300</v>
      </c>
    </row>
    <row r="194" spans="1:7" s="2782" customFormat="1" ht="14.25" customHeight="1">
      <c r="A194" s="2947" t="s">
        <v>304</v>
      </c>
      <c r="B194" s="2947" t="s">
        <v>160</v>
      </c>
      <c r="C194" s="2947">
        <v>8780</v>
      </c>
      <c r="D194" s="2947">
        <v>8730</v>
      </c>
      <c r="E194" s="2947">
        <v>11550</v>
      </c>
      <c r="F194" s="2947">
        <v>1660</v>
      </c>
      <c r="G194" s="2960">
        <v>5520</v>
      </c>
    </row>
    <row r="195" spans="1:7" s="2782" customFormat="1" ht="14.25" customHeight="1">
      <c r="A195" s="2947" t="s">
        <v>304</v>
      </c>
      <c r="B195" s="2947" t="s">
        <v>167</v>
      </c>
      <c r="C195" s="2947">
        <v>8720</v>
      </c>
      <c r="D195" s="2947">
        <v>8670</v>
      </c>
      <c r="E195" s="2947">
        <v>11450</v>
      </c>
      <c r="F195" s="2947">
        <v>1720</v>
      </c>
      <c r="G195" s="2960">
        <v>5480</v>
      </c>
    </row>
    <row r="196" spans="1:7" s="2782" customFormat="1" ht="14.25" customHeight="1">
      <c r="A196" s="2947" t="s">
        <v>304</v>
      </c>
      <c r="B196" s="2947" t="s">
        <v>173</v>
      </c>
      <c r="C196" s="2947">
        <v>8460</v>
      </c>
      <c r="D196" s="2947">
        <v>8410</v>
      </c>
      <c r="E196" s="2947">
        <v>11230</v>
      </c>
      <c r="F196" s="2947">
        <v>1730</v>
      </c>
      <c r="G196" s="2960">
        <v>5310</v>
      </c>
    </row>
    <row r="197" spans="1:7" s="2782" customFormat="1" ht="14.25" customHeight="1">
      <c r="A197" s="2947" t="s">
        <v>304</v>
      </c>
      <c r="B197" s="2947" t="s">
        <v>180</v>
      </c>
      <c r="C197" s="2947">
        <v>8790</v>
      </c>
      <c r="D197" s="2947">
        <v>8730</v>
      </c>
      <c r="E197" s="2947">
        <v>11560</v>
      </c>
      <c r="F197" s="2947">
        <v>1750</v>
      </c>
      <c r="G197" s="2960">
        <v>5520</v>
      </c>
    </row>
    <row r="198" spans="1:7" s="2782" customFormat="1" ht="14.25" customHeight="1">
      <c r="A198" s="2947" t="s">
        <v>304</v>
      </c>
      <c r="B198" s="2947" t="s">
        <v>190</v>
      </c>
      <c r="C198" s="2947">
        <v>8720</v>
      </c>
      <c r="D198" s="2947">
        <v>8680</v>
      </c>
      <c r="E198" s="2947">
        <v>11470</v>
      </c>
      <c r="F198" s="2947"/>
      <c r="G198" s="2960">
        <v>5480</v>
      </c>
    </row>
    <row r="199" spans="1:7" s="2782" customFormat="1" ht="14.25" customHeight="1">
      <c r="A199" s="2947" t="s">
        <v>304</v>
      </c>
      <c r="B199" s="2947" t="s">
        <v>3088</v>
      </c>
      <c r="C199" s="2947">
        <v>8690</v>
      </c>
      <c r="D199" s="2947">
        <v>8630</v>
      </c>
      <c r="E199" s="2947">
        <v>11350</v>
      </c>
      <c r="F199" s="2947">
        <v>1600</v>
      </c>
      <c r="G199" s="2960">
        <v>5450</v>
      </c>
    </row>
    <row r="200" spans="1:7" s="2782" customFormat="1" ht="14.25" customHeight="1">
      <c r="A200" s="2947" t="s">
        <v>304</v>
      </c>
      <c r="B200" s="2947" t="s">
        <v>2899</v>
      </c>
      <c r="C200" s="2947"/>
      <c r="D200" s="2947"/>
      <c r="E200" s="2947"/>
      <c r="F200" s="2947">
        <v>1510</v>
      </c>
      <c r="G200" s="2960"/>
    </row>
    <row r="201" spans="1:7" s="2782" customFormat="1" ht="14.25" customHeight="1">
      <c r="A201" s="2947" t="s">
        <v>304</v>
      </c>
      <c r="B201" s="2947" t="s">
        <v>3089</v>
      </c>
      <c r="C201" s="2947">
        <v>8440</v>
      </c>
      <c r="D201" s="2947">
        <v>8390</v>
      </c>
      <c r="E201" s="2947">
        <v>10930</v>
      </c>
      <c r="F201" s="2947">
        <v>1500</v>
      </c>
      <c r="G201" s="2960">
        <v>5300</v>
      </c>
    </row>
    <row r="202" spans="1:7" s="2782" customFormat="1" ht="14.25" customHeight="1">
      <c r="A202" s="2947" t="s">
        <v>304</v>
      </c>
      <c r="B202" s="2947" t="s">
        <v>240</v>
      </c>
      <c r="C202" s="2947">
        <v>8530</v>
      </c>
      <c r="D202" s="2947">
        <v>8490</v>
      </c>
      <c r="E202" s="2947">
        <v>11160</v>
      </c>
      <c r="F202" s="2947">
        <v>1580</v>
      </c>
      <c r="G202" s="2960">
        <v>5360</v>
      </c>
    </row>
    <row r="203" spans="1:7" s="2782" customFormat="1" ht="14.25" customHeight="1">
      <c r="A203" s="2947" t="s">
        <v>304</v>
      </c>
      <c r="B203" s="2947" t="s">
        <v>3090</v>
      </c>
      <c r="C203" s="2947">
        <v>8130</v>
      </c>
      <c r="D203" s="2947">
        <v>8070</v>
      </c>
      <c r="E203" s="2947">
        <v>10820</v>
      </c>
      <c r="F203" s="2947">
        <v>1690</v>
      </c>
      <c r="G203" s="2960">
        <v>5100</v>
      </c>
    </row>
    <row r="204" spans="1:7" s="2782" customFormat="1" ht="14.25" customHeight="1">
      <c r="A204" s="2947" t="s">
        <v>304</v>
      </c>
      <c r="B204" s="2947" t="s">
        <v>2910</v>
      </c>
      <c r="C204" s="2947">
        <v>8350</v>
      </c>
      <c r="D204" s="2947">
        <v>8290</v>
      </c>
      <c r="E204" s="2947">
        <v>11080</v>
      </c>
      <c r="F204" s="2947">
        <v>1450</v>
      </c>
      <c r="G204" s="2960">
        <v>5240</v>
      </c>
    </row>
    <row r="205" spans="1:7" s="2782" customFormat="1" ht="14.25" customHeight="1">
      <c r="A205" s="2947" t="s">
        <v>304</v>
      </c>
      <c r="B205" s="2947" t="s">
        <v>2912</v>
      </c>
      <c r="C205" s="2947">
        <v>7190</v>
      </c>
      <c r="D205" s="2947">
        <v>7130</v>
      </c>
      <c r="E205" s="2947">
        <v>9490</v>
      </c>
      <c r="F205" s="2947">
        <v>1470</v>
      </c>
      <c r="G205" s="2960">
        <v>4510</v>
      </c>
    </row>
    <row r="206" spans="1:7" s="2782" customFormat="1" ht="14.25" customHeight="1">
      <c r="A206" s="2947" t="s">
        <v>304</v>
      </c>
      <c r="B206" s="2947" t="s">
        <v>2915</v>
      </c>
      <c r="C206" s="2947">
        <v>7000</v>
      </c>
      <c r="D206" s="2947">
        <v>6950</v>
      </c>
      <c r="E206" s="2947">
        <v>9170</v>
      </c>
      <c r="F206" s="2947">
        <v>1400</v>
      </c>
      <c r="G206" s="2960">
        <v>4380</v>
      </c>
    </row>
    <row r="207" spans="1:7" s="2782" customFormat="1" ht="14.25" customHeight="1">
      <c r="A207" s="2947" t="s">
        <v>304</v>
      </c>
      <c r="B207" s="2947" t="s">
        <v>2917</v>
      </c>
      <c r="C207" s="2947">
        <v>6950</v>
      </c>
      <c r="D207" s="2947">
        <v>6900</v>
      </c>
      <c r="E207" s="2947">
        <v>9110</v>
      </c>
      <c r="F207" s="2947">
        <v>1790</v>
      </c>
      <c r="G207" s="2960">
        <v>4360</v>
      </c>
    </row>
    <row r="208" spans="1:7" s="2782" customFormat="1" ht="14.25" customHeight="1">
      <c r="A208" s="2947" t="s">
        <v>304</v>
      </c>
      <c r="B208" s="2947" t="s">
        <v>3091</v>
      </c>
      <c r="C208" s="2947">
        <v>9470</v>
      </c>
      <c r="D208" s="2947">
        <v>9410</v>
      </c>
      <c r="E208" s="2947">
        <v>12330</v>
      </c>
      <c r="F208" s="2947">
        <v>1770</v>
      </c>
      <c r="G208" s="2960">
        <v>5940</v>
      </c>
    </row>
    <row r="209" spans="1:7" s="2782" customFormat="1" ht="14.25" customHeight="1">
      <c r="A209" s="2947" t="s">
        <v>304</v>
      </c>
      <c r="B209" s="2947" t="s">
        <v>264</v>
      </c>
      <c r="C209" s="2947">
        <v>8740</v>
      </c>
      <c r="D209" s="2947">
        <v>8700</v>
      </c>
      <c r="E209" s="2947">
        <v>11500</v>
      </c>
      <c r="F209" s="2947">
        <v>1730</v>
      </c>
      <c r="G209" s="2960">
        <v>5490</v>
      </c>
    </row>
    <row r="210" spans="1:7" s="2782" customFormat="1" ht="14.25" customHeight="1">
      <c r="A210" s="2947" t="s">
        <v>304</v>
      </c>
      <c r="B210" s="2947" t="s">
        <v>2927</v>
      </c>
      <c r="C210" s="2947">
        <v>8710</v>
      </c>
      <c r="D210" s="2947">
        <v>8660</v>
      </c>
      <c r="E210" s="2947">
        <v>11440</v>
      </c>
      <c r="F210" s="2947">
        <v>1740</v>
      </c>
      <c r="G210" s="2960">
        <v>5470</v>
      </c>
    </row>
    <row r="211" spans="1:7" s="2782" customFormat="1" ht="14.25" customHeight="1">
      <c r="A211" s="2947" t="s">
        <v>304</v>
      </c>
      <c r="B211" s="2947" t="s">
        <v>3092</v>
      </c>
      <c r="C211" s="2947">
        <v>9480</v>
      </c>
      <c r="D211" s="2947">
        <v>9430</v>
      </c>
      <c r="E211" s="2947">
        <v>12360</v>
      </c>
      <c r="F211" s="2947">
        <v>1820</v>
      </c>
      <c r="G211" s="2960">
        <v>5950</v>
      </c>
    </row>
    <row r="212" spans="1:7" s="2782" customFormat="1" ht="14.25" customHeight="1">
      <c r="A212" s="2947" t="s">
        <v>304</v>
      </c>
      <c r="B212" s="2947" t="s">
        <v>285</v>
      </c>
      <c r="C212" s="2947">
        <v>9070</v>
      </c>
      <c r="D212" s="2947">
        <v>9020</v>
      </c>
      <c r="E212" s="2947">
        <v>11720</v>
      </c>
      <c r="F212" s="2947">
        <v>1850</v>
      </c>
      <c r="G212" s="2960">
        <v>5700</v>
      </c>
    </row>
    <row r="213" spans="1:7" s="2782" customFormat="1" ht="14.25" customHeight="1">
      <c r="A213" s="2947" t="s">
        <v>304</v>
      </c>
      <c r="B213" s="2947" t="s">
        <v>288</v>
      </c>
      <c r="C213" s="2947">
        <v>9030</v>
      </c>
      <c r="D213" s="2947">
        <v>8980</v>
      </c>
      <c r="E213" s="2947">
        <v>11670</v>
      </c>
      <c r="F213" s="2947">
        <v>1690</v>
      </c>
      <c r="G213" s="2960">
        <v>5670</v>
      </c>
    </row>
    <row r="214" spans="1:7" s="2782" customFormat="1" ht="14.25" customHeight="1">
      <c r="A214" s="2947" t="s">
        <v>304</v>
      </c>
      <c r="B214" s="2947" t="s">
        <v>3093</v>
      </c>
      <c r="C214" s="2947">
        <v>8090</v>
      </c>
      <c r="D214" s="2947">
        <v>8030</v>
      </c>
      <c r="E214" s="2947">
        <v>10780</v>
      </c>
      <c r="F214" s="2947">
        <v>1570</v>
      </c>
      <c r="G214" s="2960">
        <v>5070</v>
      </c>
    </row>
    <row r="215" spans="1:7" s="2782" customFormat="1" ht="14.25" customHeight="1">
      <c r="A215" s="2947" t="s">
        <v>304</v>
      </c>
      <c r="B215" s="2947" t="s">
        <v>3094</v>
      </c>
      <c r="C215" s="2947">
        <v>7950</v>
      </c>
      <c r="D215" s="2947">
        <v>7900</v>
      </c>
      <c r="E215" s="2947">
        <v>10560</v>
      </c>
      <c r="F215" s="2947">
        <v>1630</v>
      </c>
      <c r="G215" s="2960">
        <v>4990</v>
      </c>
    </row>
    <row r="216" spans="1:7" s="2782" customFormat="1" ht="14.25" customHeight="1">
      <c r="A216" s="2947" t="s">
        <v>304</v>
      </c>
      <c r="B216" s="2947" t="s">
        <v>3095</v>
      </c>
      <c r="C216" s="2947">
        <v>8490</v>
      </c>
      <c r="D216" s="2947">
        <v>8440</v>
      </c>
      <c r="E216" s="2947">
        <v>11260</v>
      </c>
      <c r="F216" s="2947">
        <v>1690</v>
      </c>
      <c r="G216" s="2960">
        <v>5330</v>
      </c>
    </row>
    <row r="217" spans="1:7" s="2782" customFormat="1" ht="14.25" customHeight="1">
      <c r="A217" s="2947" t="s">
        <v>304</v>
      </c>
      <c r="B217" s="2947" t="s">
        <v>2960</v>
      </c>
      <c r="C217" s="2947">
        <v>8200</v>
      </c>
      <c r="D217" s="2947">
        <v>8150</v>
      </c>
      <c r="E217" s="2947">
        <v>10910</v>
      </c>
      <c r="F217" s="2947">
        <v>1670</v>
      </c>
      <c r="G217" s="2960">
        <v>5150</v>
      </c>
    </row>
    <row r="218" spans="1:7" s="2782" customFormat="1" ht="14.25" customHeight="1">
      <c r="A218" s="2947" t="s">
        <v>304</v>
      </c>
      <c r="B218" s="2947" t="s">
        <v>3096</v>
      </c>
      <c r="C218" s="2947"/>
      <c r="D218" s="2947"/>
      <c r="E218" s="2947"/>
      <c r="F218" s="2947">
        <v>2040</v>
      </c>
      <c r="G218" s="2960"/>
    </row>
    <row r="219" spans="1:7" s="2782" customFormat="1" ht="14.25" customHeight="1">
      <c r="A219" s="2947" t="s">
        <v>304</v>
      </c>
      <c r="B219" s="2947" t="s">
        <v>3097</v>
      </c>
      <c r="C219" s="2947"/>
      <c r="D219" s="2947"/>
      <c r="E219" s="2947"/>
      <c r="F219" s="2947">
        <v>2040</v>
      </c>
      <c r="G219" s="2960"/>
    </row>
    <row r="220" spans="1:7" s="2782" customFormat="1" ht="14.25" customHeight="1">
      <c r="A220" s="2947" t="s">
        <v>304</v>
      </c>
      <c r="B220" s="2947" t="s">
        <v>3098</v>
      </c>
      <c r="C220" s="2947"/>
      <c r="D220" s="2947"/>
      <c r="E220" s="2947"/>
      <c r="F220" s="2947">
        <v>2040</v>
      </c>
      <c r="G220" s="2960"/>
    </row>
    <row r="221" spans="1:7" s="2782" customFormat="1" ht="14.25" customHeight="1">
      <c r="A221" s="2947" t="s">
        <v>304</v>
      </c>
      <c r="B221" s="2947" t="s">
        <v>3099</v>
      </c>
      <c r="C221" s="2947"/>
      <c r="D221" s="2947"/>
      <c r="E221" s="2947"/>
      <c r="F221" s="2947">
        <v>2040</v>
      </c>
      <c r="G221" s="2960"/>
    </row>
    <row r="222" spans="1:7" s="2782" customFormat="1" ht="14.25" customHeight="1">
      <c r="A222" s="2947" t="s">
        <v>304</v>
      </c>
      <c r="B222" s="2947" t="s">
        <v>3100</v>
      </c>
      <c r="C222" s="2947"/>
      <c r="D222" s="2947"/>
      <c r="E222" s="2947"/>
      <c r="F222" s="2947">
        <v>2040</v>
      </c>
      <c r="G222" s="2960"/>
    </row>
    <row r="223" spans="1:7" s="2782" customFormat="1" ht="14.25" customHeight="1">
      <c r="A223" s="2947" t="s">
        <v>304</v>
      </c>
      <c r="B223" s="2947" t="s">
        <v>3101</v>
      </c>
      <c r="C223" s="2947"/>
      <c r="D223" s="2947"/>
      <c r="E223" s="2947"/>
      <c r="F223" s="2947">
        <v>1930</v>
      </c>
      <c r="G223" s="2960"/>
    </row>
    <row r="224" spans="1:7" s="2782" customFormat="1" ht="14.25" customHeight="1">
      <c r="A224" s="2947" t="s">
        <v>304</v>
      </c>
      <c r="B224" s="2947" t="s">
        <v>3102</v>
      </c>
      <c r="C224" s="2947"/>
      <c r="D224" s="2947"/>
      <c r="E224" s="2947"/>
      <c r="F224" s="2947">
        <v>1930</v>
      </c>
      <c r="G224" s="2960"/>
    </row>
    <row r="225" spans="1:7" s="2782" customFormat="1" ht="14.25" customHeight="1">
      <c r="A225" s="2947" t="s">
        <v>304</v>
      </c>
      <c r="B225" s="2947" t="s">
        <v>3103</v>
      </c>
      <c r="C225" s="2947"/>
      <c r="D225" s="2947"/>
      <c r="E225" s="2947"/>
      <c r="F225" s="2947">
        <v>1930</v>
      </c>
      <c r="G225" s="2960"/>
    </row>
    <row r="226" spans="1:7" s="2782" customFormat="1" ht="14.25" customHeight="1">
      <c r="A226" s="2947" t="s">
        <v>304</v>
      </c>
      <c r="B226" s="2947" t="s">
        <v>3104</v>
      </c>
      <c r="C226" s="2947"/>
      <c r="D226" s="2947"/>
      <c r="E226" s="2947"/>
      <c r="F226" s="2947">
        <v>1700</v>
      </c>
      <c r="G226" s="2960"/>
    </row>
    <row r="227" spans="1:7" s="2782" customFormat="1" ht="14.25" customHeight="1">
      <c r="A227" s="2947" t="s">
        <v>304</v>
      </c>
      <c r="B227" s="2947" t="s">
        <v>3105</v>
      </c>
      <c r="C227" s="2947"/>
      <c r="D227" s="2947"/>
      <c r="E227" s="2947"/>
      <c r="F227" s="2947">
        <v>1520</v>
      </c>
      <c r="G227" s="2960"/>
    </row>
    <row r="228" spans="1:7" s="2782" customFormat="1" ht="14.25" customHeight="1">
      <c r="A228" s="2947" t="s">
        <v>304</v>
      </c>
      <c r="B228" s="2947" t="s">
        <v>3106</v>
      </c>
      <c r="C228" s="2947"/>
      <c r="D228" s="2947"/>
      <c r="E228" s="2947"/>
      <c r="F228" s="2947">
        <v>1520</v>
      </c>
      <c r="G228" s="2960"/>
    </row>
    <row r="229" spans="1:7" s="2782" customFormat="1" ht="14.25" customHeight="1">
      <c r="A229" s="2947" t="s">
        <v>304</v>
      </c>
      <c r="B229" s="2947" t="s">
        <v>3023</v>
      </c>
      <c r="C229" s="2947"/>
      <c r="D229" s="2947"/>
      <c r="E229" s="2947"/>
      <c r="F229" s="2947">
        <v>1520</v>
      </c>
      <c r="G229" s="2960"/>
    </row>
    <row r="230" spans="1:7" s="2782" customFormat="1" ht="14.25" customHeight="1">
      <c r="A230" s="2947" t="s">
        <v>304</v>
      </c>
      <c r="B230" s="2947" t="s">
        <v>3107</v>
      </c>
      <c r="C230" s="2947"/>
      <c r="D230" s="2947"/>
      <c r="E230" s="2947"/>
      <c r="F230" s="2947">
        <v>1820</v>
      </c>
      <c r="G230" s="2960"/>
    </row>
    <row r="231" spans="1:7" s="2782" customFormat="1" ht="14.25" customHeight="1">
      <c r="A231" s="2947" t="s">
        <v>304</v>
      </c>
      <c r="B231" s="2947" t="s">
        <v>3108</v>
      </c>
      <c r="C231" s="2947"/>
      <c r="D231" s="2947"/>
      <c r="E231" s="2947"/>
      <c r="F231" s="2947">
        <v>1760</v>
      </c>
      <c r="G231" s="2960"/>
    </row>
    <row r="232" spans="1:7" s="2782" customFormat="1" ht="14.25" customHeight="1">
      <c r="A232" s="2947" t="s">
        <v>304</v>
      </c>
      <c r="B232" s="2947" t="s">
        <v>3109</v>
      </c>
      <c r="C232" s="2947"/>
      <c r="D232" s="2947"/>
      <c r="E232" s="2947"/>
      <c r="F232" s="2947">
        <v>1840</v>
      </c>
      <c r="G232" s="2960"/>
    </row>
    <row r="233" spans="1:7" s="2782" customFormat="1" ht="14.25" customHeight="1" thickBot="1">
      <c r="A233" s="2961" t="s">
        <v>304</v>
      </c>
      <c r="B233" s="2954" t="s">
        <v>3040</v>
      </c>
      <c r="C233" s="2954"/>
      <c r="D233" s="2954"/>
      <c r="E233" s="2954"/>
      <c r="F233" s="2954">
        <v>1770</v>
      </c>
      <c r="G233" s="2962"/>
    </row>
    <row r="234" spans="1:7" s="2782" customFormat="1" ht="14.25" customHeight="1">
      <c r="A234" s="2952" t="s">
        <v>305</v>
      </c>
      <c r="B234" s="2943" t="s">
        <v>3110</v>
      </c>
      <c r="C234" s="2947">
        <v>6980</v>
      </c>
      <c r="D234" s="2947">
        <v>6970</v>
      </c>
      <c r="E234" s="2947">
        <v>8720</v>
      </c>
      <c r="F234" s="2947">
        <v>1350</v>
      </c>
      <c r="G234" s="2947">
        <v>4280</v>
      </c>
    </row>
    <row r="235" spans="1:7" s="2782" customFormat="1" ht="14.25" customHeight="1">
      <c r="A235" s="2947" t="s">
        <v>305</v>
      </c>
      <c r="B235" s="2947" t="s">
        <v>134</v>
      </c>
      <c r="C235" s="2947">
        <v>7620</v>
      </c>
      <c r="D235" s="2947">
        <v>7580</v>
      </c>
      <c r="E235" s="2947">
        <v>9360</v>
      </c>
      <c r="F235" s="2947">
        <v>1490</v>
      </c>
      <c r="G235" s="2947">
        <v>4650</v>
      </c>
    </row>
    <row r="236" spans="1:7" s="2782" customFormat="1" ht="14.25" customHeight="1">
      <c r="A236" s="2947" t="s">
        <v>305</v>
      </c>
      <c r="B236" s="2947" t="s">
        <v>143</v>
      </c>
      <c r="C236" s="2947">
        <v>6650</v>
      </c>
      <c r="D236" s="2947">
        <v>6630</v>
      </c>
      <c r="E236" s="2947">
        <v>8330</v>
      </c>
      <c r="F236" s="2947">
        <v>1250</v>
      </c>
      <c r="G236" s="2947">
        <v>4070</v>
      </c>
    </row>
    <row r="237" spans="1:7" s="2782" customFormat="1" ht="14.25" customHeight="1">
      <c r="A237" s="2947" t="s">
        <v>305</v>
      </c>
      <c r="B237" s="2947" t="s">
        <v>152</v>
      </c>
      <c r="C237" s="2947">
        <v>5850</v>
      </c>
      <c r="D237" s="2947">
        <v>5820</v>
      </c>
      <c r="E237" s="2947">
        <v>7260</v>
      </c>
      <c r="F237" s="2947">
        <v>1140</v>
      </c>
      <c r="G237" s="2947">
        <v>3570</v>
      </c>
    </row>
    <row r="238" spans="1:7" s="2782" customFormat="1" ht="14.25" customHeight="1">
      <c r="A238" s="2947" t="s">
        <v>305</v>
      </c>
      <c r="B238" s="2947" t="s">
        <v>2881</v>
      </c>
      <c r="C238" s="2947">
        <v>6920</v>
      </c>
      <c r="D238" s="2947">
        <v>6890</v>
      </c>
      <c r="E238" s="2947">
        <v>8640</v>
      </c>
      <c r="F238" s="2947">
        <v>1310</v>
      </c>
      <c r="G238" s="2947">
        <v>4230</v>
      </c>
    </row>
    <row r="239" spans="1:7" s="2782" customFormat="1" ht="14.25" customHeight="1">
      <c r="A239" s="2947" t="s">
        <v>305</v>
      </c>
      <c r="B239" s="2947" t="s">
        <v>3111</v>
      </c>
      <c r="C239" s="2947">
        <v>6780</v>
      </c>
      <c r="D239" s="2947">
        <v>6750</v>
      </c>
      <c r="E239" s="2947">
        <v>8440</v>
      </c>
      <c r="F239" s="2947">
        <v>1160</v>
      </c>
      <c r="G239" s="2947">
        <v>4140</v>
      </c>
    </row>
    <row r="240" spans="1:7" s="2782" customFormat="1" ht="14.25" customHeight="1">
      <c r="A240" s="2947" t="s">
        <v>305</v>
      </c>
      <c r="B240" s="2947" t="s">
        <v>3112</v>
      </c>
      <c r="C240" s="2947">
        <v>5420</v>
      </c>
      <c r="D240" s="2947">
        <v>5380</v>
      </c>
      <c r="E240" s="2947">
        <v>6640</v>
      </c>
      <c r="F240" s="2947">
        <v>1020</v>
      </c>
      <c r="G240" s="2947">
        <v>3300</v>
      </c>
    </row>
    <row r="241" spans="1:7" s="2782" customFormat="1" ht="14.25" customHeight="1">
      <c r="A241" s="2947" t="s">
        <v>305</v>
      </c>
      <c r="B241" s="2947" t="s">
        <v>3113</v>
      </c>
      <c r="C241" s="2947">
        <v>6660</v>
      </c>
      <c r="D241" s="2947">
        <v>6640</v>
      </c>
      <c r="E241" s="2947">
        <v>8340</v>
      </c>
      <c r="F241" s="2947">
        <v>1130</v>
      </c>
      <c r="G241" s="2947">
        <v>4080</v>
      </c>
    </row>
    <row r="242" spans="1:7" s="2782" customFormat="1" ht="14.25" customHeight="1">
      <c r="A242" s="2947" t="s">
        <v>305</v>
      </c>
      <c r="B242" s="2947" t="s">
        <v>181</v>
      </c>
      <c r="C242" s="2947">
        <v>6580</v>
      </c>
      <c r="D242" s="2947">
        <v>6550</v>
      </c>
      <c r="E242" s="2947">
        <v>8090</v>
      </c>
      <c r="F242" s="2947">
        <v>1240</v>
      </c>
      <c r="G242" s="2947">
        <v>4020</v>
      </c>
    </row>
    <row r="243" spans="1:7" s="2782" customFormat="1" ht="14.25" customHeight="1">
      <c r="A243" s="2947" t="s">
        <v>305</v>
      </c>
      <c r="B243" s="2947" t="s">
        <v>191</v>
      </c>
      <c r="C243" s="2947">
        <v>6000</v>
      </c>
      <c r="D243" s="2947">
        <v>5970</v>
      </c>
      <c r="E243" s="2947">
        <v>7370</v>
      </c>
      <c r="F243" s="2947">
        <v>1070</v>
      </c>
      <c r="G243" s="2947">
        <v>3670</v>
      </c>
    </row>
    <row r="244" spans="1:7" s="2782" customFormat="1" ht="14.25" customHeight="1">
      <c r="A244" s="2947" t="s">
        <v>305</v>
      </c>
      <c r="B244" s="2947" t="s">
        <v>3114</v>
      </c>
      <c r="C244" s="2947">
        <v>5840</v>
      </c>
      <c r="D244" s="2947">
        <v>5810</v>
      </c>
      <c r="E244" s="2947">
        <v>7240</v>
      </c>
      <c r="F244" s="2947">
        <v>1100</v>
      </c>
      <c r="G244" s="2947">
        <v>3560</v>
      </c>
    </row>
    <row r="245" spans="1:7" s="2782" customFormat="1" ht="14.25" customHeight="1">
      <c r="A245" s="2947" t="s">
        <v>305</v>
      </c>
      <c r="B245" s="2947" t="s">
        <v>206</v>
      </c>
      <c r="C245" s="2947">
        <v>6040</v>
      </c>
      <c r="D245" s="2947">
        <v>6000</v>
      </c>
      <c r="E245" s="2947">
        <v>7420</v>
      </c>
      <c r="F245" s="2947">
        <v>1140</v>
      </c>
      <c r="G245" s="2947">
        <v>3690</v>
      </c>
    </row>
    <row r="246" spans="1:7" s="2782" customFormat="1" ht="14.25" customHeight="1">
      <c r="A246" s="2947" t="s">
        <v>305</v>
      </c>
      <c r="B246" s="2947" t="s">
        <v>213</v>
      </c>
      <c r="C246" s="2947">
        <v>5890</v>
      </c>
      <c r="D246" s="2947">
        <v>5860</v>
      </c>
      <c r="E246" s="2947">
        <v>7300</v>
      </c>
      <c r="F246" s="2947">
        <v>1110</v>
      </c>
      <c r="G246" s="2947">
        <v>3590</v>
      </c>
    </row>
    <row r="247" spans="1:7" s="2782" customFormat="1" ht="14.25" customHeight="1">
      <c r="A247" s="2947" t="s">
        <v>305</v>
      </c>
      <c r="B247" s="2947" t="s">
        <v>3115</v>
      </c>
      <c r="C247" s="2947">
        <v>6480</v>
      </c>
      <c r="D247" s="2947">
        <v>6450</v>
      </c>
      <c r="E247" s="2947">
        <v>8010</v>
      </c>
      <c r="F247" s="2947">
        <v>1170</v>
      </c>
      <c r="G247" s="2947">
        <v>3960</v>
      </c>
    </row>
    <row r="248" spans="1:7" s="2782" customFormat="1" ht="14.25" customHeight="1">
      <c r="A248" s="2947" t="s">
        <v>305</v>
      </c>
      <c r="B248" s="2947" t="s">
        <v>227</v>
      </c>
      <c r="C248" s="2947">
        <v>6860</v>
      </c>
      <c r="D248" s="2947">
        <v>6840</v>
      </c>
      <c r="E248" s="2947">
        <v>8520</v>
      </c>
      <c r="F248" s="2947">
        <v>1240</v>
      </c>
      <c r="G248" s="2947">
        <v>4200</v>
      </c>
    </row>
    <row r="249" spans="1:7" s="2782" customFormat="1" ht="14.25" customHeight="1">
      <c r="A249" s="2947" t="s">
        <v>305</v>
      </c>
      <c r="B249" s="2947" t="s">
        <v>3116</v>
      </c>
      <c r="C249" s="2947">
        <v>7180</v>
      </c>
      <c r="D249" s="2947">
        <v>7140</v>
      </c>
      <c r="E249" s="2947">
        <v>8900</v>
      </c>
      <c r="F249" s="2947">
        <v>1350</v>
      </c>
      <c r="G249" s="2947">
        <v>4380</v>
      </c>
    </row>
    <row r="250" spans="1:7" s="2782" customFormat="1" ht="14.25" customHeight="1">
      <c r="A250" s="2947" t="s">
        <v>305</v>
      </c>
      <c r="B250" s="2947" t="s">
        <v>241</v>
      </c>
      <c r="C250" s="2947">
        <v>6880</v>
      </c>
      <c r="D250" s="2947">
        <v>6860</v>
      </c>
      <c r="E250" s="2947">
        <v>8550</v>
      </c>
      <c r="F250" s="2947">
        <v>1220</v>
      </c>
      <c r="G250" s="2947">
        <v>4210</v>
      </c>
    </row>
    <row r="251" spans="1:7" s="2782" customFormat="1" ht="14.25" customHeight="1">
      <c r="A251" s="2947" t="s">
        <v>305</v>
      </c>
      <c r="B251" s="2947" t="s">
        <v>249</v>
      </c>
      <c r="C251" s="2947"/>
      <c r="D251" s="2947"/>
      <c r="E251" s="2947"/>
      <c r="F251" s="2947">
        <v>1100</v>
      </c>
      <c r="G251" s="2947"/>
    </row>
    <row r="252" spans="1:7" s="2782" customFormat="1" ht="14.25" customHeight="1">
      <c r="A252" s="2947" t="s">
        <v>305</v>
      </c>
      <c r="B252" s="2947" t="s">
        <v>3117</v>
      </c>
      <c r="C252" s="2947">
        <v>7240</v>
      </c>
      <c r="D252" s="2947">
        <v>7200</v>
      </c>
      <c r="E252" s="2947">
        <v>9040</v>
      </c>
      <c r="F252" s="2947">
        <v>1380</v>
      </c>
      <c r="G252" s="2947">
        <v>4420</v>
      </c>
    </row>
    <row r="253" spans="1:7" s="2782" customFormat="1" ht="14.25" customHeight="1">
      <c r="A253" s="2947" t="s">
        <v>305</v>
      </c>
      <c r="B253" s="2947" t="s">
        <v>283</v>
      </c>
      <c r="C253" s="2947">
        <v>6670</v>
      </c>
      <c r="D253" s="2947">
        <v>6650</v>
      </c>
      <c r="E253" s="2947">
        <v>8350</v>
      </c>
      <c r="F253" s="2947">
        <v>1260</v>
      </c>
      <c r="G253" s="2947">
        <v>4080</v>
      </c>
    </row>
    <row r="254" spans="1:7" s="2782" customFormat="1" ht="14.25" customHeight="1">
      <c r="A254" s="2947" t="s">
        <v>305</v>
      </c>
      <c r="B254" s="2947" t="s">
        <v>286</v>
      </c>
      <c r="C254" s="2947">
        <v>7630</v>
      </c>
      <c r="D254" s="2947">
        <v>7590</v>
      </c>
      <c r="E254" s="2947">
        <v>9380</v>
      </c>
      <c r="F254" s="2947">
        <v>1320</v>
      </c>
      <c r="G254" s="2947">
        <v>4660</v>
      </c>
    </row>
    <row r="255" spans="1:7" s="2782" customFormat="1" ht="14.25" customHeight="1">
      <c r="A255" s="2947" t="s">
        <v>305</v>
      </c>
      <c r="B255" s="2947" t="s">
        <v>289</v>
      </c>
      <c r="C255" s="2947">
        <v>6940</v>
      </c>
      <c r="D255" s="2947">
        <v>6890</v>
      </c>
      <c r="E255" s="2947">
        <v>8650</v>
      </c>
      <c r="F255" s="2947">
        <v>1210</v>
      </c>
      <c r="G255" s="2947">
        <v>4230</v>
      </c>
    </row>
    <row r="256" spans="1:7" s="2782" customFormat="1" ht="14.25" customHeight="1">
      <c r="A256" s="2947" t="s">
        <v>305</v>
      </c>
      <c r="B256" s="2947" t="s">
        <v>3118</v>
      </c>
      <c r="C256" s="2947">
        <v>7520</v>
      </c>
      <c r="D256" s="2947">
        <v>7490</v>
      </c>
      <c r="E256" s="2947">
        <v>9240</v>
      </c>
      <c r="F256" s="2947">
        <v>1270</v>
      </c>
      <c r="G256" s="2947">
        <v>4590</v>
      </c>
    </row>
    <row r="257" spans="1:7" s="2782" customFormat="1" ht="14.25" customHeight="1">
      <c r="A257" s="2947" t="s">
        <v>305</v>
      </c>
      <c r="B257" s="2947" t="s">
        <v>275</v>
      </c>
      <c r="C257" s="2947">
        <v>6280</v>
      </c>
      <c r="D257" s="2947">
        <v>6230</v>
      </c>
      <c r="E257" s="2947">
        <v>7740</v>
      </c>
      <c r="F257" s="2947">
        <v>1080</v>
      </c>
      <c r="G257" s="2947">
        <v>3830</v>
      </c>
    </row>
    <row r="258" spans="1:7" s="2782" customFormat="1" ht="14.25" customHeight="1">
      <c r="A258" s="2947" t="s">
        <v>305</v>
      </c>
      <c r="B258" s="2947" t="s">
        <v>2943</v>
      </c>
      <c r="C258" s="2947">
        <v>6190</v>
      </c>
      <c r="D258" s="2947">
        <v>6160</v>
      </c>
      <c r="E258" s="2947">
        <v>7680</v>
      </c>
      <c r="F258" s="2947">
        <v>1170</v>
      </c>
      <c r="G258" s="2947">
        <v>3780</v>
      </c>
    </row>
    <row r="259" spans="1:7" s="2782" customFormat="1" ht="14.25" customHeight="1">
      <c r="A259" s="2947" t="s">
        <v>305</v>
      </c>
      <c r="B259" s="2947" t="s">
        <v>3119</v>
      </c>
      <c r="C259" s="2947">
        <v>7610</v>
      </c>
      <c r="D259" s="2947">
        <v>7570</v>
      </c>
      <c r="E259" s="2947">
        <v>9350</v>
      </c>
      <c r="F259" s="2947">
        <v>1350</v>
      </c>
      <c r="G259" s="2947">
        <v>4650</v>
      </c>
    </row>
    <row r="260" spans="1:7" s="2782" customFormat="1" ht="14.25" customHeight="1">
      <c r="A260" s="2947" t="s">
        <v>305</v>
      </c>
      <c r="B260" s="2947" t="s">
        <v>3120</v>
      </c>
      <c r="C260" s="2947">
        <v>6920</v>
      </c>
      <c r="D260" s="2947">
        <v>6880</v>
      </c>
      <c r="E260" s="2947">
        <v>8380</v>
      </c>
      <c r="F260" s="2947">
        <v>1160</v>
      </c>
      <c r="G260" s="2947">
        <v>4220</v>
      </c>
    </row>
    <row r="261" spans="1:7" s="2782" customFormat="1" ht="14.25" customHeight="1">
      <c r="A261" s="2947" t="s">
        <v>305</v>
      </c>
      <c r="B261" s="2947" t="s">
        <v>3121</v>
      </c>
      <c r="C261" s="2947">
        <v>6850</v>
      </c>
      <c r="D261" s="2947">
        <v>6810</v>
      </c>
      <c r="E261" s="2947">
        <v>8290</v>
      </c>
      <c r="F261" s="2947">
        <v>1130</v>
      </c>
      <c r="G261" s="2947">
        <v>4180</v>
      </c>
    </row>
    <row r="262" spans="1:7" s="2782" customFormat="1" ht="14.25" customHeight="1">
      <c r="A262" s="2947" t="s">
        <v>305</v>
      </c>
      <c r="B262" s="2947" t="s">
        <v>3122</v>
      </c>
      <c r="C262" s="2947">
        <v>5860</v>
      </c>
      <c r="D262" s="2947">
        <v>5820</v>
      </c>
      <c r="E262" s="2947">
        <v>7640</v>
      </c>
      <c r="F262" s="2947">
        <v>1070</v>
      </c>
      <c r="G262" s="2947">
        <v>3570</v>
      </c>
    </row>
    <row r="263" spans="1:7" s="2782" customFormat="1" ht="14.25" customHeight="1">
      <c r="A263" s="2947" t="s">
        <v>305</v>
      </c>
      <c r="B263" s="2947" t="s">
        <v>3123</v>
      </c>
      <c r="C263" s="2947">
        <v>5870</v>
      </c>
      <c r="D263" s="2947">
        <v>5840</v>
      </c>
      <c r="E263" s="2947">
        <v>7270</v>
      </c>
      <c r="F263" s="2947">
        <v>1190</v>
      </c>
      <c r="G263" s="2947">
        <v>3580</v>
      </c>
    </row>
    <row r="264" spans="1:7" s="2782" customFormat="1" ht="14.25" customHeight="1">
      <c r="A264" s="2947" t="s">
        <v>305</v>
      </c>
      <c r="B264" s="2947" t="s">
        <v>299</v>
      </c>
      <c r="C264" s="2947">
        <v>6190</v>
      </c>
      <c r="D264" s="2947">
        <v>6150</v>
      </c>
      <c r="E264" s="2947">
        <v>7660</v>
      </c>
      <c r="F264" s="2947">
        <v>1160</v>
      </c>
      <c r="G264" s="2947">
        <v>3770</v>
      </c>
    </row>
    <row r="265" spans="1:7" s="2782" customFormat="1" ht="14.25" customHeight="1">
      <c r="A265" s="2947" t="s">
        <v>305</v>
      </c>
      <c r="B265" s="2947" t="s">
        <v>3124</v>
      </c>
      <c r="C265" s="2947"/>
      <c r="D265" s="2947"/>
      <c r="E265" s="2947"/>
      <c r="F265" s="2947">
        <v>1500</v>
      </c>
      <c r="G265" s="2947"/>
    </row>
    <row r="266" spans="1:7" s="2782" customFormat="1" ht="14.25" customHeight="1">
      <c r="A266" s="2947" t="s">
        <v>305</v>
      </c>
      <c r="B266" s="2947" t="s">
        <v>3125</v>
      </c>
      <c r="C266" s="2947"/>
      <c r="D266" s="2947"/>
      <c r="E266" s="2947"/>
      <c r="F266" s="2947">
        <v>1500</v>
      </c>
      <c r="G266" s="2947"/>
    </row>
    <row r="267" spans="1:7" s="2782" customFormat="1" ht="14.25" customHeight="1">
      <c r="A267" s="2947" t="s">
        <v>305</v>
      </c>
      <c r="B267" s="2947" t="s">
        <v>3126</v>
      </c>
      <c r="C267" s="2947"/>
      <c r="D267" s="2947"/>
      <c r="E267" s="2947"/>
      <c r="F267" s="2947">
        <v>1500</v>
      </c>
      <c r="G267" s="2947"/>
    </row>
    <row r="268" spans="1:7" s="2782" customFormat="1" ht="14.25" customHeight="1">
      <c r="A268" s="2947" t="s">
        <v>305</v>
      </c>
      <c r="B268" s="2947" t="s">
        <v>3127</v>
      </c>
      <c r="C268" s="2947"/>
      <c r="D268" s="2947"/>
      <c r="E268" s="2947"/>
      <c r="F268" s="2947">
        <v>1290</v>
      </c>
      <c r="G268" s="2947"/>
    </row>
    <row r="269" spans="1:7" s="2782" customFormat="1" ht="14.25" customHeight="1">
      <c r="A269" s="2947" t="s">
        <v>305</v>
      </c>
      <c r="B269" s="2947" t="s">
        <v>3128</v>
      </c>
      <c r="C269" s="2947"/>
      <c r="D269" s="2947"/>
      <c r="E269" s="2947"/>
      <c r="F269" s="2947">
        <v>1150</v>
      </c>
      <c r="G269" s="2947"/>
    </row>
    <row r="270" spans="1:7" s="2782" customFormat="1" ht="14.25" customHeight="1">
      <c r="A270" s="2947" t="s">
        <v>305</v>
      </c>
      <c r="B270" s="2947" t="s">
        <v>3129</v>
      </c>
      <c r="C270" s="2947"/>
      <c r="D270" s="2947"/>
      <c r="E270" s="2947"/>
      <c r="F270" s="2947">
        <v>1380</v>
      </c>
      <c r="G270" s="2947"/>
    </row>
    <row r="271" spans="1:7" s="2782" customFormat="1" ht="14.25" customHeight="1">
      <c r="A271" s="2947" t="s">
        <v>305</v>
      </c>
      <c r="B271" s="2947" t="s">
        <v>3130</v>
      </c>
      <c r="C271" s="2947"/>
      <c r="D271" s="2947"/>
      <c r="E271" s="2947"/>
      <c r="F271" s="2947">
        <v>1460</v>
      </c>
      <c r="G271" s="2947"/>
    </row>
    <row r="272" spans="1:7" s="2782" customFormat="1" ht="14.25" customHeight="1">
      <c r="A272" s="2947" t="s">
        <v>305</v>
      </c>
      <c r="B272" s="2947" t="s">
        <v>3131</v>
      </c>
      <c r="C272" s="2947"/>
      <c r="D272" s="2947"/>
      <c r="E272" s="2947"/>
      <c r="F272" s="2947">
        <v>1460</v>
      </c>
      <c r="G272" s="2947"/>
    </row>
    <row r="273" spans="1:7" s="2782" customFormat="1" ht="14.25" customHeight="1">
      <c r="A273" s="2947" t="s">
        <v>305</v>
      </c>
      <c r="B273" s="2947" t="s">
        <v>3024</v>
      </c>
      <c r="C273" s="2947"/>
      <c r="D273" s="2947"/>
      <c r="E273" s="2947"/>
      <c r="F273" s="2947">
        <v>1490</v>
      </c>
      <c r="G273" s="2947"/>
    </row>
    <row r="274" spans="1:7" s="2782" customFormat="1" ht="14.25" customHeight="1">
      <c r="A274" s="2947" t="s">
        <v>305</v>
      </c>
      <c r="B274" s="2947" t="s">
        <v>3132</v>
      </c>
      <c r="C274" s="2947"/>
      <c r="D274" s="2947"/>
      <c r="E274" s="2947"/>
      <c r="F274" s="2947">
        <v>1490</v>
      </c>
      <c r="G274" s="2947"/>
    </row>
    <row r="275" spans="1:7" s="2782" customFormat="1" ht="14.25" customHeight="1">
      <c r="A275" s="2947" t="s">
        <v>305</v>
      </c>
      <c r="B275" s="2947" t="s">
        <v>3133</v>
      </c>
      <c r="C275" s="2947"/>
      <c r="D275" s="2947"/>
      <c r="E275" s="2947"/>
      <c r="F275" s="2947">
        <v>1220</v>
      </c>
      <c r="G275" s="2947"/>
    </row>
    <row r="276" spans="1:7" s="2782" customFormat="1" ht="14.25" customHeight="1" thickBot="1">
      <c r="A276" s="2955" t="s">
        <v>305</v>
      </c>
      <c r="B276" s="2957" t="s">
        <v>3134</v>
      </c>
      <c r="C276" s="2958"/>
      <c r="D276" s="2958"/>
      <c r="E276" s="2958"/>
      <c r="F276" s="2958">
        <v>1380</v>
      </c>
      <c r="G276" s="2958"/>
    </row>
    <row r="277" spans="1:7" s="2782" customFormat="1" ht="14.25" customHeight="1">
      <c r="A277" s="2952" t="s">
        <v>306</v>
      </c>
      <c r="B277" s="2943" t="s">
        <v>3135</v>
      </c>
      <c r="C277" s="2943">
        <v>5790</v>
      </c>
      <c r="D277" s="2943">
        <v>5740</v>
      </c>
      <c r="E277" s="2943">
        <v>6730</v>
      </c>
      <c r="F277" s="2943">
        <v>1110</v>
      </c>
      <c r="G277" s="2959">
        <v>3460</v>
      </c>
    </row>
    <row r="278" spans="1:7" s="2782" customFormat="1" ht="14.25" customHeight="1">
      <c r="A278" s="2947" t="s">
        <v>306</v>
      </c>
      <c r="B278" s="2947" t="s">
        <v>135</v>
      </c>
      <c r="C278" s="2947">
        <v>5740</v>
      </c>
      <c r="D278" s="2947">
        <v>5670</v>
      </c>
      <c r="E278" s="2947">
        <v>6680</v>
      </c>
      <c r="F278" s="2947">
        <v>1070</v>
      </c>
      <c r="G278" s="2960">
        <v>3420</v>
      </c>
    </row>
    <row r="279" spans="1:7" s="2782" customFormat="1" ht="14.25" customHeight="1">
      <c r="A279" s="2947" t="s">
        <v>306</v>
      </c>
      <c r="B279" s="2947" t="s">
        <v>3136</v>
      </c>
      <c r="C279" s="2947">
        <v>4760</v>
      </c>
      <c r="D279" s="2947">
        <v>4720</v>
      </c>
      <c r="E279" s="2947">
        <v>5540</v>
      </c>
      <c r="F279" s="2947">
        <v>810</v>
      </c>
      <c r="G279" s="2960">
        <v>2850</v>
      </c>
    </row>
    <row r="280" spans="1:7" s="2782" customFormat="1" ht="14.25" customHeight="1">
      <c r="A280" s="2947" t="s">
        <v>306</v>
      </c>
      <c r="B280" s="2947" t="s">
        <v>3137</v>
      </c>
      <c r="C280" s="2947">
        <v>4010</v>
      </c>
      <c r="D280" s="2947">
        <v>3950</v>
      </c>
      <c r="E280" s="2947">
        <v>4710</v>
      </c>
      <c r="F280" s="2947">
        <v>800</v>
      </c>
      <c r="G280" s="2960">
        <v>2390</v>
      </c>
    </row>
    <row r="281" spans="1:7" s="2782" customFormat="1" ht="14.25" customHeight="1">
      <c r="A281" s="2947" t="s">
        <v>306</v>
      </c>
      <c r="B281" s="2947" t="s">
        <v>3138</v>
      </c>
      <c r="C281" s="2947">
        <v>4480</v>
      </c>
      <c r="D281" s="2947">
        <v>4420</v>
      </c>
      <c r="E281" s="2947">
        <v>5230</v>
      </c>
      <c r="F281" s="2947">
        <v>870</v>
      </c>
      <c r="G281" s="2960">
        <v>2660</v>
      </c>
    </row>
    <row r="282" spans="1:7" s="2782" customFormat="1" ht="14.25" customHeight="1">
      <c r="A282" s="2947" t="s">
        <v>306</v>
      </c>
      <c r="B282" s="2947" t="s">
        <v>3139</v>
      </c>
      <c r="C282" s="2947">
        <v>5360</v>
      </c>
      <c r="D282" s="2947">
        <v>5300</v>
      </c>
      <c r="E282" s="2947">
        <v>6190</v>
      </c>
      <c r="F282" s="2947">
        <v>950</v>
      </c>
      <c r="G282" s="2960">
        <v>3190</v>
      </c>
    </row>
    <row r="283" spans="1:7" s="2782" customFormat="1" ht="14.25" customHeight="1">
      <c r="A283" s="2947" t="s">
        <v>306</v>
      </c>
      <c r="B283" s="2947" t="s">
        <v>174</v>
      </c>
      <c r="C283" s="2947">
        <v>4950</v>
      </c>
      <c r="D283" s="2947">
        <v>4900</v>
      </c>
      <c r="E283" s="2947">
        <v>5720</v>
      </c>
      <c r="F283" s="2947">
        <v>920</v>
      </c>
      <c r="G283" s="2960">
        <v>2950</v>
      </c>
    </row>
    <row r="284" spans="1:7" s="2782" customFormat="1" ht="14.25" customHeight="1">
      <c r="A284" s="2947" t="s">
        <v>306</v>
      </c>
      <c r="B284" s="2947" t="s">
        <v>182</v>
      </c>
      <c r="C284" s="2947">
        <v>5610</v>
      </c>
      <c r="D284" s="2947">
        <v>5560</v>
      </c>
      <c r="E284" s="2947">
        <v>6520</v>
      </c>
      <c r="F284" s="2947">
        <v>1030</v>
      </c>
      <c r="G284" s="2960">
        <v>3360</v>
      </c>
    </row>
    <row r="285" spans="1:7" s="2782" customFormat="1" ht="14.25" customHeight="1">
      <c r="A285" s="2947" t="s">
        <v>306</v>
      </c>
      <c r="B285" s="2947" t="s">
        <v>192</v>
      </c>
      <c r="C285" s="2947">
        <v>5340</v>
      </c>
      <c r="D285" s="2947">
        <v>5290</v>
      </c>
      <c r="E285" s="2947">
        <v>6170</v>
      </c>
      <c r="F285" s="2947">
        <v>1080</v>
      </c>
      <c r="G285" s="2960">
        <v>3180</v>
      </c>
    </row>
    <row r="286" spans="1:7" s="2782" customFormat="1" ht="14.25" customHeight="1">
      <c r="A286" s="2947" t="s">
        <v>306</v>
      </c>
      <c r="B286" s="2947" t="s">
        <v>199</v>
      </c>
      <c r="C286" s="2947">
        <v>4890</v>
      </c>
      <c r="D286" s="2947">
        <v>4840</v>
      </c>
      <c r="E286" s="2947">
        <v>5640</v>
      </c>
      <c r="F286" s="2947">
        <v>960</v>
      </c>
      <c r="G286" s="2960">
        <v>2910</v>
      </c>
    </row>
    <row r="287" spans="1:7" s="2782" customFormat="1" ht="14.25" customHeight="1">
      <c r="A287" s="2947" t="s">
        <v>306</v>
      </c>
      <c r="B287" s="2947" t="s">
        <v>3140</v>
      </c>
      <c r="C287" s="2947">
        <v>4960</v>
      </c>
      <c r="D287" s="2947">
        <v>4920</v>
      </c>
      <c r="E287" s="2947">
        <v>5730</v>
      </c>
      <c r="F287" s="2947">
        <v>930</v>
      </c>
      <c r="G287" s="2960">
        <v>2960</v>
      </c>
    </row>
    <row r="288" spans="1:7" s="2782" customFormat="1" ht="14.25" customHeight="1">
      <c r="A288" s="2947" t="s">
        <v>306</v>
      </c>
      <c r="B288" s="2947" t="s">
        <v>219</v>
      </c>
      <c r="C288" s="2947">
        <v>4350</v>
      </c>
      <c r="D288" s="2947">
        <v>4300</v>
      </c>
      <c r="E288" s="2947">
        <v>4900</v>
      </c>
      <c r="F288" s="2947">
        <v>820</v>
      </c>
      <c r="G288" s="2960">
        <v>2590</v>
      </c>
    </row>
    <row r="289" spans="1:7" s="2782" customFormat="1" ht="14.25" customHeight="1">
      <c r="A289" s="2947" t="s">
        <v>306</v>
      </c>
      <c r="B289" s="2947" t="s">
        <v>3141</v>
      </c>
      <c r="C289" s="2947">
        <v>5230</v>
      </c>
      <c r="D289" s="2947">
        <v>5170</v>
      </c>
      <c r="E289" s="2947">
        <v>6060</v>
      </c>
      <c r="F289" s="2947">
        <v>900</v>
      </c>
      <c r="G289" s="2960">
        <v>3120</v>
      </c>
    </row>
    <row r="290" spans="1:7" s="2782" customFormat="1" ht="14.25" customHeight="1">
      <c r="A290" s="2947" t="s">
        <v>306</v>
      </c>
      <c r="B290" s="2947" t="s">
        <v>242</v>
      </c>
      <c r="C290" s="2947">
        <v>5550</v>
      </c>
      <c r="D290" s="2947">
        <v>5500</v>
      </c>
      <c r="E290" s="2947">
        <v>6440</v>
      </c>
      <c r="F290" s="2947">
        <v>960</v>
      </c>
      <c r="G290" s="2960">
        <v>3320</v>
      </c>
    </row>
    <row r="291" spans="1:7" s="2782" customFormat="1" ht="14.25" customHeight="1">
      <c r="A291" s="2947" t="s">
        <v>306</v>
      </c>
      <c r="B291" s="2947" t="s">
        <v>250</v>
      </c>
      <c r="C291" s="2947">
        <v>5440</v>
      </c>
      <c r="D291" s="2947">
        <v>5400</v>
      </c>
      <c r="E291" s="2947">
        <v>6320</v>
      </c>
      <c r="F291" s="2947">
        <v>930</v>
      </c>
      <c r="G291" s="2960">
        <v>3250</v>
      </c>
    </row>
    <row r="292" spans="1:7" s="2782" customFormat="1" ht="14.25" customHeight="1">
      <c r="A292" s="2947" t="s">
        <v>306</v>
      </c>
      <c r="B292" s="2947" t="s">
        <v>256</v>
      </c>
      <c r="C292" s="2947">
        <v>5400</v>
      </c>
      <c r="D292" s="2947">
        <v>5360</v>
      </c>
      <c r="E292" s="2947">
        <v>6270</v>
      </c>
      <c r="F292" s="2947">
        <v>1040</v>
      </c>
      <c r="G292" s="2960">
        <v>3230</v>
      </c>
    </row>
    <row r="293" spans="1:7" s="2782" customFormat="1" ht="14.25" customHeight="1">
      <c r="A293" s="2947" t="s">
        <v>306</v>
      </c>
      <c r="B293" s="2947" t="s">
        <v>2916</v>
      </c>
      <c r="C293" s="2947">
        <v>5320</v>
      </c>
      <c r="D293" s="2947">
        <v>5270</v>
      </c>
      <c r="E293" s="2947">
        <v>6160</v>
      </c>
      <c r="F293" s="2947">
        <v>990</v>
      </c>
      <c r="G293" s="2960">
        <v>3170</v>
      </c>
    </row>
    <row r="294" spans="1:7" s="2782" customFormat="1" ht="14.25" customHeight="1">
      <c r="A294" s="2947" t="s">
        <v>306</v>
      </c>
      <c r="B294" s="2947" t="s">
        <v>3142</v>
      </c>
      <c r="C294" s="2947">
        <v>5260</v>
      </c>
      <c r="D294" s="2947">
        <v>5210</v>
      </c>
      <c r="E294" s="2947">
        <v>6100</v>
      </c>
      <c r="F294" s="2947">
        <v>950</v>
      </c>
      <c r="G294" s="2960">
        <v>3150</v>
      </c>
    </row>
    <row r="295" spans="1:7" s="2782" customFormat="1" ht="14.25" customHeight="1">
      <c r="A295" s="2947" t="s">
        <v>306</v>
      </c>
      <c r="B295" s="2947" t="s">
        <v>290</v>
      </c>
      <c r="C295" s="2947">
        <v>5610</v>
      </c>
      <c r="D295" s="2947">
        <v>5570</v>
      </c>
      <c r="E295" s="2947">
        <v>6530</v>
      </c>
      <c r="F295" s="2947">
        <v>960</v>
      </c>
      <c r="G295" s="2960">
        <v>3360</v>
      </c>
    </row>
    <row r="296" spans="1:7" s="2782" customFormat="1" ht="14.25" customHeight="1">
      <c r="A296" s="2947" t="s">
        <v>306</v>
      </c>
      <c r="B296" s="2947" t="s">
        <v>293</v>
      </c>
      <c r="C296" s="2947">
        <v>5540</v>
      </c>
      <c r="D296" s="2947">
        <v>5490</v>
      </c>
      <c r="E296" s="2947">
        <v>6430</v>
      </c>
      <c r="F296" s="2947">
        <v>980</v>
      </c>
      <c r="G296" s="2960">
        <v>3310</v>
      </c>
    </row>
    <row r="297" spans="1:7" s="2782" customFormat="1" ht="14.25" customHeight="1">
      <c r="A297" s="2947" t="s">
        <v>306</v>
      </c>
      <c r="B297" s="2947" t="s">
        <v>295</v>
      </c>
      <c r="C297" s="2947">
        <v>5480</v>
      </c>
      <c r="D297" s="2947">
        <v>5420</v>
      </c>
      <c r="E297" s="2947">
        <v>6370</v>
      </c>
      <c r="F297" s="2947">
        <v>990</v>
      </c>
      <c r="G297" s="2960">
        <v>3270</v>
      </c>
    </row>
    <row r="298" spans="1:7" s="2782" customFormat="1" ht="14.25" customHeight="1">
      <c r="A298" s="2947" t="s">
        <v>306</v>
      </c>
      <c r="B298" s="2947" t="s">
        <v>298</v>
      </c>
      <c r="C298" s="2947">
        <v>5090</v>
      </c>
      <c r="D298" s="2947">
        <v>5050</v>
      </c>
      <c r="E298" s="2947">
        <v>5910</v>
      </c>
      <c r="F298" s="2947">
        <v>900</v>
      </c>
      <c r="G298" s="2960">
        <v>3040</v>
      </c>
    </row>
    <row r="299" spans="1:7" s="2782" customFormat="1" ht="14.25" customHeight="1">
      <c r="A299" s="2947" t="s">
        <v>306</v>
      </c>
      <c r="B299" s="2956" t="s">
        <v>2935</v>
      </c>
      <c r="C299" s="2947">
        <v>5430</v>
      </c>
      <c r="D299" s="2947">
        <v>5380</v>
      </c>
      <c r="E299" s="2947">
        <v>6280</v>
      </c>
      <c r="F299" s="2947">
        <v>1000</v>
      </c>
      <c r="G299" s="2960">
        <v>3240</v>
      </c>
    </row>
    <row r="300" spans="1:7" s="2782" customFormat="1" ht="14.25" customHeight="1">
      <c r="A300" s="2947" t="s">
        <v>306</v>
      </c>
      <c r="B300" s="2956" t="s">
        <v>271</v>
      </c>
      <c r="C300" s="2947">
        <v>4740</v>
      </c>
      <c r="D300" s="2947">
        <v>4680</v>
      </c>
      <c r="E300" s="2947">
        <v>5450</v>
      </c>
      <c r="F300" s="2947">
        <v>900</v>
      </c>
      <c r="G300" s="2960">
        <v>2830</v>
      </c>
    </row>
    <row r="301" spans="1:7" s="2782" customFormat="1" ht="14.25" customHeight="1">
      <c r="A301" s="2947" t="s">
        <v>306</v>
      </c>
      <c r="B301" s="2956" t="s">
        <v>276</v>
      </c>
      <c r="C301" s="2947">
        <v>4870</v>
      </c>
      <c r="D301" s="2947">
        <v>4810</v>
      </c>
      <c r="E301" s="2947">
        <v>5560</v>
      </c>
      <c r="F301" s="2947">
        <v>990</v>
      </c>
      <c r="G301" s="2960">
        <v>2910</v>
      </c>
    </row>
    <row r="302" spans="1:7" s="2782" customFormat="1" ht="14.25" customHeight="1">
      <c r="A302" s="2947" t="s">
        <v>306</v>
      </c>
      <c r="B302" s="2947" t="s">
        <v>3143</v>
      </c>
      <c r="C302" s="2947">
        <v>5520</v>
      </c>
      <c r="D302" s="2947">
        <v>5470</v>
      </c>
      <c r="E302" s="2947">
        <v>6410</v>
      </c>
      <c r="F302" s="2947">
        <v>950</v>
      </c>
      <c r="G302" s="2960">
        <v>3300</v>
      </c>
    </row>
    <row r="303" spans="1:7" s="2782" customFormat="1" ht="14.25" customHeight="1">
      <c r="A303" s="2947" t="s">
        <v>306</v>
      </c>
      <c r="B303" s="2947" t="s">
        <v>2955</v>
      </c>
      <c r="C303" s="2947">
        <v>5630</v>
      </c>
      <c r="D303" s="2947">
        <v>5590</v>
      </c>
      <c r="E303" s="2947">
        <v>6550</v>
      </c>
      <c r="F303" s="2947">
        <v>1010</v>
      </c>
      <c r="G303" s="2960">
        <v>3370</v>
      </c>
    </row>
    <row r="304" spans="1:7" s="2782" customFormat="1" ht="14.25" customHeight="1">
      <c r="A304" s="2947" t="s">
        <v>306</v>
      </c>
      <c r="B304" s="2947" t="s">
        <v>2962</v>
      </c>
      <c r="C304" s="2947">
        <v>5680</v>
      </c>
      <c r="D304" s="2947">
        <v>5620</v>
      </c>
      <c r="E304" s="2947">
        <v>6620</v>
      </c>
      <c r="F304" s="2947">
        <v>1050</v>
      </c>
      <c r="G304" s="2960">
        <v>3390</v>
      </c>
    </row>
    <row r="305" spans="1:7" s="2782" customFormat="1" ht="14.25" customHeight="1">
      <c r="A305" s="2947" t="s">
        <v>306</v>
      </c>
      <c r="B305" s="2947" t="s">
        <v>2968</v>
      </c>
      <c r="C305" s="2947">
        <v>5590</v>
      </c>
      <c r="D305" s="2947">
        <v>5530</v>
      </c>
      <c r="E305" s="2947">
        <v>6460</v>
      </c>
      <c r="F305" s="2947">
        <v>900</v>
      </c>
      <c r="G305" s="2960">
        <v>3340</v>
      </c>
    </row>
    <row r="306" spans="1:7" s="2782" customFormat="1" ht="14.25" customHeight="1">
      <c r="A306" s="2947" t="s">
        <v>306</v>
      </c>
      <c r="B306" s="2947" t="s">
        <v>3144</v>
      </c>
      <c r="C306" s="2947">
        <v>5560</v>
      </c>
      <c r="D306" s="2947">
        <v>5510</v>
      </c>
      <c r="E306" s="2947">
        <v>6440</v>
      </c>
      <c r="F306" s="2947">
        <v>900</v>
      </c>
      <c r="G306" s="2960">
        <v>3320</v>
      </c>
    </row>
    <row r="307" spans="1:7" s="2782" customFormat="1" ht="14.25" customHeight="1">
      <c r="A307" s="2947" t="s">
        <v>306</v>
      </c>
      <c r="B307" s="2947" t="s">
        <v>2980</v>
      </c>
      <c r="C307" s="2947">
        <v>5650</v>
      </c>
      <c r="D307" s="2947">
        <v>5600</v>
      </c>
      <c r="E307" s="2947">
        <v>6590</v>
      </c>
      <c r="F307" s="2947">
        <v>930</v>
      </c>
      <c r="G307" s="2960">
        <v>3380</v>
      </c>
    </row>
    <row r="308" spans="1:7" s="2782" customFormat="1" ht="14.25" customHeight="1">
      <c r="A308" s="2947" t="s">
        <v>306</v>
      </c>
      <c r="B308" s="2947" t="s">
        <v>3145</v>
      </c>
      <c r="C308" s="2947">
        <v>5620</v>
      </c>
      <c r="D308" s="2947">
        <v>5580</v>
      </c>
      <c r="E308" s="2947">
        <v>6540</v>
      </c>
      <c r="F308" s="2947">
        <v>910</v>
      </c>
      <c r="G308" s="2960">
        <v>3370</v>
      </c>
    </row>
    <row r="309" spans="1:7" s="2782" customFormat="1" ht="14.25" customHeight="1">
      <c r="A309" s="2947" t="s">
        <v>306</v>
      </c>
      <c r="B309" s="2947" t="s">
        <v>3146</v>
      </c>
      <c r="C309" s="2947">
        <v>5060</v>
      </c>
      <c r="D309" s="2947">
        <v>5020</v>
      </c>
      <c r="E309" s="2947">
        <v>6370</v>
      </c>
      <c r="F309" s="2947">
        <v>800</v>
      </c>
      <c r="G309" s="2960">
        <v>3020</v>
      </c>
    </row>
    <row r="310" spans="1:7" s="2782" customFormat="1" ht="14.25" customHeight="1">
      <c r="A310" s="2947" t="s">
        <v>306</v>
      </c>
      <c r="B310" s="2947" t="s">
        <v>2995</v>
      </c>
      <c r="C310" s="2947">
        <v>5150</v>
      </c>
      <c r="D310" s="2947">
        <v>5110</v>
      </c>
      <c r="E310" s="2947">
        <v>6500</v>
      </c>
      <c r="F310" s="2947">
        <v>880</v>
      </c>
      <c r="G310" s="2960">
        <v>3080</v>
      </c>
    </row>
    <row r="311" spans="1:7" s="2782" customFormat="1" ht="14.25" customHeight="1">
      <c r="A311" s="2947" t="s">
        <v>306</v>
      </c>
      <c r="B311" s="2947" t="s">
        <v>3147</v>
      </c>
      <c r="C311" s="2947">
        <v>4750</v>
      </c>
      <c r="D311" s="2947">
        <v>4710</v>
      </c>
      <c r="E311" s="2947">
        <v>5510</v>
      </c>
      <c r="F311" s="2947">
        <v>880</v>
      </c>
      <c r="G311" s="2960">
        <v>2840</v>
      </c>
    </row>
    <row r="312" spans="1:7" s="2782" customFormat="1" ht="14.25" customHeight="1">
      <c r="A312" s="2947" t="s">
        <v>306</v>
      </c>
      <c r="B312" s="2947" t="s">
        <v>3005</v>
      </c>
      <c r="C312" s="2947">
        <v>4690</v>
      </c>
      <c r="D312" s="2947">
        <v>4640</v>
      </c>
      <c r="E312" s="2947">
        <v>5420</v>
      </c>
      <c r="F312" s="2947">
        <v>800</v>
      </c>
      <c r="G312" s="2960">
        <v>2800</v>
      </c>
    </row>
    <row r="313" spans="1:7" s="2782" customFormat="1" ht="14.25" customHeight="1">
      <c r="A313" s="2947" t="s">
        <v>306</v>
      </c>
      <c r="B313" s="2947" t="s">
        <v>3010</v>
      </c>
      <c r="C313" s="2947">
        <v>4810</v>
      </c>
      <c r="D313" s="2947">
        <v>4760</v>
      </c>
      <c r="E313" s="2947">
        <v>5550</v>
      </c>
      <c r="F313" s="2947">
        <v>920</v>
      </c>
      <c r="G313" s="2960">
        <v>2870</v>
      </c>
    </row>
    <row r="314" spans="1:7" s="2782" customFormat="1" ht="14.25" customHeight="1">
      <c r="A314" s="2947" t="s">
        <v>306</v>
      </c>
      <c r="B314" s="2947" t="s">
        <v>3148</v>
      </c>
      <c r="C314" s="2947"/>
      <c r="D314" s="2947"/>
      <c r="E314" s="2947"/>
      <c r="F314" s="2947">
        <v>1020</v>
      </c>
      <c r="G314" s="2960"/>
    </row>
    <row r="315" spans="1:7" s="2782" customFormat="1" ht="14.25" customHeight="1">
      <c r="A315" s="2947" t="s">
        <v>306</v>
      </c>
      <c r="B315" s="2947" t="s">
        <v>3149</v>
      </c>
      <c r="C315" s="2947"/>
      <c r="D315" s="2947"/>
      <c r="E315" s="2947"/>
      <c r="F315" s="2947">
        <v>1050</v>
      </c>
      <c r="G315" s="2960"/>
    </row>
    <row r="316" spans="1:7" s="2782" customFormat="1" ht="14.25" customHeight="1">
      <c r="A316" s="2947" t="s">
        <v>306</v>
      </c>
      <c r="B316" s="2947" t="s">
        <v>3025</v>
      </c>
      <c r="C316" s="2947"/>
      <c r="D316" s="2947"/>
      <c r="E316" s="2947"/>
      <c r="F316" s="2947">
        <v>900</v>
      </c>
      <c r="G316" s="2960"/>
    </row>
    <row r="317" spans="1:7" s="2782" customFormat="1" ht="14.25" customHeight="1">
      <c r="A317" s="2947" t="s">
        <v>306</v>
      </c>
      <c r="B317" s="2947" t="s">
        <v>3150</v>
      </c>
      <c r="C317" s="2947"/>
      <c r="D317" s="2947"/>
      <c r="E317" s="2947"/>
      <c r="F317" s="2947">
        <v>920</v>
      </c>
      <c r="G317" s="2960"/>
    </row>
    <row r="318" spans="1:7" s="2782" customFormat="1" ht="14.25" customHeight="1">
      <c r="A318" s="2947" t="s">
        <v>306</v>
      </c>
      <c r="B318" s="2947" t="s">
        <v>3151</v>
      </c>
      <c r="C318" s="2947"/>
      <c r="D318" s="2947"/>
      <c r="E318" s="2947"/>
      <c r="F318" s="2947">
        <v>1080</v>
      </c>
      <c r="G318" s="2960"/>
    </row>
    <row r="319" spans="1:7" s="2782" customFormat="1" ht="14.25" customHeight="1">
      <c r="A319" s="2947" t="s">
        <v>306</v>
      </c>
      <c r="B319" s="2947" t="s">
        <v>3038</v>
      </c>
      <c r="C319" s="2947"/>
      <c r="D319" s="2947"/>
      <c r="E319" s="2947"/>
      <c r="F319" s="2947">
        <v>1020</v>
      </c>
      <c r="G319" s="2960"/>
    </row>
    <row r="320" spans="1:7" s="2782" customFormat="1" ht="14.25" customHeight="1">
      <c r="A320" s="2947" t="s">
        <v>306</v>
      </c>
      <c r="B320" s="2947" t="s">
        <v>3041</v>
      </c>
      <c r="C320" s="2947"/>
      <c r="D320" s="2947"/>
      <c r="E320" s="2947"/>
      <c r="F320" s="2947">
        <v>1050</v>
      </c>
      <c r="G320" s="2960"/>
    </row>
    <row r="321" spans="1:7" s="2782" customFormat="1" ht="14.25" customHeight="1">
      <c r="A321" s="2947" t="s">
        <v>306</v>
      </c>
      <c r="B321" s="2947" t="s">
        <v>3043</v>
      </c>
      <c r="C321" s="2947"/>
      <c r="D321" s="2947"/>
      <c r="E321" s="2947"/>
      <c r="F321" s="2947">
        <v>960</v>
      </c>
      <c r="G321" s="2960"/>
    </row>
    <row r="322" spans="1:7" s="2782" customFormat="1" ht="14.25" customHeight="1">
      <c r="A322" s="2947" t="s">
        <v>306</v>
      </c>
      <c r="B322" s="2947" t="s">
        <v>3045</v>
      </c>
      <c r="C322" s="2947"/>
      <c r="D322" s="2947"/>
      <c r="E322" s="2947"/>
      <c r="F322" s="2947">
        <v>960</v>
      </c>
      <c r="G322" s="2960"/>
    </row>
    <row r="323" spans="1:7" s="2782" customFormat="1" ht="14.25" customHeight="1">
      <c r="A323" s="2947" t="s">
        <v>306</v>
      </c>
      <c r="B323" s="2947" t="s">
        <v>3047</v>
      </c>
      <c r="C323" s="2947"/>
      <c r="D323" s="2947"/>
      <c r="E323" s="2947"/>
      <c r="F323" s="2947">
        <v>880</v>
      </c>
      <c r="G323" s="2960"/>
    </row>
    <row r="324" spans="1:7" s="2782" customFormat="1" ht="14.25" customHeight="1">
      <c r="A324" s="2947" t="s">
        <v>306</v>
      </c>
      <c r="B324" s="2947" t="s">
        <v>3049</v>
      </c>
      <c r="C324" s="2947"/>
      <c r="D324" s="2947"/>
      <c r="E324" s="2947"/>
      <c r="F324" s="2947">
        <v>930</v>
      </c>
      <c r="G324" s="2960"/>
    </row>
    <row r="325" spans="1:7" s="2782" customFormat="1" ht="14.25" customHeight="1">
      <c r="A325" s="2947" t="s">
        <v>306</v>
      </c>
      <c r="B325" s="2948" t="s">
        <v>3051</v>
      </c>
      <c r="C325" s="2947"/>
      <c r="D325" s="2947"/>
      <c r="E325" s="2947"/>
      <c r="F325" s="2947">
        <v>900</v>
      </c>
      <c r="G325" s="2960"/>
    </row>
    <row r="326" spans="1:7" s="2782" customFormat="1" ht="14.25" customHeight="1" thickBot="1">
      <c r="A326" s="2961" t="s">
        <v>306</v>
      </c>
      <c r="B326" s="2954" t="s">
        <v>3053</v>
      </c>
      <c r="C326" s="2954"/>
      <c r="D326" s="2954"/>
      <c r="E326" s="2954"/>
      <c r="F326" s="2954">
        <v>790</v>
      </c>
      <c r="G326" s="2962"/>
    </row>
    <row r="327" spans="1:7" s="2782" customFormat="1" ht="14.25" customHeight="1">
      <c r="A327" s="2952" t="s">
        <v>307</v>
      </c>
      <c r="B327" s="2943" t="s">
        <v>3152</v>
      </c>
      <c r="C327" s="2947">
        <v>3750</v>
      </c>
      <c r="D327" s="2947">
        <v>3710</v>
      </c>
      <c r="E327" s="2947">
        <v>4080</v>
      </c>
      <c r="F327" s="2947">
        <v>860</v>
      </c>
      <c r="G327" s="2947">
        <v>2210</v>
      </c>
    </row>
    <row r="328" spans="1:7" s="2782" customFormat="1" ht="14.25" customHeight="1">
      <c r="A328" s="2947" t="s">
        <v>307</v>
      </c>
      <c r="B328" s="2947" t="s">
        <v>136</v>
      </c>
      <c r="C328" s="2947">
        <v>3330</v>
      </c>
      <c r="D328" s="2947">
        <v>3290</v>
      </c>
      <c r="E328" s="2947">
        <v>3610</v>
      </c>
      <c r="F328" s="2947">
        <v>850</v>
      </c>
      <c r="G328" s="2947">
        <v>1960</v>
      </c>
    </row>
    <row r="329" spans="1:7" s="2782" customFormat="1" ht="14.25" customHeight="1">
      <c r="A329" s="2947" t="s">
        <v>307</v>
      </c>
      <c r="B329" s="2947" t="s">
        <v>3153</v>
      </c>
      <c r="C329" s="2947">
        <v>2730</v>
      </c>
      <c r="D329" s="2947">
        <v>2690</v>
      </c>
      <c r="E329" s="2947">
        <v>3100</v>
      </c>
      <c r="F329" s="2947">
        <v>660</v>
      </c>
      <c r="G329" s="2947">
        <v>1610</v>
      </c>
    </row>
    <row r="330" spans="1:7" s="2782" customFormat="1" ht="14.25" customHeight="1">
      <c r="A330" s="2947" t="s">
        <v>307</v>
      </c>
      <c r="B330" s="2947" t="s">
        <v>3154</v>
      </c>
      <c r="C330" s="2947">
        <v>3270</v>
      </c>
      <c r="D330" s="2947">
        <v>3240</v>
      </c>
      <c r="E330" s="2947">
        <v>3560</v>
      </c>
      <c r="F330" s="2947">
        <v>680</v>
      </c>
      <c r="G330" s="2947">
        <v>1940</v>
      </c>
    </row>
    <row r="331" spans="1:7" s="2782" customFormat="1" ht="14.25" customHeight="1">
      <c r="A331" s="2947" t="s">
        <v>307</v>
      </c>
      <c r="B331" s="2947" t="s">
        <v>161</v>
      </c>
      <c r="C331" s="2947">
        <v>3770</v>
      </c>
      <c r="D331" s="2947">
        <v>3740</v>
      </c>
      <c r="E331" s="2947">
        <v>4110</v>
      </c>
      <c r="F331" s="2947">
        <v>730</v>
      </c>
      <c r="G331" s="2947">
        <v>2230</v>
      </c>
    </row>
    <row r="332" spans="1:7" s="2782" customFormat="1" ht="14.25" customHeight="1">
      <c r="A332" s="2947" t="s">
        <v>307</v>
      </c>
      <c r="B332" s="2947" t="s">
        <v>2887</v>
      </c>
      <c r="C332" s="2947">
        <v>3520</v>
      </c>
      <c r="D332" s="2947">
        <v>3480</v>
      </c>
      <c r="E332" s="2947">
        <v>3830</v>
      </c>
      <c r="F332" s="2947">
        <v>720</v>
      </c>
      <c r="G332" s="2947">
        <v>2090</v>
      </c>
    </row>
    <row r="333" spans="1:7" s="2782" customFormat="1" ht="14.25" customHeight="1">
      <c r="A333" s="2947" t="s">
        <v>307</v>
      </c>
      <c r="B333" s="2947" t="s">
        <v>3155</v>
      </c>
      <c r="C333" s="2947">
        <v>3840</v>
      </c>
      <c r="D333" s="2947">
        <v>3800</v>
      </c>
      <c r="E333" s="2947">
        <v>4200</v>
      </c>
      <c r="F333" s="2947">
        <v>760</v>
      </c>
      <c r="G333" s="2947">
        <v>2270</v>
      </c>
    </row>
    <row r="334" spans="1:7" s="2782" customFormat="1" ht="14.25" customHeight="1">
      <c r="A334" s="2947" t="s">
        <v>307</v>
      </c>
      <c r="B334" s="2947" t="s">
        <v>183</v>
      </c>
      <c r="C334" s="2947">
        <v>3960</v>
      </c>
      <c r="D334" s="2947">
        <v>3910</v>
      </c>
      <c r="E334" s="2947">
        <v>4340</v>
      </c>
      <c r="F334" s="2947">
        <v>780</v>
      </c>
      <c r="G334" s="2947">
        <v>2340</v>
      </c>
    </row>
    <row r="335" spans="1:7" s="2782" customFormat="1" ht="14.25" customHeight="1">
      <c r="A335" s="2947" t="s">
        <v>307</v>
      </c>
      <c r="B335" s="2947" t="s">
        <v>193</v>
      </c>
      <c r="C335" s="2947">
        <v>3710</v>
      </c>
      <c r="D335" s="2947">
        <v>3670</v>
      </c>
      <c r="E335" s="2947">
        <v>4030</v>
      </c>
      <c r="F335" s="2947">
        <v>750</v>
      </c>
      <c r="G335" s="2947">
        <v>2200</v>
      </c>
    </row>
    <row r="336" spans="1:7" s="2782" customFormat="1" ht="14.25" customHeight="1">
      <c r="A336" s="2947" t="s">
        <v>307</v>
      </c>
      <c r="B336" s="2947" t="s">
        <v>2897</v>
      </c>
      <c r="C336" s="2947">
        <v>3570</v>
      </c>
      <c r="D336" s="2947">
        <v>3530</v>
      </c>
      <c r="E336" s="2947">
        <v>3880</v>
      </c>
      <c r="F336" s="2947">
        <v>770</v>
      </c>
      <c r="G336" s="2947">
        <v>2110</v>
      </c>
    </row>
    <row r="337" spans="1:10" s="2782" customFormat="1" ht="14.25" customHeight="1">
      <c r="A337" s="2947" t="s">
        <v>307</v>
      </c>
      <c r="B337" s="2947" t="s">
        <v>3156</v>
      </c>
      <c r="C337" s="2947">
        <v>3780</v>
      </c>
      <c r="D337" s="2947">
        <v>3750</v>
      </c>
      <c r="E337" s="2947">
        <v>4130</v>
      </c>
      <c r="F337" s="2947">
        <v>750</v>
      </c>
      <c r="G337" s="2947">
        <v>2240</v>
      </c>
    </row>
    <row r="338" spans="1:10" s="2782" customFormat="1" ht="14.25" customHeight="1">
      <c r="A338" s="2947" t="s">
        <v>307</v>
      </c>
      <c r="B338" s="2947" t="s">
        <v>220</v>
      </c>
      <c r="C338" s="2947">
        <v>3600</v>
      </c>
      <c r="D338" s="2947">
        <v>3570</v>
      </c>
      <c r="E338" s="2947">
        <v>3920</v>
      </c>
      <c r="F338" s="2947">
        <v>790</v>
      </c>
      <c r="G338" s="2947">
        <v>2140</v>
      </c>
    </row>
    <row r="339" spans="1:10" s="2782" customFormat="1" ht="14.25" customHeight="1">
      <c r="A339" s="2947" t="s">
        <v>307</v>
      </c>
      <c r="B339" s="2947" t="s">
        <v>228</v>
      </c>
      <c r="C339" s="2947">
        <v>3540</v>
      </c>
      <c r="D339" s="2947">
        <v>3500</v>
      </c>
      <c r="E339" s="2947">
        <v>3850</v>
      </c>
      <c r="F339" s="2947">
        <v>780</v>
      </c>
      <c r="G339" s="2947">
        <v>2100</v>
      </c>
    </row>
    <row r="340" spans="1:10" s="2782" customFormat="1" ht="14.25" customHeight="1">
      <c r="A340" s="2947" t="s">
        <v>307</v>
      </c>
      <c r="B340" s="2947" t="s">
        <v>3157</v>
      </c>
      <c r="C340" s="2947">
        <v>3850</v>
      </c>
      <c r="D340" s="2947">
        <v>3810</v>
      </c>
      <c r="E340" s="2947">
        <v>4210</v>
      </c>
      <c r="F340" s="2947">
        <v>750</v>
      </c>
      <c r="G340" s="2947">
        <v>2280</v>
      </c>
    </row>
    <row r="341" spans="1:10" s="2782" customFormat="1" ht="14.25" customHeight="1">
      <c r="A341" s="2947" t="s">
        <v>307</v>
      </c>
      <c r="B341" s="2947" t="s">
        <v>207</v>
      </c>
      <c r="C341" s="2947">
        <v>3780</v>
      </c>
      <c r="D341" s="2947">
        <v>3750</v>
      </c>
      <c r="E341" s="2947">
        <v>4140</v>
      </c>
      <c r="F341" s="2947">
        <v>720</v>
      </c>
      <c r="G341" s="2947">
        <v>2240</v>
      </c>
    </row>
    <row r="342" spans="1:10" s="2782" customFormat="1" ht="14.25" customHeight="1">
      <c r="A342" s="2947" t="s">
        <v>307</v>
      </c>
      <c r="B342" s="2947" t="s">
        <v>3158</v>
      </c>
      <c r="C342" s="2947">
        <v>3670</v>
      </c>
      <c r="D342" s="2947">
        <v>3620</v>
      </c>
      <c r="E342" s="2947">
        <v>3990</v>
      </c>
      <c r="F342" s="2947">
        <v>760</v>
      </c>
      <c r="G342" s="2947">
        <v>2170</v>
      </c>
    </row>
    <row r="343" spans="1:10" s="2782" customFormat="1" ht="14.25" customHeight="1">
      <c r="A343" s="2947" t="s">
        <v>307</v>
      </c>
      <c r="B343" s="2947" t="s">
        <v>257</v>
      </c>
      <c r="C343" s="2947">
        <v>3760</v>
      </c>
      <c r="D343" s="2947">
        <v>3720</v>
      </c>
      <c r="E343" s="2947">
        <v>4090</v>
      </c>
      <c r="F343" s="2947">
        <v>780</v>
      </c>
      <c r="G343" s="2947">
        <v>2220</v>
      </c>
    </row>
    <row r="344" spans="1:10" s="2782"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2"/>
    </row>
    <row r="346" spans="1:10">
      <c r="A346" s="2947" t="s">
        <v>307</v>
      </c>
      <c r="B346" s="2947" t="s">
        <v>3159</v>
      </c>
      <c r="C346" s="2947">
        <v>3630</v>
      </c>
      <c r="D346" s="2947">
        <v>3590</v>
      </c>
      <c r="E346" s="2947">
        <v>3940</v>
      </c>
      <c r="F346" s="2947">
        <v>730</v>
      </c>
      <c r="G346" s="2947">
        <v>2150</v>
      </c>
      <c r="J346" s="2782"/>
    </row>
    <row r="347" spans="1:10">
      <c r="A347" s="2947" t="s">
        <v>307</v>
      </c>
      <c r="B347" s="2947" t="s">
        <v>243</v>
      </c>
      <c r="C347" s="2947">
        <v>3860</v>
      </c>
      <c r="D347" s="2947">
        <v>3820</v>
      </c>
      <c r="E347" s="2947">
        <v>4220</v>
      </c>
      <c r="F347" s="2947">
        <v>750</v>
      </c>
      <c r="G347" s="2947">
        <v>2280</v>
      </c>
      <c r="J347" s="2782"/>
    </row>
    <row r="348" spans="1:10">
      <c r="A348" s="2947" t="s">
        <v>307</v>
      </c>
      <c r="B348" s="2947" t="s">
        <v>2931</v>
      </c>
      <c r="C348" s="2947">
        <v>4000</v>
      </c>
      <c r="D348" s="2947">
        <v>3950</v>
      </c>
      <c r="E348" s="2947">
        <v>4430</v>
      </c>
      <c r="F348" s="2947">
        <v>760</v>
      </c>
      <c r="G348" s="2947">
        <v>2360</v>
      </c>
      <c r="J348" s="2782"/>
    </row>
    <row r="349" spans="1:10">
      <c r="A349" s="2947" t="s">
        <v>307</v>
      </c>
      <c r="B349" s="2947" t="s">
        <v>2936</v>
      </c>
      <c r="C349" s="2947">
        <v>3820</v>
      </c>
      <c r="D349" s="2947">
        <v>3780</v>
      </c>
      <c r="E349" s="2947">
        <v>4170</v>
      </c>
      <c r="F349" s="2947">
        <v>710</v>
      </c>
      <c r="G349" s="2947">
        <v>2260</v>
      </c>
      <c r="J349" s="2782"/>
    </row>
    <row r="350" spans="1:10">
      <c r="A350" s="2947" t="s">
        <v>307</v>
      </c>
      <c r="B350" s="2947" t="s">
        <v>3160</v>
      </c>
      <c r="C350" s="2947">
        <v>3760</v>
      </c>
      <c r="D350" s="2947">
        <v>3730</v>
      </c>
      <c r="E350" s="2947">
        <v>4100</v>
      </c>
      <c r="F350" s="2947">
        <v>800</v>
      </c>
      <c r="G350" s="2947">
        <v>2230</v>
      </c>
      <c r="J350" s="2782"/>
    </row>
    <row r="351" spans="1:10">
      <c r="A351" s="2947" t="s">
        <v>307</v>
      </c>
      <c r="B351" s="2947" t="s">
        <v>2944</v>
      </c>
      <c r="C351" s="2947">
        <v>3610</v>
      </c>
      <c r="D351" s="2947">
        <v>3580</v>
      </c>
      <c r="E351" s="2947">
        <v>3930</v>
      </c>
      <c r="F351" s="2947">
        <v>700</v>
      </c>
      <c r="G351" s="2947">
        <v>2140</v>
      </c>
      <c r="J351" s="2782"/>
    </row>
    <row r="352" spans="1:10">
      <c r="A352" s="2947" t="s">
        <v>307</v>
      </c>
      <c r="B352" s="2947" t="s">
        <v>2949</v>
      </c>
      <c r="C352" s="2947">
        <v>3670</v>
      </c>
      <c r="D352" s="2947">
        <v>3630</v>
      </c>
      <c r="E352" s="2947">
        <v>4000</v>
      </c>
      <c r="F352" s="2947">
        <v>750</v>
      </c>
      <c r="G352" s="2947">
        <v>2180</v>
      </c>
    </row>
    <row r="353" spans="1:7" s="2783" customFormat="1">
      <c r="A353" s="2947" t="s">
        <v>307</v>
      </c>
      <c r="B353" s="2947" t="s">
        <v>3161</v>
      </c>
      <c r="C353" s="2947">
        <v>3190</v>
      </c>
      <c r="D353" s="2947">
        <v>3150</v>
      </c>
      <c r="E353" s="2947">
        <v>3640</v>
      </c>
      <c r="F353" s="2947">
        <v>630</v>
      </c>
      <c r="G353" s="2947">
        <v>1890</v>
      </c>
    </row>
    <row r="354" spans="1:7" s="2783" customFormat="1">
      <c r="A354" s="2947" t="s">
        <v>307</v>
      </c>
      <c r="B354" s="2947" t="s">
        <v>280</v>
      </c>
      <c r="C354" s="2947">
        <v>3450</v>
      </c>
      <c r="D354" s="2947">
        <v>3420</v>
      </c>
      <c r="E354" s="2947">
        <v>3960</v>
      </c>
      <c r="F354" s="2947">
        <v>660</v>
      </c>
      <c r="G354" s="2947">
        <v>2050</v>
      </c>
    </row>
    <row r="355" spans="1:7" s="2783" customFormat="1">
      <c r="A355" s="2947" t="s">
        <v>307</v>
      </c>
      <c r="B355" s="2947" t="s">
        <v>2969</v>
      </c>
      <c r="C355" s="2947">
        <v>3650</v>
      </c>
      <c r="D355" s="2947">
        <v>3610</v>
      </c>
      <c r="E355" s="2947">
        <v>4200</v>
      </c>
      <c r="F355" s="2947">
        <v>640</v>
      </c>
      <c r="G355" s="2947">
        <v>2160</v>
      </c>
    </row>
    <row r="356" spans="1:7" s="2783" customFormat="1">
      <c r="A356" s="2947" t="s">
        <v>307</v>
      </c>
      <c r="B356" s="2947" t="s">
        <v>2976</v>
      </c>
      <c r="C356" s="2947">
        <v>3260</v>
      </c>
      <c r="D356" s="2947">
        <v>3230</v>
      </c>
      <c r="E356" s="2947">
        <v>3740</v>
      </c>
      <c r="F356" s="2947">
        <v>600</v>
      </c>
      <c r="G356" s="2947">
        <v>1930</v>
      </c>
    </row>
    <row r="357" spans="1:7" s="2783" customFormat="1" ht="12" thickBot="1">
      <c r="A357" s="2955" t="s">
        <v>307</v>
      </c>
      <c r="B357" s="2958" t="s">
        <v>3162</v>
      </c>
      <c r="C357" s="2958">
        <v>3690</v>
      </c>
      <c r="D357" s="2958">
        <v>3650</v>
      </c>
      <c r="E357" s="2958">
        <v>4020</v>
      </c>
      <c r="F357" s="2958">
        <v>700</v>
      </c>
      <c r="G357" s="2958">
        <v>2190</v>
      </c>
    </row>
    <row r="358" spans="1:7" s="2783" customFormat="1">
      <c r="A358" s="2952" t="s">
        <v>3163</v>
      </c>
      <c r="B358" s="2943" t="s">
        <v>3164</v>
      </c>
      <c r="C358" s="2943">
        <v>2080</v>
      </c>
      <c r="D358" s="2943">
        <v>2040</v>
      </c>
      <c r="E358" s="2943">
        <v>2010</v>
      </c>
      <c r="F358" s="2943">
        <v>530</v>
      </c>
      <c r="G358" s="2959">
        <v>1230</v>
      </c>
    </row>
    <row r="359" spans="1:7" s="2783" customFormat="1">
      <c r="A359" s="2947" t="s">
        <v>3163</v>
      </c>
      <c r="B359" s="2947" t="s">
        <v>3165</v>
      </c>
      <c r="C359" s="2947">
        <v>1850</v>
      </c>
      <c r="D359" s="2947">
        <v>1820</v>
      </c>
      <c r="E359" s="2947">
        <v>1780</v>
      </c>
      <c r="F359" s="2947">
        <v>520</v>
      </c>
      <c r="G359" s="2960">
        <v>1100</v>
      </c>
    </row>
    <row r="360" spans="1:7" s="2783" customFormat="1">
      <c r="A360" s="2947" t="s">
        <v>3163</v>
      </c>
      <c r="B360" s="2947" t="s">
        <v>3166</v>
      </c>
      <c r="C360" s="2947">
        <v>2020</v>
      </c>
      <c r="D360" s="2947">
        <v>1990</v>
      </c>
      <c r="E360" s="2947">
        <v>1950</v>
      </c>
      <c r="F360" s="2947">
        <v>500</v>
      </c>
      <c r="G360" s="2960">
        <v>1200</v>
      </c>
    </row>
    <row r="361" spans="1:7" s="2783" customFormat="1">
      <c r="A361" s="2947" t="s">
        <v>3163</v>
      </c>
      <c r="B361" s="2947" t="s">
        <v>153</v>
      </c>
      <c r="C361" s="2947">
        <v>2260</v>
      </c>
      <c r="D361" s="2947">
        <v>2220</v>
      </c>
      <c r="E361" s="2947">
        <v>2180</v>
      </c>
      <c r="F361" s="2947">
        <v>580</v>
      </c>
      <c r="G361" s="2960">
        <v>1340</v>
      </c>
    </row>
    <row r="362" spans="1:7" s="2783" customFormat="1">
      <c r="A362" s="2947" t="s">
        <v>3163</v>
      </c>
      <c r="B362" s="2947" t="s">
        <v>3167</v>
      </c>
      <c r="C362" s="2947">
        <v>2650</v>
      </c>
      <c r="D362" s="2947">
        <v>2610</v>
      </c>
      <c r="E362" s="2947">
        <v>2570</v>
      </c>
      <c r="F362" s="2947">
        <v>630</v>
      </c>
      <c r="G362" s="2960">
        <v>1570</v>
      </c>
    </row>
    <row r="363" spans="1:7" s="2783" customFormat="1">
      <c r="A363" s="2947" t="s">
        <v>3163</v>
      </c>
      <c r="B363" s="2947" t="s">
        <v>2888</v>
      </c>
      <c r="C363" s="2947">
        <v>2390</v>
      </c>
      <c r="D363" s="2947">
        <v>2360</v>
      </c>
      <c r="E363" s="2947">
        <v>2320</v>
      </c>
      <c r="F363" s="2947">
        <v>600</v>
      </c>
      <c r="G363" s="2960">
        <v>1420</v>
      </c>
    </row>
    <row r="364" spans="1:7" s="2783" customFormat="1">
      <c r="A364" s="2947" t="s">
        <v>3163</v>
      </c>
      <c r="B364" s="2947" t="s">
        <v>3168</v>
      </c>
      <c r="C364" s="2947">
        <v>2050</v>
      </c>
      <c r="D364" s="2947">
        <v>2030</v>
      </c>
      <c r="E364" s="2947">
        <v>1990</v>
      </c>
      <c r="F364" s="2947">
        <v>550</v>
      </c>
      <c r="G364" s="2960">
        <v>1220</v>
      </c>
    </row>
    <row r="365" spans="1:7" s="2783" customFormat="1">
      <c r="A365" s="2947" t="s">
        <v>3163</v>
      </c>
      <c r="B365" s="2947" t="s">
        <v>200</v>
      </c>
      <c r="C365" s="2947">
        <v>2140</v>
      </c>
      <c r="D365" s="2947">
        <v>2100</v>
      </c>
      <c r="E365" s="2947">
        <v>2060</v>
      </c>
      <c r="F365" s="2947">
        <v>540</v>
      </c>
      <c r="G365" s="2960">
        <v>1270</v>
      </c>
    </row>
    <row r="366" spans="1:7" s="2783" customFormat="1">
      <c r="A366" s="2947" t="s">
        <v>3163</v>
      </c>
      <c r="B366" s="2947" t="s">
        <v>2895</v>
      </c>
      <c r="C366" s="2947">
        <v>2410</v>
      </c>
      <c r="D366" s="2947">
        <v>2370</v>
      </c>
      <c r="E366" s="2947">
        <v>2330</v>
      </c>
      <c r="F366" s="2947">
        <v>570</v>
      </c>
      <c r="G366" s="2960">
        <v>1440</v>
      </c>
    </row>
    <row r="367" spans="1:7" s="2783" customFormat="1">
      <c r="A367" s="2947" t="s">
        <v>3163</v>
      </c>
      <c r="B367" s="2947" t="s">
        <v>3169</v>
      </c>
      <c r="C367" s="2947">
        <v>2300</v>
      </c>
      <c r="D367" s="2947">
        <v>2260</v>
      </c>
      <c r="E367" s="2947">
        <v>2220</v>
      </c>
      <c r="F367" s="2947">
        <v>560</v>
      </c>
      <c r="G367" s="2960">
        <v>1370</v>
      </c>
    </row>
    <row r="368" spans="1:7" s="2783" customFormat="1">
      <c r="A368" s="2947" t="s">
        <v>3163</v>
      </c>
      <c r="B368" s="2947" t="s">
        <v>3170</v>
      </c>
      <c r="C368" s="2947">
        <v>2430</v>
      </c>
      <c r="D368" s="2947">
        <v>2390</v>
      </c>
      <c r="E368" s="2947">
        <v>2350</v>
      </c>
      <c r="F368" s="2947">
        <v>570</v>
      </c>
      <c r="G368" s="2960">
        <v>1450</v>
      </c>
    </row>
    <row r="369" spans="1:7" s="2783" customFormat="1">
      <c r="A369" s="2947" t="s">
        <v>3163</v>
      </c>
      <c r="B369" s="2947" t="s">
        <v>214</v>
      </c>
      <c r="C369" s="2947">
        <v>2320</v>
      </c>
      <c r="D369" s="2947">
        <v>2290</v>
      </c>
      <c r="E369" s="2947">
        <v>2250</v>
      </c>
      <c r="F369" s="2947">
        <v>550</v>
      </c>
      <c r="G369" s="2960">
        <v>1380</v>
      </c>
    </row>
    <row r="370" spans="1:7" s="2783" customFormat="1">
      <c r="A370" s="2947" t="s">
        <v>3163</v>
      </c>
      <c r="B370" s="2947" t="s">
        <v>221</v>
      </c>
      <c r="C370" s="2947">
        <v>2190</v>
      </c>
      <c r="D370" s="2947">
        <v>2170</v>
      </c>
      <c r="E370" s="2947">
        <v>2130</v>
      </c>
      <c r="F370" s="2947">
        <v>530</v>
      </c>
      <c r="G370" s="2960">
        <v>1310</v>
      </c>
    </row>
    <row r="371" spans="1:7" s="2783" customFormat="1">
      <c r="A371" s="2947" t="s">
        <v>3163</v>
      </c>
      <c r="B371" s="2947" t="s">
        <v>229</v>
      </c>
      <c r="C371" s="2947">
        <v>2460</v>
      </c>
      <c r="D371" s="2947">
        <v>2420</v>
      </c>
      <c r="E371" s="2947">
        <v>2370</v>
      </c>
      <c r="F371" s="2947">
        <v>560</v>
      </c>
      <c r="G371" s="2960">
        <v>1470</v>
      </c>
    </row>
    <row r="372" spans="1:7" s="2783" customFormat="1">
      <c r="A372" s="2947" t="s">
        <v>3163</v>
      </c>
      <c r="B372" s="2947" t="s">
        <v>3171</v>
      </c>
      <c r="C372" s="2947">
        <v>2250</v>
      </c>
      <c r="D372" s="2947">
        <v>2210</v>
      </c>
      <c r="E372" s="2947">
        <v>2180</v>
      </c>
      <c r="F372" s="2947">
        <v>550</v>
      </c>
      <c r="G372" s="2960">
        <v>1340</v>
      </c>
    </row>
    <row r="373" spans="1:7" s="2783" customFormat="1">
      <c r="A373" s="2947" t="s">
        <v>3163</v>
      </c>
      <c r="B373" s="2947" t="s">
        <v>258</v>
      </c>
      <c r="C373" s="2947">
        <v>2210</v>
      </c>
      <c r="D373" s="2947">
        <v>2190</v>
      </c>
      <c r="E373" s="2947">
        <v>2150</v>
      </c>
      <c r="F373" s="2947">
        <v>530</v>
      </c>
      <c r="G373" s="2960">
        <v>1320</v>
      </c>
    </row>
    <row r="374" spans="1:7" s="2783" customFormat="1">
      <c r="A374" s="2947" t="s">
        <v>3163</v>
      </c>
      <c r="B374" s="2947" t="s">
        <v>266</v>
      </c>
      <c r="C374" s="2947">
        <v>2320</v>
      </c>
      <c r="D374" s="2947">
        <v>2280</v>
      </c>
      <c r="E374" s="2947">
        <v>2230</v>
      </c>
      <c r="F374" s="2947">
        <v>580</v>
      </c>
      <c r="G374" s="2960">
        <v>1380</v>
      </c>
    </row>
    <row r="375" spans="1:7" s="2783" customFormat="1">
      <c r="A375" s="2947" t="s">
        <v>3163</v>
      </c>
      <c r="B375" s="2947" t="s">
        <v>3172</v>
      </c>
      <c r="C375" s="2947">
        <v>2090</v>
      </c>
      <c r="D375" s="2947">
        <v>2050</v>
      </c>
      <c r="E375" s="2947">
        <v>2020</v>
      </c>
      <c r="F375" s="2947">
        <v>520</v>
      </c>
      <c r="G375" s="2960">
        <v>1240</v>
      </c>
    </row>
    <row r="376" spans="1:7" s="2783" customFormat="1">
      <c r="A376" s="2947" t="s">
        <v>3163</v>
      </c>
      <c r="B376" s="2947" t="s">
        <v>277</v>
      </c>
      <c r="C376" s="2947">
        <v>2010</v>
      </c>
      <c r="D376" s="2947">
        <v>1980</v>
      </c>
      <c r="E376" s="2947">
        <v>1940</v>
      </c>
      <c r="F376" s="2947">
        <v>540</v>
      </c>
      <c r="G376" s="2960">
        <v>1190</v>
      </c>
    </row>
    <row r="377" spans="1:7" s="2783" customFormat="1" ht="12" thickBot="1">
      <c r="A377" s="2955" t="s">
        <v>3163</v>
      </c>
      <c r="B377" s="2958" t="s">
        <v>2925</v>
      </c>
      <c r="C377" s="2958">
        <v>1930</v>
      </c>
      <c r="D377" s="2958">
        <v>1890</v>
      </c>
      <c r="E377" s="2958">
        <v>1860</v>
      </c>
      <c r="F377" s="2958">
        <v>530</v>
      </c>
      <c r="G377" s="2963">
        <v>1150</v>
      </c>
    </row>
    <row r="378" spans="1:7" s="2783" customFormat="1">
      <c r="A378" s="2964" t="s">
        <v>3173</v>
      </c>
      <c r="B378" s="2943" t="s">
        <v>3174</v>
      </c>
      <c r="C378" s="2943">
        <v>1520</v>
      </c>
      <c r="D378" s="2943">
        <v>1490</v>
      </c>
      <c r="E378" s="2943">
        <v>1460</v>
      </c>
      <c r="F378" s="2943">
        <v>460</v>
      </c>
      <c r="G378" s="2959">
        <v>940</v>
      </c>
    </row>
    <row r="379" spans="1:7" s="2783" customFormat="1">
      <c r="A379" s="2965" t="s">
        <v>3173</v>
      </c>
      <c r="B379" s="2947" t="s">
        <v>3175</v>
      </c>
      <c r="C379" s="2947">
        <v>1500</v>
      </c>
      <c r="D379" s="2947">
        <v>1470</v>
      </c>
      <c r="E379" s="2947">
        <v>1430</v>
      </c>
      <c r="F379" s="2947">
        <v>460</v>
      </c>
      <c r="G379" s="2960">
        <v>920</v>
      </c>
    </row>
    <row r="380" spans="1:7" s="2783" customFormat="1">
      <c r="A380" s="2965" t="s">
        <v>3173</v>
      </c>
      <c r="B380" s="2947" t="s">
        <v>3176</v>
      </c>
      <c r="C380" s="2947">
        <v>1620</v>
      </c>
      <c r="D380" s="2947">
        <v>1590</v>
      </c>
      <c r="E380" s="2947">
        <v>1560</v>
      </c>
      <c r="F380" s="2947">
        <v>480</v>
      </c>
      <c r="G380" s="2960">
        <v>1000</v>
      </c>
    </row>
    <row r="381" spans="1:7" s="2783" customFormat="1">
      <c r="A381" s="2965" t="s">
        <v>3173</v>
      </c>
      <c r="B381" s="2947" t="s">
        <v>3177</v>
      </c>
      <c r="C381" s="2947">
        <v>1460</v>
      </c>
      <c r="D381" s="2947">
        <v>1430</v>
      </c>
      <c r="E381" s="2947">
        <v>1390</v>
      </c>
      <c r="F381" s="2947">
        <v>450</v>
      </c>
      <c r="G381" s="2960">
        <v>900</v>
      </c>
    </row>
    <row r="382" spans="1:7" s="2783" customFormat="1">
      <c r="A382" s="2965" t="s">
        <v>3173</v>
      </c>
      <c r="B382" s="2947" t="s">
        <v>3178</v>
      </c>
      <c r="C382" s="2947">
        <v>1310</v>
      </c>
      <c r="D382" s="2947">
        <v>1280</v>
      </c>
      <c r="E382" s="2947">
        <v>1250</v>
      </c>
      <c r="F382" s="2947">
        <v>440</v>
      </c>
      <c r="G382" s="2960">
        <v>800</v>
      </c>
    </row>
    <row r="383" spans="1:7" s="2783" customFormat="1">
      <c r="A383" s="2965" t="s">
        <v>3173</v>
      </c>
      <c r="B383" s="2947" t="s">
        <v>3179</v>
      </c>
      <c r="C383" s="2947">
        <v>1260</v>
      </c>
      <c r="D383" s="2947">
        <v>1230</v>
      </c>
      <c r="E383" s="2947">
        <v>1200</v>
      </c>
      <c r="F383" s="2947">
        <v>420</v>
      </c>
      <c r="G383" s="2960">
        <v>770</v>
      </c>
    </row>
    <row r="384" spans="1:7" s="2783"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6"/>
  <sheetViews>
    <sheetView zoomScale="90" zoomScaleNormal="90" workbookViewId="0">
      <selection activeCell="V6" sqref="V6"/>
    </sheetView>
  </sheetViews>
  <sheetFormatPr defaultRowHeight="13.5"/>
  <cols>
    <col min="1" max="1" width="13.875" customWidth="1"/>
    <col min="11" max="17" width="9" customWidth="1"/>
    <col min="22" max="22" width="9" style="3169"/>
    <col min="25" max="30" width="0" hidden="1" customWidth="1"/>
  </cols>
  <sheetData>
    <row r="1" spans="1:44">
      <c r="A1" s="2937">
        <f>基准地价修正!G23</f>
        <v>46092</v>
      </c>
      <c r="B1" s="2929" t="s">
        <v>3376</v>
      </c>
      <c r="C1" s="2930"/>
      <c r="D1" s="2930"/>
      <c r="E1" s="2930"/>
      <c r="F1" s="2930"/>
      <c r="G1" s="2930"/>
      <c r="H1" s="2930"/>
      <c r="I1" s="2930"/>
      <c r="J1" s="2897"/>
      <c r="K1" s="2930" t="s">
        <v>454</v>
      </c>
      <c r="L1" s="2930"/>
      <c r="M1" s="2930"/>
      <c r="N1" s="2930"/>
      <c r="O1" s="2930"/>
      <c r="P1" s="2930"/>
      <c r="Q1" s="2897"/>
      <c r="R1" s="3512" t="s">
        <v>456</v>
      </c>
      <c r="S1" s="3513"/>
      <c r="T1" s="3513"/>
      <c r="U1" s="3513"/>
      <c r="V1" s="3513"/>
      <c r="W1" s="3513"/>
      <c r="X1" s="2897"/>
      <c r="Y1" s="3512" t="s">
        <v>457</v>
      </c>
      <c r="Z1" s="3513"/>
      <c r="AA1" s="3513"/>
      <c r="AB1" s="3513"/>
      <c r="AC1" s="3513"/>
      <c r="AD1" s="351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317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ROUND(AVERAGEIF(D4:D25,"&lt;&gt;0"),2)</f>
        <v>0.33</v>
      </c>
      <c r="E3" s="2887">
        <f t="shared" ref="E3:H3" si="0">ROUND(AVERAGEIF(E4:E25,"&lt;&gt;0"),2)</f>
        <v>0.14000000000000001</v>
      </c>
      <c r="F3" s="2887">
        <f t="shared" si="0"/>
        <v>-0.16</v>
      </c>
      <c r="G3" s="2887">
        <f t="shared" si="0"/>
        <v>0.39</v>
      </c>
      <c r="H3" s="2887">
        <f t="shared" si="0"/>
        <v>0.42</v>
      </c>
      <c r="I3" s="2887">
        <f>F3</f>
        <v>-0.16</v>
      </c>
      <c r="J3" s="2888"/>
      <c r="K3" s="2889">
        <f>ROUND(AVERAGEIF(K4:K25,"&lt;&gt;0"),4)</f>
        <v>3.3E-3</v>
      </c>
      <c r="L3" s="2890">
        <f t="shared" ref="L3:O3" si="1">ROUND(AVERAGEIF(L4:L25,"&lt;&gt;0"),4)</f>
        <v>1.4E-3</v>
      </c>
      <c r="M3" s="2890">
        <f t="shared" si="1"/>
        <v>-1.6000000000000001E-3</v>
      </c>
      <c r="N3" s="2890">
        <f t="shared" si="1"/>
        <v>3.8999999999999998E-3</v>
      </c>
      <c r="O3" s="2890">
        <f t="shared" si="1"/>
        <v>4.1999999999999997E-3</v>
      </c>
      <c r="P3" s="2890">
        <f>M3</f>
        <v>-1.6000000000000001E-3</v>
      </c>
      <c r="Q3" s="2888"/>
      <c r="R3" s="2891">
        <f>ROUND(SUMPRODUCT(PRODUCT(1+K4:K25)),4)</f>
        <v>1.0631999999999999</v>
      </c>
      <c r="S3" s="2892">
        <f t="shared" ref="S3:V3" si="2">ROUND(SUMPRODUCT(PRODUCT(1+L4:L25)),4)</f>
        <v>1.0268999999999999</v>
      </c>
      <c r="T3" s="2892">
        <f t="shared" si="2"/>
        <v>0.97040000000000004</v>
      </c>
      <c r="U3" s="2892">
        <f t="shared" si="2"/>
        <v>1.0765</v>
      </c>
      <c r="V3" s="3173">
        <f t="shared" si="2"/>
        <v>1.0908</v>
      </c>
      <c r="W3" s="2891">
        <f>T3</f>
        <v>0.97040000000000004</v>
      </c>
      <c r="X3" s="2888"/>
      <c r="Y3" s="2893">
        <f>ROUND(AVERAGEIF(Y12:Y25,"&lt;&gt;0"),4)</f>
        <v>8.3999999999999995E-3</v>
      </c>
      <c r="Z3" s="2894">
        <f t="shared" ref="Z3:AC3" si="3">ROUND(AVERAGEIF(Z12:Z25,"&lt;&gt;0"),4)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3174"/>
      <c r="W4" s="2027"/>
      <c r="X4" s="2897"/>
      <c r="Y4" s="2028"/>
      <c r="Z4" s="2902"/>
      <c r="AA4" s="2903"/>
      <c r="AB4" s="2028"/>
      <c r="AC4" s="2904"/>
      <c r="AD4" s="2028"/>
    </row>
    <row r="5" spans="1:44" s="3186" customFormat="1">
      <c r="A5" s="3177" t="s">
        <v>3466</v>
      </c>
      <c r="B5" s="3178"/>
      <c r="C5" s="3179"/>
      <c r="D5" s="3180"/>
      <c r="E5" s="3180"/>
      <c r="F5" s="3180"/>
      <c r="G5" s="3180"/>
      <c r="H5" s="3180">
        <v>-0.04</v>
      </c>
      <c r="I5" s="3181"/>
      <c r="J5" s="3182"/>
      <c r="K5" s="3183"/>
      <c r="L5" s="3184"/>
      <c r="M5" s="3184"/>
      <c r="N5" s="3184"/>
      <c r="O5" s="3184">
        <f>H5/100</f>
        <v>-4.0000000000000002E-4</v>
      </c>
      <c r="P5" s="3184"/>
      <c r="Q5" s="3182"/>
      <c r="R5" s="3182"/>
      <c r="S5" s="3182"/>
      <c r="T5" s="3182"/>
      <c r="U5" s="3182">
        <f>ROUND(IF(项目基本情况!$B$8="出让",SUMPRODUCT(PRODUCT(1+N5:$N$25)),SUMPRODUCT(PRODUCT(1+N5:$N$24))),4)</f>
        <v>1.0647</v>
      </c>
      <c r="V5" s="3185">
        <f>ROUND(IF(项目基本情况!$B$8="出让",SUMPRODUCT(PRODUCT(1+O5:$O$25)),SUMPRODUCT(PRODUCT(1+O5:$O$24))),4)</f>
        <v>1.0869</v>
      </c>
      <c r="W5" s="3182"/>
      <c r="X5" s="3182"/>
      <c r="Y5" s="3184"/>
      <c r="Z5" s="3184"/>
      <c r="AA5" s="3184"/>
      <c r="AB5" s="3184"/>
      <c r="AC5" s="3184"/>
      <c r="AD5" s="3184"/>
      <c r="AF5" s="3187"/>
      <c r="AG5" s="3187"/>
      <c r="AH5" s="3187"/>
      <c r="AI5" s="3187"/>
      <c r="AJ5" s="3187"/>
      <c r="AK5" s="3187"/>
      <c r="AM5" s="3188"/>
      <c r="AN5" s="3188"/>
      <c r="AO5" s="3188"/>
      <c r="AP5" s="3188"/>
      <c r="AQ5" s="3188"/>
      <c r="AR5" s="3188"/>
    </row>
    <row r="6" spans="1:44" s="2045" customFormat="1">
      <c r="A6" s="2040" t="s">
        <v>3400</v>
      </c>
      <c r="B6" s="2031">
        <v>2025</v>
      </c>
      <c r="C6" s="2042">
        <v>4</v>
      </c>
      <c r="D6" s="2007">
        <v>0</v>
      </c>
      <c r="E6" s="2007">
        <v>0</v>
      </c>
      <c r="F6" s="2007">
        <v>0</v>
      </c>
      <c r="G6" s="2007">
        <v>0</v>
      </c>
      <c r="H6" s="2007">
        <v>-0.2</v>
      </c>
      <c r="I6" s="2008">
        <f t="shared" ref="I6" si="4">F6</f>
        <v>0</v>
      </c>
      <c r="J6" s="2906"/>
      <c r="K6" s="2043">
        <f t="shared" ref="K6" si="5">D6/100</f>
        <v>0</v>
      </c>
      <c r="L6" s="2028">
        <f t="shared" ref="L6" si="6">E6/100</f>
        <v>0</v>
      </c>
      <c r="M6" s="2028">
        <f t="shared" ref="M6" si="7">F6/100</f>
        <v>0</v>
      </c>
      <c r="N6" s="2028">
        <f t="shared" ref="N6" si="8">G6/100</f>
        <v>0</v>
      </c>
      <c r="O6" s="2028">
        <f>H6/100</f>
        <v>-2E-3</v>
      </c>
      <c r="P6" s="2028">
        <f t="shared" ref="P6:P12" si="9">M6</f>
        <v>0</v>
      </c>
      <c r="Q6" s="2906"/>
      <c r="R6" s="2027">
        <f>ROUND(IF(项目基本情况!$B$8="出让",SUMPRODUCT(PRODUCT(1+K6:$K$25)),SUMPRODUCT(PRODUCT(1+K6:$K$24))),4)</f>
        <v>1.0529999999999999</v>
      </c>
      <c r="S6" s="2027">
        <f>ROUND(IF(项目基本情况!$B$8="出让",SUMPRODUCT(PRODUCT(1+L6:$L$25)),SUMPRODUCT(PRODUCT(1+L6:$L$24))),4)</f>
        <v>1.0251999999999999</v>
      </c>
      <c r="T6" s="2027">
        <f>ROUND(IF(项目基本情况!$B$8="出让",SUMPRODUCT(PRODUCT(1+M6:$M$25)),SUMPRODUCT(PRODUCT(1+M6:$M$24))),4)</f>
        <v>0.97289999999999999</v>
      </c>
      <c r="U6" s="2027">
        <f>ROUND(IF(项目基本情况!$B$8="出让",SUMPRODUCT(PRODUCT(1+N6:$N$25)),SUMPRODUCT(PRODUCT(1+N6:$N$24))),4)</f>
        <v>1.0647</v>
      </c>
      <c r="V6" s="2119">
        <f>ROUND(IF(项目基本情况!$B$8="出让",SUMPRODUCT(PRODUCT(1+O6:$O$25)),SUMPRODUCT(PRODUCT(1+O6:$O$24))),4)</f>
        <v>1.0872999999999999</v>
      </c>
      <c r="W6" s="2027">
        <f t="shared" ref="W6:W12" si="10">T6</f>
        <v>0.97289999999999999</v>
      </c>
      <c r="X6" s="2906"/>
      <c r="Y6" s="2028">
        <f t="shared" ref="Y6:Y12" si="11">IF(D6=0,0,ROUND(AVERAGE(D6:D19)/100,4))</f>
        <v>0</v>
      </c>
      <c r="Z6" s="2028">
        <f t="shared" ref="Z6" si="12">IF(E6=0,0,ROUND(AVERAGE(E6:E19)/100,4))</f>
        <v>0</v>
      </c>
      <c r="AA6" s="2028">
        <f t="shared" ref="AA6" si="13">IF(F6=0,0,ROUND(AVERAGE(F6:F19)/100,4))</f>
        <v>0</v>
      </c>
      <c r="AB6" s="2028">
        <f t="shared" ref="AB6" si="14">IF(G6=0,0,ROUND(AVERAGE(G6:G19)/100,4))</f>
        <v>0</v>
      </c>
      <c r="AC6" s="2028">
        <f t="shared" ref="AC6" si="15">IF(H6=0,0,ROUND(AVERAGE(H6:H19)/100,4))</f>
        <v>3.3E-3</v>
      </c>
      <c r="AD6" s="2028">
        <f t="shared" ref="AD6" si="16">AA6</f>
        <v>0</v>
      </c>
      <c r="AF6" s="3153">
        <f>$AF$25*R6</f>
        <v>105.3</v>
      </c>
      <c r="AG6" s="3153">
        <f t="shared" ref="AG6:AK6" si="17">$AF$25*S6</f>
        <v>102.51999999999998</v>
      </c>
      <c r="AH6" s="3153">
        <f t="shared" si="17"/>
        <v>97.289999999999992</v>
      </c>
      <c r="AI6" s="3153">
        <f t="shared" si="17"/>
        <v>106.47</v>
      </c>
      <c r="AJ6" s="3153">
        <f t="shared" si="17"/>
        <v>108.72999999999999</v>
      </c>
      <c r="AK6" s="3153">
        <f t="shared" si="17"/>
        <v>97.289999999999992</v>
      </c>
      <c r="AM6" s="3159">
        <v>100</v>
      </c>
      <c r="AN6" s="3159">
        <v>100</v>
      </c>
      <c r="AO6" s="3159">
        <v>100</v>
      </c>
      <c r="AP6" s="3159">
        <v>100</v>
      </c>
      <c r="AQ6" s="3159">
        <v>100</v>
      </c>
      <c r="AR6" s="3159">
        <v>100</v>
      </c>
    </row>
    <row r="7" spans="1:44" s="2045" customFormat="1" ht="12.75">
      <c r="A7" s="2040" t="s">
        <v>3414</v>
      </c>
      <c r="B7" s="2031">
        <v>2025</v>
      </c>
      <c r="C7" s="2042">
        <v>3</v>
      </c>
      <c r="D7" s="2007">
        <v>-0.45</v>
      </c>
      <c r="E7" s="2007">
        <v>-0.22</v>
      </c>
      <c r="F7" s="2007">
        <v>-0.82</v>
      </c>
      <c r="G7" s="2007">
        <v>-0.39</v>
      </c>
      <c r="H7" s="2007">
        <v>0.04</v>
      </c>
      <c r="I7" s="2008">
        <f t="shared" ref="I7" si="18">F7</f>
        <v>-0.82</v>
      </c>
      <c r="J7" s="2906"/>
      <c r="K7" s="2043">
        <f t="shared" ref="K7" si="19">D7/100</f>
        <v>-4.5000000000000005E-3</v>
      </c>
      <c r="L7" s="2028">
        <f t="shared" ref="L7" si="20">E7/100</f>
        <v>-2.2000000000000001E-3</v>
      </c>
      <c r="M7" s="2028">
        <f t="shared" ref="M7" si="21">F7/100</f>
        <v>-8.199999999999999E-3</v>
      </c>
      <c r="N7" s="2028">
        <f t="shared" ref="N7" si="22">G7/100</f>
        <v>-3.9000000000000003E-3</v>
      </c>
      <c r="O7" s="2028">
        <f>H7/100</f>
        <v>4.0000000000000002E-4</v>
      </c>
      <c r="P7" s="2028">
        <f t="shared" si="9"/>
        <v>-8.199999999999999E-3</v>
      </c>
      <c r="Q7" s="2906"/>
      <c r="R7" s="2027">
        <f>ROUND(IF(项目基本情况!$B$8="出让",SUMPRODUCT(PRODUCT(1+K7:$K$25)),SUMPRODUCT(PRODUCT(1+K7:$K$24))),4)</f>
        <v>1.0529999999999999</v>
      </c>
      <c r="S7" s="2027">
        <f>ROUND(IF(项目基本情况!$B$8="出让",SUMPRODUCT(PRODUCT(1+L7:$L$25)),SUMPRODUCT(PRODUCT(1+L7:$L$24))),4)</f>
        <v>1.0251999999999999</v>
      </c>
      <c r="T7" s="2027">
        <f>ROUND(IF(项目基本情况!$B$8="出让",SUMPRODUCT(PRODUCT(1+M7:$M$25)),SUMPRODUCT(PRODUCT(1+M7:$M$24))),4)</f>
        <v>0.97289999999999999</v>
      </c>
      <c r="U7" s="2027">
        <f>ROUND(IF(项目基本情况!$B$8="出让",SUMPRODUCT(PRODUCT(1+N7:$N$25)),SUMPRODUCT(PRODUCT(1+N7:$N$24))),4)</f>
        <v>1.0647</v>
      </c>
      <c r="V7" s="2119">
        <f>ROUND(IF(项目基本情况!$B$8="出让",SUMPRODUCT(PRODUCT(1+O7:$O$25)),SUMPRODUCT(PRODUCT(1+O7:$O$24))),4)</f>
        <v>1.0894999999999999</v>
      </c>
      <c r="W7" s="2027">
        <f t="shared" si="10"/>
        <v>0.97289999999999999</v>
      </c>
      <c r="X7" s="2906"/>
      <c r="Y7" s="2028">
        <f t="shared" si="11"/>
        <v>1.4E-3</v>
      </c>
      <c r="Z7" s="2028">
        <f t="shared" ref="Z7" si="23">IF(E7=0,0,ROUND(AVERAGE(E7:E20)/100,4))</f>
        <v>5.0000000000000001E-4</v>
      </c>
      <c r="AA7" s="2028">
        <f t="shared" ref="AA7" si="24">IF(F7=0,0,ROUND(AVERAGE(F7:F20)/100,4))</f>
        <v>-2.7000000000000001E-3</v>
      </c>
      <c r="AB7" s="2028">
        <f t="shared" ref="AB7" si="25">IF(G7=0,0,ROUND(AVERAGE(G7:G20)/100,4))</f>
        <v>2E-3</v>
      </c>
      <c r="AC7" s="2028">
        <f t="shared" ref="AC7" si="26">IF(H7=0,0,ROUND(AVERAGE(H7:H20)/100,4))</f>
        <v>4.1999999999999997E-3</v>
      </c>
      <c r="AD7" s="2028">
        <f t="shared" ref="AD7" si="27">AA7</f>
        <v>-2.7000000000000001E-3</v>
      </c>
      <c r="AF7" s="3153">
        <f t="shared" ref="AF7:AF24" si="28">$AF$25*R7</f>
        <v>105.3</v>
      </c>
      <c r="AG7" s="3153">
        <f t="shared" ref="AG7:AG24" si="29">$AF$25*S7</f>
        <v>102.51999999999998</v>
      </c>
      <c r="AH7" s="3153">
        <f t="shared" ref="AH7:AH24" si="30">$AF$25*T7</f>
        <v>97.289999999999992</v>
      </c>
      <c r="AI7" s="3153">
        <f t="shared" ref="AI7:AI24" si="31">$AF$25*U7</f>
        <v>106.47</v>
      </c>
      <c r="AJ7" s="3153">
        <f t="shared" ref="AJ7:AJ24" si="32">$AF$25*V7</f>
        <v>108.94999999999999</v>
      </c>
      <c r="AK7" s="3153">
        <f t="shared" ref="AK7:AK24" si="33">$AF$25*W7</f>
        <v>97.289999999999992</v>
      </c>
      <c r="AM7" s="3153">
        <f>AM6/(1+D6/100)</f>
        <v>100</v>
      </c>
      <c r="AN7" s="3153">
        <f t="shared" ref="AN7:AR7" si="34">AN6/(1+E6/100)</f>
        <v>100</v>
      </c>
      <c r="AO7" s="3153">
        <f t="shared" si="34"/>
        <v>100</v>
      </c>
      <c r="AP7" s="3153">
        <f t="shared" si="34"/>
        <v>100</v>
      </c>
      <c r="AQ7" s="3153">
        <f t="shared" si="34"/>
        <v>100.20040080160321</v>
      </c>
      <c r="AR7" s="3153">
        <f t="shared" si="34"/>
        <v>100</v>
      </c>
    </row>
    <row r="8" spans="1:44" s="2045" customFormat="1" ht="12.75">
      <c r="A8" s="2040" t="s">
        <v>3415</v>
      </c>
      <c r="B8" s="2031">
        <v>2025</v>
      </c>
      <c r="C8" s="2042">
        <v>2</v>
      </c>
      <c r="D8" s="2007">
        <v>0.05</v>
      </c>
      <c r="E8" s="2007">
        <v>-0.62</v>
      </c>
      <c r="F8" s="2007">
        <v>-1.05</v>
      </c>
      <c r="G8" s="2007">
        <v>0.09</v>
      </c>
      <c r="H8" s="2007">
        <v>0.17</v>
      </c>
      <c r="I8" s="2008">
        <f t="shared" ref="I8" si="35">F8</f>
        <v>-1.05</v>
      </c>
      <c r="J8" s="2906"/>
      <c r="K8" s="2043">
        <f t="shared" ref="K8" si="36">D8/100</f>
        <v>5.0000000000000001E-4</v>
      </c>
      <c r="L8" s="2028">
        <f t="shared" ref="L8" si="37">E8/100</f>
        <v>-6.1999999999999998E-3</v>
      </c>
      <c r="M8" s="2028">
        <f t="shared" ref="M8" si="38">F8/100</f>
        <v>-1.0500000000000001E-2</v>
      </c>
      <c r="N8" s="2028">
        <f t="shared" ref="N8" si="39">G8/100</f>
        <v>8.9999999999999998E-4</v>
      </c>
      <c r="O8" s="2028">
        <f t="shared" ref="O8" si="40">H8/100</f>
        <v>1.7000000000000001E-3</v>
      </c>
      <c r="P8" s="2028">
        <f t="shared" si="9"/>
        <v>-1.0500000000000001E-2</v>
      </c>
      <c r="Q8" s="2906"/>
      <c r="R8" s="2027">
        <f>ROUND(IF(项目基本情况!$B$8="出让",SUMPRODUCT(PRODUCT(1+K8:$K$25)),SUMPRODUCT(PRODUCT(1+K8:$K$24))),4)</f>
        <v>1.0577000000000001</v>
      </c>
      <c r="S8" s="2027">
        <f>ROUND(IF(项目基本情况!$B$8="出让",SUMPRODUCT(PRODUCT(1+L8:$L$25)),SUMPRODUCT(PRODUCT(1+L8:$L$24))),4)</f>
        <v>1.0275000000000001</v>
      </c>
      <c r="T8" s="2027">
        <f>ROUND(IF(项目基本情况!$B$8="出让",SUMPRODUCT(PRODUCT(1+M8:$M$25)),SUMPRODUCT(PRODUCT(1+M8:$M$24))),4)</f>
        <v>0.98089999999999999</v>
      </c>
      <c r="U8" s="2027">
        <f>ROUND(IF(项目基本情况!$B$8="出让",SUMPRODUCT(PRODUCT(1+N8:$N$25)),SUMPRODUCT(PRODUCT(1+N8:$N$24))),4)</f>
        <v>1.0689</v>
      </c>
      <c r="V8" s="2119">
        <f>ROUND(IF(项目基本情况!$B$8="出让",SUMPRODUCT(PRODUCT(1+O8:$O$25)),SUMPRODUCT(PRODUCT(1+O8:$O$24))),4)</f>
        <v>1.0891</v>
      </c>
      <c r="W8" s="2027">
        <f t="shared" si="10"/>
        <v>0.98089999999999999</v>
      </c>
      <c r="X8" s="2906"/>
      <c r="Y8" s="2028">
        <f t="shared" si="11"/>
        <v>2.3E-3</v>
      </c>
      <c r="Z8" s="2028">
        <f t="shared" ref="Z8" si="41">IF(E8=0,0,ROUND(AVERAGE(E8:E21)/100,4))</f>
        <v>1E-3</v>
      </c>
      <c r="AA8" s="2028">
        <f t="shared" ref="AA8" si="42">IF(F8=0,0,ROUND(AVERAGE(F8:F21)/100,4))</f>
        <v>-1.9E-3</v>
      </c>
      <c r="AB8" s="2028">
        <f t="shared" ref="AB8" si="43">IF(G8=0,0,ROUND(AVERAGE(G8:G21)/100,4))</f>
        <v>2.8999999999999998E-3</v>
      </c>
      <c r="AC8" s="2028">
        <f t="shared" ref="AC8" si="44">IF(H8=0,0,ROUND(AVERAGE(H8:H21)/100,4))</f>
        <v>4.7000000000000002E-3</v>
      </c>
      <c r="AD8" s="2028">
        <f t="shared" ref="AD8" si="45">AA8</f>
        <v>-1.9E-3</v>
      </c>
      <c r="AF8" s="3153">
        <f t="shared" si="28"/>
        <v>105.77000000000001</v>
      </c>
      <c r="AG8" s="3153">
        <f t="shared" si="29"/>
        <v>102.75000000000001</v>
      </c>
      <c r="AH8" s="3153">
        <f t="shared" si="30"/>
        <v>98.09</v>
      </c>
      <c r="AI8" s="3153">
        <f t="shared" si="31"/>
        <v>106.89</v>
      </c>
      <c r="AJ8" s="3153">
        <f t="shared" si="32"/>
        <v>108.91</v>
      </c>
      <c r="AK8" s="3153">
        <f t="shared" si="33"/>
        <v>98.09</v>
      </c>
      <c r="AM8" s="3153">
        <f t="shared" ref="AM8:AM25" si="46">AM7/(1+D7/100)</f>
        <v>100.45203415369161</v>
      </c>
      <c r="AN8" s="3153">
        <f t="shared" ref="AN8:AN25" si="47">AN7/(1+E7/100)</f>
        <v>100.22048506714772</v>
      </c>
      <c r="AO8" s="3153">
        <f>AO7/(1+F7/100)</f>
        <v>100.8267795926598</v>
      </c>
      <c r="AP8" s="3153">
        <f>AP7/(1+G7/100)</f>
        <v>100.39152695512499</v>
      </c>
      <c r="AQ8" s="3153">
        <f t="shared" ref="AQ8:AQ25" si="48">AQ7/(1+H7/100)</f>
        <v>100.16033666693644</v>
      </c>
      <c r="AR8" s="3153">
        <f t="shared" ref="AR8:AR25" si="49">AR7/(1+I7/100)</f>
        <v>100.8267795926598</v>
      </c>
    </row>
    <row r="9" spans="1:44" s="2045" customFormat="1" ht="12.75">
      <c r="A9" s="2040" t="s">
        <v>3406</v>
      </c>
      <c r="B9" s="2031">
        <v>2025</v>
      </c>
      <c r="C9" s="2042">
        <v>1</v>
      </c>
      <c r="D9" s="2007">
        <v>0.56999999999999995</v>
      </c>
      <c r="E9" s="2007">
        <v>-0.56999999999999995</v>
      </c>
      <c r="F9" s="2007">
        <v>-0.9</v>
      </c>
      <c r="G9" s="2007">
        <v>1.1200000000000001</v>
      </c>
      <c r="H9" s="2007">
        <v>0.42</v>
      </c>
      <c r="I9" s="2008">
        <f t="shared" ref="I9" si="50">F9</f>
        <v>-0.9</v>
      </c>
      <c r="J9" s="2906"/>
      <c r="K9" s="2043">
        <f t="shared" ref="K9" si="51">D9/100</f>
        <v>5.6999999999999993E-3</v>
      </c>
      <c r="L9" s="2028">
        <f t="shared" ref="L9" si="52">E9/100</f>
        <v>-5.6999999999999993E-3</v>
      </c>
      <c r="M9" s="2028">
        <f t="shared" ref="M9" si="53">F9/100</f>
        <v>-9.0000000000000011E-3</v>
      </c>
      <c r="N9" s="2028">
        <f t="shared" ref="N9" si="54">G9/100</f>
        <v>1.1200000000000002E-2</v>
      </c>
      <c r="O9" s="2028">
        <f t="shared" ref="O9" si="55">H9/100</f>
        <v>4.1999999999999997E-3</v>
      </c>
      <c r="P9" s="2028">
        <f t="shared" si="9"/>
        <v>-9.0000000000000011E-3</v>
      </c>
      <c r="Q9" s="2906"/>
      <c r="R9" s="2027">
        <f>ROUND(IF(项目基本情况!$B$8="出让",SUMPRODUCT(PRODUCT(1+K9:$K$25)),SUMPRODUCT(PRODUCT(1+K9:$K$24))),4)</f>
        <v>1.0571999999999999</v>
      </c>
      <c r="S9" s="2027">
        <f>ROUND(IF(项目基本情况!$B$8="出让",SUMPRODUCT(PRODUCT(1+L9:$L$25)),SUMPRODUCT(PRODUCT(1+L9:$L$24))),4)</f>
        <v>1.0339</v>
      </c>
      <c r="T9" s="2027">
        <f>ROUND(IF(项目基本情况!$B$8="出让",SUMPRODUCT(PRODUCT(1+M9:$M$25)),SUMPRODUCT(PRODUCT(1+M9:$M$24))),4)</f>
        <v>0.99129999999999996</v>
      </c>
      <c r="U9" s="2027">
        <f>ROUND(IF(项目基本情况!$B$8="出让",SUMPRODUCT(PRODUCT(1+N9:$N$25)),SUMPRODUCT(PRODUCT(1+N9:$N$24))),4)</f>
        <v>1.0679000000000001</v>
      </c>
      <c r="V9" s="2119">
        <f>ROUND(IF(项目基本情况!$B$8="出让",SUMPRODUCT(PRODUCT(1+O9:$O$25)),SUMPRODUCT(PRODUCT(1+O9:$O$24))),4)</f>
        <v>1.0871999999999999</v>
      </c>
      <c r="W9" s="2027">
        <f t="shared" si="10"/>
        <v>0.99129999999999996</v>
      </c>
      <c r="X9" s="2906"/>
      <c r="Y9" s="2028">
        <f t="shared" si="11"/>
        <v>3.0000000000000001E-3</v>
      </c>
      <c r="Z9" s="2028">
        <f t="shared" ref="Z9" si="56">IF(E9=0,0,ROUND(AVERAGE(E9:E22)/100,4))</f>
        <v>1.6000000000000001E-3</v>
      </c>
      <c r="AA9" s="2028">
        <f t="shared" ref="AA9" si="57">IF(F9=0,0,ROUND(AVERAGE(F9:F22)/100,4))</f>
        <v>-1.1000000000000001E-3</v>
      </c>
      <c r="AB9" s="2028">
        <f t="shared" ref="AB9" si="58">IF(G9=0,0,ROUND(AVERAGE(G9:G22)/100,4))</f>
        <v>3.7000000000000002E-3</v>
      </c>
      <c r="AC9" s="2028">
        <f t="shared" ref="AC9" si="59">IF(H9=0,0,ROUND(AVERAGE(H9:H22)/100,4))</f>
        <v>4.8999999999999998E-3</v>
      </c>
      <c r="AD9" s="2028">
        <f t="shared" ref="AD9" si="60">AA9</f>
        <v>-1.1000000000000001E-3</v>
      </c>
      <c r="AF9" s="3153">
        <f t="shared" si="28"/>
        <v>105.72</v>
      </c>
      <c r="AG9" s="3153">
        <f t="shared" si="29"/>
        <v>103.39</v>
      </c>
      <c r="AH9" s="3153">
        <f t="shared" si="30"/>
        <v>99.13</v>
      </c>
      <c r="AI9" s="3153">
        <f t="shared" si="31"/>
        <v>106.79</v>
      </c>
      <c r="AJ9" s="3153">
        <f t="shared" si="32"/>
        <v>108.72</v>
      </c>
      <c r="AK9" s="3153">
        <f t="shared" si="33"/>
        <v>99.13</v>
      </c>
      <c r="AM9" s="3153">
        <f t="shared" si="46"/>
        <v>100.40183323707308</v>
      </c>
      <c r="AN9" s="3153">
        <f t="shared" si="47"/>
        <v>100.84572858437082</v>
      </c>
      <c r="AO9" s="3153">
        <f t="shared" ref="AO9:AO25" si="61">AO8/(1+F8/100)</f>
        <v>101.89669488899423</v>
      </c>
      <c r="AP9" s="3153">
        <f t="shared" ref="AP9:AP25" si="62">AP8/(1+G8/100)</f>
        <v>100.3012558248826</v>
      </c>
      <c r="AQ9" s="3153">
        <f t="shared" si="48"/>
        <v>99.990353066723017</v>
      </c>
      <c r="AR9" s="3153">
        <f t="shared" si="49"/>
        <v>101.89669488899423</v>
      </c>
    </row>
    <row r="10" spans="1:44" s="2045" customFormat="1" ht="12.75">
      <c r="A10" s="2040" t="s">
        <v>3405</v>
      </c>
      <c r="B10" s="2031">
        <v>2024</v>
      </c>
      <c r="C10" s="2042">
        <v>4</v>
      </c>
      <c r="D10" s="2007">
        <v>-1.02</v>
      </c>
      <c r="E10" s="2007">
        <v>-0.48</v>
      </c>
      <c r="F10" s="2007">
        <v>-0.75</v>
      </c>
      <c r="G10" s="2007">
        <v>-1.05</v>
      </c>
      <c r="H10" s="2007">
        <v>0.08</v>
      </c>
      <c r="I10" s="2008">
        <f t="shared" ref="I10" si="63">F10</f>
        <v>-0.75</v>
      </c>
      <c r="J10" s="2906"/>
      <c r="K10" s="2043">
        <f t="shared" ref="K10" si="64">D10/100</f>
        <v>-1.0200000000000001E-2</v>
      </c>
      <c r="L10" s="2028">
        <f t="shared" ref="L10" si="65">E10/100</f>
        <v>-4.7999999999999996E-3</v>
      </c>
      <c r="M10" s="2028">
        <f t="shared" ref="M10" si="66">F10/100</f>
        <v>-7.4999999999999997E-3</v>
      </c>
      <c r="N10" s="2028">
        <f t="shared" ref="N10" si="67">G10/100</f>
        <v>-1.0500000000000001E-2</v>
      </c>
      <c r="O10" s="2028">
        <f t="shared" ref="O10" si="68">H10/100</f>
        <v>8.0000000000000004E-4</v>
      </c>
      <c r="P10" s="2028">
        <f t="shared" si="9"/>
        <v>-7.4999999999999997E-3</v>
      </c>
      <c r="Q10" s="2906"/>
      <c r="R10" s="2027">
        <f>ROUND(IF(项目基本情况!$B$8="出让",SUMPRODUCT(PRODUCT(1+K10:$K$25)),SUMPRODUCT(PRODUCT(1+K10:$K$24))),4)</f>
        <v>1.0511999999999999</v>
      </c>
      <c r="S10" s="2027">
        <f>ROUND(IF(项目基本情况!$B$8="出让",SUMPRODUCT(PRODUCT(1+L10:$L$25)),SUMPRODUCT(PRODUCT(1+L10:$L$24))),4)</f>
        <v>1.0398000000000001</v>
      </c>
      <c r="T10" s="2027">
        <f>ROUND(IF(项目基本情况!$B$8="出让",SUMPRODUCT(PRODUCT(1+M10:$M$25)),SUMPRODUCT(PRODUCT(1+M10:$M$24))),4)</f>
        <v>1.0003</v>
      </c>
      <c r="U10" s="2027">
        <f>ROUND(IF(项目基本情况!$B$8="出让",SUMPRODUCT(PRODUCT(1+N10:$N$25)),SUMPRODUCT(PRODUCT(1+N10:$N$24))),4)</f>
        <v>1.0561</v>
      </c>
      <c r="V10" s="2119">
        <f>ROUND(IF(项目基本情况!$B$8="出让",SUMPRODUCT(PRODUCT(1+O10:$O$25)),SUMPRODUCT(PRODUCT(1+O10:$O$24))),4)</f>
        <v>1.0827</v>
      </c>
      <c r="W10" s="2027">
        <f t="shared" si="10"/>
        <v>1.0003</v>
      </c>
      <c r="X10" s="2906"/>
      <c r="Y10" s="2028">
        <f t="shared" si="11"/>
        <v>2.8999999999999998E-3</v>
      </c>
      <c r="Z10" s="2028">
        <f t="shared" ref="Z10" si="69">IF(E10=0,0,ROUND(AVERAGE(E10:E23)/100,4))</f>
        <v>2.3E-3</v>
      </c>
      <c r="AA10" s="2028">
        <f t="shared" ref="AA10" si="70">IF(F10=0,0,ROUND(AVERAGE(F10:F23)/100,4))</f>
        <v>-2.9999999999999997E-4</v>
      </c>
      <c r="AB10" s="2028">
        <f t="shared" ref="AB10" si="71">IF(G10=0,0,ROUND(AVERAGE(G10:G23)/100,4))</f>
        <v>3.3E-3</v>
      </c>
      <c r="AC10" s="2028">
        <f t="shared" ref="AC10" si="72">IF(H10=0,0,ROUND(AVERAGE(H10:H23)/100,4))</f>
        <v>5.0000000000000001E-3</v>
      </c>
      <c r="AD10" s="2028">
        <f t="shared" ref="AD10" si="73">AA10</f>
        <v>-2.9999999999999997E-4</v>
      </c>
      <c r="AF10" s="3153">
        <f t="shared" si="28"/>
        <v>105.11999999999999</v>
      </c>
      <c r="AG10" s="3153">
        <f t="shared" si="29"/>
        <v>103.98</v>
      </c>
      <c r="AH10" s="3153">
        <f t="shared" si="30"/>
        <v>100.03</v>
      </c>
      <c r="AI10" s="3153">
        <f t="shared" si="31"/>
        <v>105.61</v>
      </c>
      <c r="AJ10" s="3153">
        <f t="shared" si="32"/>
        <v>108.27</v>
      </c>
      <c r="AK10" s="3153">
        <f t="shared" si="33"/>
        <v>100.03</v>
      </c>
      <c r="AM10" s="3153">
        <f t="shared" si="46"/>
        <v>99.832786354850427</v>
      </c>
      <c r="AN10" s="3153">
        <f t="shared" si="47"/>
        <v>101.42384449800947</v>
      </c>
      <c r="AO10" s="3153">
        <f t="shared" si="61"/>
        <v>102.82209373258752</v>
      </c>
      <c r="AP10" s="3153">
        <f t="shared" si="62"/>
        <v>99.190324193910797</v>
      </c>
      <c r="AQ10" s="3153">
        <f t="shared" si="48"/>
        <v>99.572150036569425</v>
      </c>
      <c r="AR10" s="3153">
        <f t="shared" si="49"/>
        <v>102.82209373258752</v>
      </c>
    </row>
    <row r="11" spans="1:44" s="2045" customFormat="1" ht="12.75">
      <c r="A11" s="2040" t="s">
        <v>3380</v>
      </c>
      <c r="B11" s="2031">
        <v>2024</v>
      </c>
      <c r="C11" s="2042">
        <v>3</v>
      </c>
      <c r="D11" s="2007">
        <v>-1.19</v>
      </c>
      <c r="E11" s="2007">
        <v>-0.47</v>
      </c>
      <c r="F11" s="2007">
        <v>-0.28999999999999998</v>
      </c>
      <c r="G11" s="2007">
        <v>-0.74</v>
      </c>
      <c r="H11" s="2007">
        <v>-0.21</v>
      </c>
      <c r="I11" s="2008">
        <f t="shared" ref="I11" si="74">F11</f>
        <v>-0.28999999999999998</v>
      </c>
      <c r="J11" s="2906"/>
      <c r="K11" s="2043">
        <f t="shared" ref="K11" si="75">D11/100</f>
        <v>-1.1899999999999999E-2</v>
      </c>
      <c r="L11" s="2028">
        <f t="shared" ref="L11" si="76">E11/100</f>
        <v>-4.6999999999999993E-3</v>
      </c>
      <c r="M11" s="2028">
        <f t="shared" ref="M11" si="77">F11/100</f>
        <v>-2.8999999999999998E-3</v>
      </c>
      <c r="N11" s="2028">
        <f t="shared" ref="N11" si="78">G11/100</f>
        <v>-7.4000000000000003E-3</v>
      </c>
      <c r="O11" s="2028">
        <f t="shared" ref="O11" si="79">H11/100</f>
        <v>-2.0999999999999999E-3</v>
      </c>
      <c r="P11" s="2028">
        <f t="shared" si="9"/>
        <v>-2.8999999999999998E-3</v>
      </c>
      <c r="Q11" s="2906"/>
      <c r="R11" s="2027">
        <f>ROUND(IF(项目基本情况!$B$8="出让",SUMPRODUCT(PRODUCT(1+K11:$K$25)),SUMPRODUCT(PRODUCT(1+K11:$K$24))),4)</f>
        <v>1.0620000000000001</v>
      </c>
      <c r="S11" s="2027">
        <f>ROUND(IF(项目基本情况!$B$8="出让",SUMPRODUCT(PRODUCT(1+L11:$L$25)),SUMPRODUCT(PRODUCT(1+L11:$L$24))),4)</f>
        <v>1.0448</v>
      </c>
      <c r="T11" s="2027">
        <f>ROUND(IF(项目基本情况!$B$8="出让",SUMPRODUCT(PRODUCT(1+M11:$M$25)),SUMPRODUCT(PRODUCT(1+M11:$M$24))),4)</f>
        <v>1.0079</v>
      </c>
      <c r="U11" s="2027">
        <f>ROUND(IF(项目基本情况!$B$8="出让",SUMPRODUCT(PRODUCT(1+N11:$N$25)),SUMPRODUCT(PRODUCT(1+N11:$N$24))),4)</f>
        <v>1.0672999999999999</v>
      </c>
      <c r="V11" s="2119">
        <f>ROUND(IF(项目基本情况!$B$8="出让",SUMPRODUCT(PRODUCT(1+O11:$O$25)),SUMPRODUCT(PRODUCT(1+O11:$O$24))),4)</f>
        <v>1.0818000000000001</v>
      </c>
      <c r="W11" s="2027">
        <f t="shared" si="10"/>
        <v>1.0079</v>
      </c>
      <c r="X11" s="2906"/>
      <c r="Y11" s="2028">
        <f t="shared" si="11"/>
        <v>4.3E-3</v>
      </c>
      <c r="Z11" s="2028">
        <f t="shared" ref="Z11" si="80">IF(E11=0,0,ROUND(AVERAGE(E11:E24)/100,4))</f>
        <v>3.0999999999999999E-3</v>
      </c>
      <c r="AA11" s="2028">
        <f t="shared" ref="AA11" si="81">IF(F11=0,0,ROUND(AVERAGE(F11:F24)/100,4))</f>
        <v>5.9999999999999995E-4</v>
      </c>
      <c r="AB11" s="2028">
        <f t="shared" ref="AB11" si="82">IF(G11=0,0,ROUND(AVERAGE(G11:G24)/100,4))</f>
        <v>4.7000000000000002E-3</v>
      </c>
      <c r="AC11" s="2028">
        <f t="shared" ref="AC11" si="83">IF(H11=0,0,ROUND(AVERAGE(H11:H24)/100,4))</f>
        <v>5.5999999999999999E-3</v>
      </c>
      <c r="AD11" s="2028">
        <f t="shared" ref="AD11" si="84">AA11</f>
        <v>5.9999999999999995E-4</v>
      </c>
      <c r="AF11" s="3153">
        <f t="shared" si="28"/>
        <v>106.2</v>
      </c>
      <c r="AG11" s="3153">
        <f t="shared" si="29"/>
        <v>104.47999999999999</v>
      </c>
      <c r="AH11" s="3153">
        <f t="shared" si="30"/>
        <v>100.79</v>
      </c>
      <c r="AI11" s="3153">
        <f t="shared" si="31"/>
        <v>106.72999999999999</v>
      </c>
      <c r="AJ11" s="3153">
        <f t="shared" si="32"/>
        <v>108.18</v>
      </c>
      <c r="AK11" s="3153">
        <f t="shared" si="33"/>
        <v>100.79</v>
      </c>
      <c r="AM11" s="3153">
        <f t="shared" si="46"/>
        <v>100.86157441387192</v>
      </c>
      <c r="AN11" s="3153">
        <f t="shared" si="47"/>
        <v>101.91302702774264</v>
      </c>
      <c r="AO11" s="3153">
        <f t="shared" si="61"/>
        <v>103.59908688421916</v>
      </c>
      <c r="AP11" s="3153">
        <f t="shared" si="62"/>
        <v>100.24287437484668</v>
      </c>
      <c r="AQ11" s="3153">
        <f t="shared" si="48"/>
        <v>99.492555991776015</v>
      </c>
      <c r="AR11" s="3153">
        <f t="shared" si="49"/>
        <v>103.59908688421916</v>
      </c>
    </row>
    <row r="12" spans="1:44" s="2045" customFormat="1" ht="12.75">
      <c r="A12" s="2905" t="s">
        <v>3374</v>
      </c>
      <c r="B12" s="2031">
        <v>2024</v>
      </c>
      <c r="C12" s="2042">
        <v>2</v>
      </c>
      <c r="D12" s="2007">
        <v>-0.59</v>
      </c>
      <c r="E12" s="2007">
        <v>-0.21</v>
      </c>
      <c r="F12" s="2007">
        <v>-1.38</v>
      </c>
      <c r="G12" s="2007">
        <v>-1.24</v>
      </c>
      <c r="H12" s="2917">
        <v>0.34</v>
      </c>
      <c r="I12" s="2008">
        <f t="shared" ref="I12:I25" si="85">F12</f>
        <v>-1.38</v>
      </c>
      <c r="J12" s="2906"/>
      <c r="K12" s="2043">
        <f t="shared" ref="K12:O25" si="86">D12/100</f>
        <v>-5.8999999999999999E-3</v>
      </c>
      <c r="L12" s="2028">
        <f t="shared" si="86"/>
        <v>-2.0999999999999999E-3</v>
      </c>
      <c r="M12" s="2028">
        <f t="shared" si="86"/>
        <v>-1.38E-2</v>
      </c>
      <c r="N12" s="2028">
        <f t="shared" si="86"/>
        <v>-1.24E-2</v>
      </c>
      <c r="O12" s="2028">
        <f t="shared" si="86"/>
        <v>3.4000000000000002E-3</v>
      </c>
      <c r="P12" s="2028">
        <f t="shared" si="9"/>
        <v>-1.38E-2</v>
      </c>
      <c r="Q12" s="2906"/>
      <c r="R12" s="2027">
        <f>ROUND(IF(项目基本情况!$B$8="出让",SUMPRODUCT(PRODUCT(1+K12:$K$25)),SUMPRODUCT(PRODUCT(1+K12:$K$24))),4)</f>
        <v>1.0748</v>
      </c>
      <c r="S12" s="2027">
        <f>ROUND(IF(项目基本情况!$B$8="出让",SUMPRODUCT(PRODUCT(1+L12:$L$25)),SUMPRODUCT(PRODUCT(1+L12:$L$24))),4)</f>
        <v>1.0498000000000001</v>
      </c>
      <c r="T12" s="2027">
        <f>ROUND(IF(项目基本情况!$B$8="出让",SUMPRODUCT(PRODUCT(1+M12:$M$25)),SUMPRODUCT(PRODUCT(1+M12:$M$24))),4)</f>
        <v>1.0107999999999999</v>
      </c>
      <c r="U12" s="2027">
        <f>ROUND(IF(项目基本情况!$B$8="出让",SUMPRODUCT(PRODUCT(1+N12:$N$25)),SUMPRODUCT(PRODUCT(1+N12:$N$24))),4)</f>
        <v>1.0752999999999999</v>
      </c>
      <c r="V12" s="2119">
        <f>ROUND(IF(项目基本情况!$B$8="出让",SUMPRODUCT(PRODUCT(1+O12:$O$25)),SUMPRODUCT(PRODUCT(1+O12:$O$24))),4)</f>
        <v>1.0841000000000001</v>
      </c>
      <c r="W12" s="2027">
        <f t="shared" si="10"/>
        <v>1.0107999999999999</v>
      </c>
      <c r="X12" s="2906"/>
      <c r="Y12" s="2028">
        <f t="shared" si="11"/>
        <v>5.8999999999999999E-3</v>
      </c>
      <c r="Z12" s="2028">
        <f t="shared" ref="Z12:AC12" si="87">IF(E12=0,0,ROUND(AVERAGE(E12:E25)/100,4))</f>
        <v>3.5999999999999999E-3</v>
      </c>
      <c r="AA12" s="2028">
        <f t="shared" si="87"/>
        <v>5.9999999999999995E-4</v>
      </c>
      <c r="AB12" s="2028">
        <f t="shared" si="87"/>
        <v>6.0000000000000001E-3</v>
      </c>
      <c r="AC12" s="2028">
        <f t="shared" si="87"/>
        <v>6.0000000000000001E-3</v>
      </c>
      <c r="AD12" s="2028">
        <f t="shared" ref="AD12:AD24" si="88">AA12</f>
        <v>5.9999999999999995E-4</v>
      </c>
      <c r="AF12" s="3153">
        <f t="shared" si="28"/>
        <v>107.48</v>
      </c>
      <c r="AG12" s="3153">
        <f t="shared" si="29"/>
        <v>104.98</v>
      </c>
      <c r="AH12" s="3153">
        <f t="shared" si="30"/>
        <v>101.08</v>
      </c>
      <c r="AI12" s="3153">
        <f t="shared" si="31"/>
        <v>107.52999999999999</v>
      </c>
      <c r="AJ12" s="3153">
        <f t="shared" si="32"/>
        <v>108.41000000000001</v>
      </c>
      <c r="AK12" s="3153">
        <f t="shared" si="33"/>
        <v>101.08</v>
      </c>
      <c r="AM12" s="3153">
        <f t="shared" si="46"/>
        <v>102.07628217171533</v>
      </c>
      <c r="AN12" s="3153">
        <f t="shared" si="47"/>
        <v>102.39428014442143</v>
      </c>
      <c r="AO12" s="3153">
        <f t="shared" si="61"/>
        <v>103.90039803853091</v>
      </c>
      <c r="AP12" s="3153">
        <f t="shared" si="62"/>
        <v>100.99020186867487</v>
      </c>
      <c r="AQ12" s="3153">
        <f t="shared" si="48"/>
        <v>99.701930044870238</v>
      </c>
      <c r="AR12" s="3153">
        <f t="shared" si="49"/>
        <v>103.90039803853091</v>
      </c>
    </row>
    <row r="13" spans="1:44" s="2045" customFormat="1" ht="12.75">
      <c r="A13" s="2905" t="s">
        <v>3373</v>
      </c>
      <c r="B13" s="2031">
        <v>2024</v>
      </c>
      <c r="C13" s="2042">
        <v>1</v>
      </c>
      <c r="D13" s="2007">
        <v>0.08</v>
      </c>
      <c r="E13" s="2007">
        <v>0.46</v>
      </c>
      <c r="F13" s="2007">
        <v>-0.16</v>
      </c>
      <c r="G13" s="2007">
        <v>0.26</v>
      </c>
      <c r="H13" s="2917">
        <v>0.59</v>
      </c>
      <c r="I13" s="2008">
        <f t="shared" si="85"/>
        <v>-0.16</v>
      </c>
      <c r="J13" s="2906"/>
      <c r="K13" s="2043">
        <f t="shared" ref="K13" si="89">D13/100</f>
        <v>8.0000000000000004E-4</v>
      </c>
      <c r="L13" s="2028">
        <f t="shared" ref="L13" si="90">E13/100</f>
        <v>4.5999999999999999E-3</v>
      </c>
      <c r="M13" s="2028">
        <f t="shared" ref="M13" si="91">F13/100</f>
        <v>-1.6000000000000001E-3</v>
      </c>
      <c r="N13" s="2028">
        <f t="shared" ref="N13" si="92">G13/100</f>
        <v>2.5999999999999999E-3</v>
      </c>
      <c r="O13" s="2028">
        <f t="shared" ref="O13" si="93">H13/100</f>
        <v>5.8999999999999999E-3</v>
      </c>
      <c r="P13" s="2028">
        <f t="shared" ref="P13" si="94">M13</f>
        <v>-1.6000000000000001E-3</v>
      </c>
      <c r="Q13" s="2906"/>
      <c r="R13" s="2027">
        <f>ROUND(IF(项目基本情况!$B$8="出让",SUMPRODUCT(PRODUCT(1+K13:$K$25)),SUMPRODUCT(PRODUCT(1+K13:$K$24))),4)</f>
        <v>1.0811999999999999</v>
      </c>
      <c r="S13" s="2027">
        <f>ROUND(IF(项目基本情况!$B$8="出让",SUMPRODUCT(PRODUCT(1+L13:$L$25)),SUMPRODUCT(PRODUCT(1+L13:$L$24))),4)</f>
        <v>1.052</v>
      </c>
      <c r="T13" s="2027">
        <f>ROUND(IF(项目基本情况!$B$8="出让",SUMPRODUCT(PRODUCT(1+M13:$M$25)),SUMPRODUCT(PRODUCT(1+M13:$M$24))),4)</f>
        <v>1.0249999999999999</v>
      </c>
      <c r="U13" s="2027">
        <f>ROUND(IF(项目基本情况!$B$8="出让",SUMPRODUCT(PRODUCT(1+N13:$N$25)),SUMPRODUCT(PRODUCT(1+N13:$N$24))),4)</f>
        <v>1.0888</v>
      </c>
      <c r="V13" s="2119">
        <f>ROUND(IF(项目基本情况!$B$8="出让",SUMPRODUCT(PRODUCT(1+O13:$O$25)),SUMPRODUCT(PRODUCT(1+O13:$O$24))),4)</f>
        <v>1.0804</v>
      </c>
      <c r="W13" s="2027">
        <f t="shared" ref="W13" si="95">T13</f>
        <v>1.0249999999999999</v>
      </c>
      <c r="X13" s="2906"/>
      <c r="Y13" s="2028"/>
      <c r="Z13" s="2028"/>
      <c r="AA13" s="2028"/>
      <c r="AB13" s="2028"/>
      <c r="AC13" s="2028"/>
      <c r="AD13" s="2028"/>
      <c r="AF13" s="3153">
        <f t="shared" si="28"/>
        <v>108.11999999999999</v>
      </c>
      <c r="AG13" s="3153">
        <f t="shared" si="29"/>
        <v>105.2</v>
      </c>
      <c r="AH13" s="3153">
        <f t="shared" si="30"/>
        <v>102.49999999999999</v>
      </c>
      <c r="AI13" s="3153">
        <f t="shared" si="31"/>
        <v>108.88</v>
      </c>
      <c r="AJ13" s="3153">
        <f t="shared" si="32"/>
        <v>108.04</v>
      </c>
      <c r="AK13" s="3153">
        <f t="shared" si="33"/>
        <v>102.49999999999999</v>
      </c>
      <c r="AM13" s="3153">
        <f t="shared" si="46"/>
        <v>102.68210660065922</v>
      </c>
      <c r="AN13" s="3153">
        <f t="shared" si="47"/>
        <v>102.60976064176914</v>
      </c>
      <c r="AO13" s="3153">
        <f t="shared" si="61"/>
        <v>105.35428720191737</v>
      </c>
      <c r="AP13" s="3153">
        <f t="shared" si="62"/>
        <v>102.25820359323093</v>
      </c>
      <c r="AQ13" s="3153">
        <f t="shared" si="48"/>
        <v>99.364092131622712</v>
      </c>
      <c r="AR13" s="3153">
        <f t="shared" si="49"/>
        <v>105.35428720191737</v>
      </c>
    </row>
    <row r="14" spans="1:44" s="2045" customFormat="1" ht="12.75">
      <c r="A14" s="2905" t="s">
        <v>3369</v>
      </c>
      <c r="B14" s="2031">
        <v>2023</v>
      </c>
      <c r="C14" s="2042">
        <v>4</v>
      </c>
      <c r="D14" s="2007">
        <v>0.19</v>
      </c>
      <c r="E14" s="2007">
        <v>0.24</v>
      </c>
      <c r="F14" s="2007">
        <v>-0.16</v>
      </c>
      <c r="G14" s="2007">
        <v>0.17</v>
      </c>
      <c r="H14" s="2917">
        <v>0.61</v>
      </c>
      <c r="I14" s="2008">
        <f>F14</f>
        <v>-0.16</v>
      </c>
      <c r="J14" s="2906"/>
      <c r="K14" s="2043">
        <f t="shared" si="86"/>
        <v>1.9E-3</v>
      </c>
      <c r="L14" s="2028">
        <f t="shared" si="86"/>
        <v>2.3999999999999998E-3</v>
      </c>
      <c r="M14" s="2028">
        <f t="shared" si="86"/>
        <v>-1.6000000000000001E-3</v>
      </c>
      <c r="N14" s="2028">
        <f t="shared" si="86"/>
        <v>1.7000000000000001E-3</v>
      </c>
      <c r="O14" s="2028">
        <f t="shared" si="86"/>
        <v>6.0999999999999995E-3</v>
      </c>
      <c r="P14" s="2028">
        <f t="shared" ref="P14" si="96">M14</f>
        <v>-1.6000000000000001E-3</v>
      </c>
      <c r="Q14" s="2906"/>
      <c r="R14" s="2027">
        <f>ROUND(IF(项目基本情况!$B$8="出让",SUMPRODUCT(PRODUCT(1+K14:$K$25)),SUMPRODUCT(PRODUCT(1+K14:$K$24))),4)</f>
        <v>1.0804</v>
      </c>
      <c r="S14" s="2027">
        <f>ROUND(IF(项目基本情况!$B$8="出让",SUMPRODUCT(PRODUCT(1+L14:$L$25)),SUMPRODUCT(PRODUCT(1+L14:$L$24))),4)</f>
        <v>1.0471999999999999</v>
      </c>
      <c r="T14" s="2027">
        <f>ROUND(IF(项目基本情况!$B$8="出让",SUMPRODUCT(PRODUCT(1+M14:$M$25)),SUMPRODUCT(PRODUCT(1+M14:$M$24))),4)</f>
        <v>1.0266</v>
      </c>
      <c r="U14" s="2027">
        <f>ROUND(IF(项目基本情况!$B$8="出让",SUMPRODUCT(PRODUCT(1+N14:$N$25)),SUMPRODUCT(PRODUCT(1+N14:$N$24))),4)</f>
        <v>1.0859000000000001</v>
      </c>
      <c r="V14" s="2119">
        <f>ROUND(IF(项目基本情况!$B$8="出让",SUMPRODUCT(PRODUCT(1+O14:$O$25)),SUMPRODUCT(PRODUCT(1+O14:$O$24))),4)</f>
        <v>1.0741000000000001</v>
      </c>
      <c r="W14" s="2027">
        <f t="shared" ref="W14" si="97">T14</f>
        <v>1.0266</v>
      </c>
      <c r="X14" s="2906"/>
      <c r="Y14" s="2028"/>
      <c r="Z14" s="2028"/>
      <c r="AA14" s="2028"/>
      <c r="AB14" s="2028"/>
      <c r="AC14" s="2028"/>
      <c r="AD14" s="2028"/>
      <c r="AF14" s="3153">
        <f t="shared" si="28"/>
        <v>108.04</v>
      </c>
      <c r="AG14" s="3153">
        <f t="shared" si="29"/>
        <v>104.71999999999998</v>
      </c>
      <c r="AH14" s="3153">
        <f t="shared" si="30"/>
        <v>102.66</v>
      </c>
      <c r="AI14" s="3153">
        <f t="shared" si="31"/>
        <v>108.59</v>
      </c>
      <c r="AJ14" s="3153">
        <f t="shared" si="32"/>
        <v>107.41000000000001</v>
      </c>
      <c r="AK14" s="3153">
        <f t="shared" si="33"/>
        <v>102.66</v>
      </c>
      <c r="AM14" s="3153">
        <f t="shared" si="46"/>
        <v>102.60002657939572</v>
      </c>
      <c r="AN14" s="3153">
        <f t="shared" si="47"/>
        <v>102.13991702346122</v>
      </c>
      <c r="AO14" s="3153">
        <f t="shared" si="61"/>
        <v>105.52312420063839</v>
      </c>
      <c r="AP14" s="3153">
        <f t="shared" si="62"/>
        <v>101.99302173671548</v>
      </c>
      <c r="AQ14" s="3153">
        <f t="shared" si="48"/>
        <v>98.781282564492201</v>
      </c>
      <c r="AR14" s="3153">
        <f t="shared" si="49"/>
        <v>105.52312420063839</v>
      </c>
    </row>
    <row r="15" spans="1:44" s="2045" customFormat="1" ht="12.75">
      <c r="A15" s="2905" t="s">
        <v>3368</v>
      </c>
      <c r="B15" s="2031">
        <v>2023</v>
      </c>
      <c r="C15" s="2042">
        <v>3</v>
      </c>
      <c r="D15" s="2007">
        <v>0.25</v>
      </c>
      <c r="E15" s="2007">
        <v>0.5</v>
      </c>
      <c r="F15" s="2007">
        <v>0.31</v>
      </c>
      <c r="G15" s="2007">
        <v>0.21</v>
      </c>
      <c r="H15" s="2917">
        <v>0.43</v>
      </c>
      <c r="I15" s="2008">
        <f t="shared" si="85"/>
        <v>0.31</v>
      </c>
      <c r="J15" s="2906"/>
      <c r="K15" s="2043">
        <f t="shared" ref="K15:K17" si="98">D15/100</f>
        <v>2.5000000000000001E-3</v>
      </c>
      <c r="L15" s="2028">
        <f t="shared" ref="L15:L17" si="99">E15/100</f>
        <v>5.0000000000000001E-3</v>
      </c>
      <c r="M15" s="2028">
        <f t="shared" ref="M15:M17" si="100">F15/100</f>
        <v>3.0999999999999999E-3</v>
      </c>
      <c r="N15" s="2028">
        <f t="shared" ref="N15:N17" si="101">G15/100</f>
        <v>2.0999999999999999E-3</v>
      </c>
      <c r="O15" s="2028">
        <f t="shared" ref="O15:O17" si="102">H15/100</f>
        <v>4.3E-3</v>
      </c>
      <c r="P15" s="2028">
        <f t="shared" ref="P15:P17" si="103">M15</f>
        <v>3.0999999999999999E-3</v>
      </c>
      <c r="Q15" s="2906"/>
      <c r="R15" s="2027">
        <f>ROUND(IF(项目基本情况!$B$8="出让",SUMPRODUCT(PRODUCT(1+K15:$K$25)),SUMPRODUCT(PRODUCT(1+K15:$K$24))),4)</f>
        <v>1.0783</v>
      </c>
      <c r="S15" s="2027">
        <f>ROUND(IF(项目基本情况!$B$8="出让",SUMPRODUCT(PRODUCT(1+L15:$L$25)),SUMPRODUCT(PRODUCT(1+L15:$L$24))),4)</f>
        <v>1.0447</v>
      </c>
      <c r="T15" s="2027">
        <f>ROUND(IF(项目基本情况!$B$8="出让",SUMPRODUCT(PRODUCT(1+M15:$M$25)),SUMPRODUCT(PRODUCT(1+M15:$M$24))),4)</f>
        <v>1.0282</v>
      </c>
      <c r="U15" s="2027">
        <f>ROUND(IF(项目基本情况!$B$8="出让",SUMPRODUCT(PRODUCT(1+N15:$N$25)),SUMPRODUCT(PRODUCT(1+N15:$N$24))),4)</f>
        <v>1.0841000000000001</v>
      </c>
      <c r="V15" s="2119">
        <f>ROUND(IF(项目基本情况!$B$8="出让",SUMPRODUCT(PRODUCT(1+O15:$O$25)),SUMPRODUCT(PRODUCT(1+O15:$O$24))),4)</f>
        <v>1.0674999999999999</v>
      </c>
      <c r="W15" s="2027">
        <f t="shared" ref="W15:W16" si="104">T15</f>
        <v>1.0282</v>
      </c>
      <c r="X15" s="2906"/>
      <c r="Y15" s="2028"/>
      <c r="Z15" s="2028"/>
      <c r="AA15" s="2028"/>
      <c r="AB15" s="2028"/>
      <c r="AC15" s="2028"/>
      <c r="AD15" s="2028"/>
      <c r="AF15" s="3153">
        <f t="shared" si="28"/>
        <v>107.83</v>
      </c>
      <c r="AG15" s="3153">
        <f t="shared" si="29"/>
        <v>104.47</v>
      </c>
      <c r="AH15" s="3153">
        <f t="shared" si="30"/>
        <v>102.82</v>
      </c>
      <c r="AI15" s="3153">
        <f t="shared" si="31"/>
        <v>108.41000000000001</v>
      </c>
      <c r="AJ15" s="3153">
        <f t="shared" si="32"/>
        <v>106.74999999999999</v>
      </c>
      <c r="AK15" s="3153">
        <f t="shared" si="33"/>
        <v>102.82</v>
      </c>
      <c r="AM15" s="3153">
        <f t="shared" si="46"/>
        <v>102.40545621259179</v>
      </c>
      <c r="AN15" s="3153">
        <f t="shared" si="47"/>
        <v>101.89536813992541</v>
      </c>
      <c r="AO15" s="3153">
        <f t="shared" si="61"/>
        <v>105.69223177147275</v>
      </c>
      <c r="AP15" s="3153">
        <f t="shared" si="62"/>
        <v>101.81992785935456</v>
      </c>
      <c r="AQ15" s="3153">
        <f t="shared" si="48"/>
        <v>98.18237010684048</v>
      </c>
      <c r="AR15" s="3153">
        <f t="shared" si="49"/>
        <v>105.69223177147275</v>
      </c>
    </row>
    <row r="16" spans="1:44" s="2045" customFormat="1" ht="12.75">
      <c r="A16" s="2905" t="s">
        <v>3366</v>
      </c>
      <c r="B16" s="2031">
        <v>2023</v>
      </c>
      <c r="C16" s="2042">
        <v>2</v>
      </c>
      <c r="D16" s="2007">
        <v>0.91</v>
      </c>
      <c r="E16" s="2007">
        <v>0.66</v>
      </c>
      <c r="F16" s="2007">
        <v>0.47</v>
      </c>
      <c r="G16" s="2007">
        <v>0.96</v>
      </c>
      <c r="H16" s="2917">
        <v>0.71</v>
      </c>
      <c r="I16" s="2008">
        <f t="shared" si="85"/>
        <v>0.47</v>
      </c>
      <c r="J16" s="2906"/>
      <c r="K16" s="2043">
        <f t="shared" si="98"/>
        <v>9.1000000000000004E-3</v>
      </c>
      <c r="L16" s="2028">
        <f t="shared" si="99"/>
        <v>6.6E-3</v>
      </c>
      <c r="M16" s="2028">
        <f t="shared" si="100"/>
        <v>4.6999999999999993E-3</v>
      </c>
      <c r="N16" s="2028">
        <f t="shared" si="101"/>
        <v>9.5999999999999992E-3</v>
      </c>
      <c r="O16" s="2028">
        <f t="shared" si="102"/>
        <v>7.0999999999999995E-3</v>
      </c>
      <c r="P16" s="2028">
        <f t="shared" si="103"/>
        <v>4.6999999999999993E-3</v>
      </c>
      <c r="Q16" s="2906"/>
      <c r="R16" s="2027">
        <f>ROUND(IF(项目基本情况!$B$8="出让",SUMPRODUCT(PRODUCT(1+K16:$K$25)),SUMPRODUCT(PRODUCT(1+K16:$K$24))),4)</f>
        <v>1.0755999999999999</v>
      </c>
      <c r="S16" s="2027">
        <f>ROUND(IF(项目基本情况!$B$8="出让",SUMPRODUCT(PRODUCT(1+L16:$L$25)),SUMPRODUCT(PRODUCT(1+L16:$L$24))),4)</f>
        <v>1.0395000000000001</v>
      </c>
      <c r="T16" s="2027">
        <f>ROUND(IF(项目基本情况!$B$8="出让",SUMPRODUCT(PRODUCT(1+M16:$M$25)),SUMPRODUCT(PRODUCT(1+M16:$M$24))),4)</f>
        <v>1.0250999999999999</v>
      </c>
      <c r="U16" s="2027">
        <f>ROUND(IF(项目基本情况!$B$8="出让",SUMPRODUCT(PRODUCT(1+N16:$N$25)),SUMPRODUCT(PRODUCT(1+N16:$N$24))),4)</f>
        <v>1.0818000000000001</v>
      </c>
      <c r="V16" s="2119">
        <f>ROUND(IF(项目基本情况!$B$8="出让",SUMPRODUCT(PRODUCT(1+O16:$O$25)),SUMPRODUCT(PRODUCT(1+O16:$O$24))),4)</f>
        <v>1.0629999999999999</v>
      </c>
      <c r="W16" s="2027">
        <f t="shared" si="104"/>
        <v>1.0250999999999999</v>
      </c>
      <c r="X16" s="2906"/>
      <c r="Y16" s="2028"/>
      <c r="Z16" s="2028"/>
      <c r="AA16" s="2028"/>
      <c r="AB16" s="2028"/>
      <c r="AC16" s="2028"/>
      <c r="AD16" s="2028"/>
      <c r="AF16" s="3153">
        <f t="shared" si="28"/>
        <v>107.55999999999999</v>
      </c>
      <c r="AG16" s="3153">
        <f t="shared" si="29"/>
        <v>103.95</v>
      </c>
      <c r="AH16" s="3153">
        <f t="shared" si="30"/>
        <v>102.50999999999999</v>
      </c>
      <c r="AI16" s="3153">
        <f t="shared" si="31"/>
        <v>108.18</v>
      </c>
      <c r="AJ16" s="3153">
        <f t="shared" si="32"/>
        <v>106.3</v>
      </c>
      <c r="AK16" s="3153">
        <f t="shared" si="33"/>
        <v>102.50999999999999</v>
      </c>
      <c r="AM16" s="3153">
        <f t="shared" si="46"/>
        <v>102.15008101006663</v>
      </c>
      <c r="AN16" s="3153">
        <f t="shared" si="47"/>
        <v>101.38842600987604</v>
      </c>
      <c r="AO16" s="3153">
        <f t="shared" si="61"/>
        <v>105.36559841638196</v>
      </c>
      <c r="AP16" s="3153">
        <f t="shared" si="62"/>
        <v>101.60655409575348</v>
      </c>
      <c r="AQ16" s="3153">
        <f t="shared" si="48"/>
        <v>97.761993534641519</v>
      </c>
      <c r="AR16" s="3153">
        <f t="shared" si="49"/>
        <v>105.36559841638196</v>
      </c>
    </row>
    <row r="17" spans="1:44" s="2045" customFormat="1" ht="12.75">
      <c r="A17" s="2905" t="s">
        <v>3365</v>
      </c>
      <c r="B17" s="2031">
        <v>2023</v>
      </c>
      <c r="C17" s="2042">
        <v>1</v>
      </c>
      <c r="D17" s="2007">
        <v>0.89</v>
      </c>
      <c r="E17" s="2007">
        <v>0.74</v>
      </c>
      <c r="F17" s="2007">
        <v>0.56999999999999995</v>
      </c>
      <c r="G17" s="2007">
        <v>0.92</v>
      </c>
      <c r="H17" s="2917">
        <v>0.5</v>
      </c>
      <c r="I17" s="2008">
        <f t="shared" si="85"/>
        <v>0.56999999999999995</v>
      </c>
      <c r="J17" s="2906"/>
      <c r="K17" s="2043">
        <f t="shared" si="98"/>
        <v>8.8999999999999999E-3</v>
      </c>
      <c r="L17" s="2028">
        <f t="shared" si="99"/>
        <v>7.4000000000000003E-3</v>
      </c>
      <c r="M17" s="2028">
        <f t="shared" si="100"/>
        <v>5.6999999999999993E-3</v>
      </c>
      <c r="N17" s="2028">
        <f t="shared" si="101"/>
        <v>9.1999999999999998E-3</v>
      </c>
      <c r="O17" s="2028">
        <f t="shared" si="102"/>
        <v>5.0000000000000001E-3</v>
      </c>
      <c r="P17" s="2028">
        <f t="shared" si="103"/>
        <v>5.6999999999999993E-3</v>
      </c>
      <c r="Q17" s="2906"/>
      <c r="R17" s="2027">
        <f>ROUND(IF(项目基本情况!$B$8="出让",SUMPRODUCT(PRODUCT(1+K17:$K$25)),SUMPRODUCT(PRODUCT(1+K17:$K$24))),4)</f>
        <v>1.0659000000000001</v>
      </c>
      <c r="S17" s="2027">
        <f>ROUND(IF(项目基本情况!$B$8="出让",SUMPRODUCT(PRODUCT(1+L17:$L$25)),SUMPRODUCT(PRODUCT(1+L17:$L$24))),4)</f>
        <v>1.0326</v>
      </c>
      <c r="T17" s="2027">
        <f>ROUND(IF(项目基本情况!$B$8="出让",SUMPRODUCT(PRODUCT(1+M17:$M$25)),SUMPRODUCT(PRODUCT(1+M17:$M$24))),4)</f>
        <v>1.0203</v>
      </c>
      <c r="U17" s="2027">
        <f>ROUND(IF(项目基本情况!$B$8="出让",SUMPRODUCT(PRODUCT(1+N17:$N$25)),SUMPRODUCT(PRODUCT(1+N17:$N$24))),4)</f>
        <v>1.0714999999999999</v>
      </c>
      <c r="V17" s="2119">
        <f>ROUND(IF(项目基本情况!$B$8="出让",SUMPRODUCT(PRODUCT(1+O17:$O$25)),SUMPRODUCT(PRODUCT(1+O17:$O$24))),4)</f>
        <v>1.0555000000000001</v>
      </c>
      <c r="W17" s="2027">
        <f t="shared" ref="W17:W24" si="105">T17</f>
        <v>1.0203</v>
      </c>
      <c r="X17" s="2906"/>
      <c r="Y17" s="2028"/>
      <c r="Z17" s="2028"/>
      <c r="AA17" s="2028"/>
      <c r="AB17" s="2028"/>
      <c r="AC17" s="2028"/>
      <c r="AD17" s="2028"/>
      <c r="AF17" s="3153">
        <f t="shared" si="28"/>
        <v>106.59</v>
      </c>
      <c r="AG17" s="3153">
        <f t="shared" si="29"/>
        <v>103.25999999999999</v>
      </c>
      <c r="AH17" s="3153">
        <f t="shared" si="30"/>
        <v>102.03</v>
      </c>
      <c r="AI17" s="3153">
        <f t="shared" si="31"/>
        <v>107.14999999999999</v>
      </c>
      <c r="AJ17" s="3153">
        <f t="shared" si="32"/>
        <v>105.55000000000001</v>
      </c>
      <c r="AK17" s="3153">
        <f t="shared" si="33"/>
        <v>102.03</v>
      </c>
      <c r="AM17" s="3153">
        <f t="shared" si="46"/>
        <v>101.22889803792152</v>
      </c>
      <c r="AN17" s="3153">
        <f t="shared" si="47"/>
        <v>100.7236499204014</v>
      </c>
      <c r="AO17" s="3153">
        <f t="shared" si="61"/>
        <v>104.87269674169599</v>
      </c>
      <c r="AP17" s="3153">
        <f t="shared" si="62"/>
        <v>100.6404061962693</v>
      </c>
      <c r="AQ17" s="3153">
        <f t="shared" si="48"/>
        <v>97.072776819225012</v>
      </c>
      <c r="AR17" s="3153">
        <f t="shared" si="49"/>
        <v>104.87269674169599</v>
      </c>
    </row>
    <row r="18" spans="1:44" s="2045" customFormat="1" ht="12.75">
      <c r="A18" s="2905" t="s">
        <v>3364</v>
      </c>
      <c r="B18" s="2031">
        <v>2022</v>
      </c>
      <c r="C18" s="2042">
        <v>4</v>
      </c>
      <c r="D18" s="2007">
        <v>0.62</v>
      </c>
      <c r="E18" s="2007">
        <v>0.2</v>
      </c>
      <c r="F18" s="2007">
        <v>0.11</v>
      </c>
      <c r="G18" s="2007">
        <v>0.69</v>
      </c>
      <c r="H18" s="2917">
        <v>0.53</v>
      </c>
      <c r="I18" s="2008">
        <f t="shared" si="85"/>
        <v>0.11</v>
      </c>
      <c r="J18" s="2906"/>
      <c r="K18" s="2043">
        <f t="shared" si="86"/>
        <v>6.1999999999999998E-3</v>
      </c>
      <c r="L18" s="2028">
        <f t="shared" si="86"/>
        <v>2E-3</v>
      </c>
      <c r="M18" s="2028">
        <f t="shared" si="86"/>
        <v>1.1000000000000001E-3</v>
      </c>
      <c r="N18" s="2028">
        <f t="shared" si="86"/>
        <v>6.8999999999999999E-3</v>
      </c>
      <c r="O18" s="2028">
        <f t="shared" si="86"/>
        <v>5.3E-3</v>
      </c>
      <c r="P18" s="2028">
        <f t="shared" ref="P18:P25" si="106">M18</f>
        <v>1.1000000000000001E-3</v>
      </c>
      <c r="Q18" s="2906"/>
      <c r="R18" s="2027">
        <f>ROUND(IF(项目基本情况!$B$8="出让",SUMPRODUCT(PRODUCT(1+K18:$K$25)),SUMPRODUCT(PRODUCT(1+K18:$K$24))),4)</f>
        <v>1.0565</v>
      </c>
      <c r="S18" s="2027">
        <f>ROUND(IF(项目基本情况!$B$8="出让",SUMPRODUCT(PRODUCT(1+L18:$L$25)),SUMPRODUCT(PRODUCT(1+L18:$L$24))),4)</f>
        <v>1.0250999999999999</v>
      </c>
      <c r="T18" s="2027">
        <f>ROUND(IF(项目基本情况!$B$8="出让",SUMPRODUCT(PRODUCT(1+M18:$M$25)),SUMPRODUCT(PRODUCT(1+M18:$M$24))),4)</f>
        <v>1.0145</v>
      </c>
      <c r="U18" s="2027">
        <f>ROUND(IF(项目基本情况!$B$8="出让",SUMPRODUCT(PRODUCT(1+N18:$N$25)),SUMPRODUCT(PRODUCT(1+N18:$N$24))),4)</f>
        <v>1.0618000000000001</v>
      </c>
      <c r="V18" s="2119">
        <f>ROUND(IF(项目基本情况!$B$8="出让",SUMPRODUCT(PRODUCT(1+O18:$O$25)),SUMPRODUCT(PRODUCT(1+O18:$O$24))),4)</f>
        <v>1.0502</v>
      </c>
      <c r="W18" s="2027">
        <f t="shared" si="105"/>
        <v>1.0145</v>
      </c>
      <c r="X18" s="2906"/>
      <c r="Y18" s="2028">
        <f>IF(D18=0,0,ROUND(AVERAGE(D18:D26)/100,4))</f>
        <v>8.0999999999999996E-3</v>
      </c>
      <c r="Z18" s="2028">
        <f t="shared" ref="Z18:AC18" si="107">IF(E18=0,0,ROUND(AVERAGE(E18:E25)/100,4))</f>
        <v>3.3E-3</v>
      </c>
      <c r="AA18" s="2028">
        <f t="shared" si="107"/>
        <v>1.5E-3</v>
      </c>
      <c r="AB18" s="2028">
        <f t="shared" si="107"/>
        <v>8.8999999999999999E-3</v>
      </c>
      <c r="AC18" s="2028">
        <f t="shared" si="107"/>
        <v>6.6E-3</v>
      </c>
      <c r="AD18" s="2028">
        <f t="shared" si="88"/>
        <v>1.5E-3</v>
      </c>
      <c r="AF18" s="3153">
        <f t="shared" si="28"/>
        <v>105.65</v>
      </c>
      <c r="AG18" s="3153">
        <f t="shared" si="29"/>
        <v>102.50999999999999</v>
      </c>
      <c r="AH18" s="3153">
        <f t="shared" si="30"/>
        <v>101.44999999999999</v>
      </c>
      <c r="AI18" s="3153">
        <f t="shared" si="31"/>
        <v>106.18</v>
      </c>
      <c r="AJ18" s="3153">
        <f t="shared" si="32"/>
        <v>105.02</v>
      </c>
      <c r="AK18" s="3153">
        <f t="shared" si="33"/>
        <v>101.44999999999999</v>
      </c>
      <c r="AM18" s="3153">
        <f t="shared" si="46"/>
        <v>100.33590845269256</v>
      </c>
      <c r="AN18" s="3153">
        <f t="shared" si="47"/>
        <v>99.98377002223684</v>
      </c>
      <c r="AO18" s="3153">
        <f t="shared" si="61"/>
        <v>104.27831037257232</v>
      </c>
      <c r="AP18" s="3153">
        <f t="shared" si="62"/>
        <v>99.722955010175667</v>
      </c>
      <c r="AQ18" s="3153">
        <f t="shared" si="48"/>
        <v>96.589827680820918</v>
      </c>
      <c r="AR18" s="3153">
        <f t="shared" si="49"/>
        <v>104.27831037257232</v>
      </c>
    </row>
    <row r="19" spans="1:44" s="2045" customFormat="1" ht="12.75">
      <c r="A19" s="2905" t="s">
        <v>3362</v>
      </c>
      <c r="B19" s="2031">
        <v>2022</v>
      </c>
      <c r="C19" s="2042">
        <v>3</v>
      </c>
      <c r="D19" s="2007">
        <v>0.66</v>
      </c>
      <c r="E19" s="2007">
        <v>0.32</v>
      </c>
      <c r="F19" s="2007">
        <v>0.23</v>
      </c>
      <c r="G19" s="2007">
        <v>0.72</v>
      </c>
      <c r="H19" s="2917">
        <v>0.63</v>
      </c>
      <c r="I19" s="2008">
        <f t="shared" si="85"/>
        <v>0.23</v>
      </c>
      <c r="J19" s="2906"/>
      <c r="K19" s="2043">
        <f t="shared" si="86"/>
        <v>6.6E-3</v>
      </c>
      <c r="L19" s="2028">
        <f t="shared" si="86"/>
        <v>3.2000000000000002E-3</v>
      </c>
      <c r="M19" s="2028">
        <f t="shared" si="86"/>
        <v>2.3E-3</v>
      </c>
      <c r="N19" s="2028">
        <f t="shared" si="86"/>
        <v>7.1999999999999998E-3</v>
      </c>
      <c r="O19" s="2028">
        <f t="shared" si="86"/>
        <v>6.3E-3</v>
      </c>
      <c r="P19" s="2028">
        <f t="shared" si="106"/>
        <v>2.3E-3</v>
      </c>
      <c r="Q19" s="2906"/>
      <c r="R19" s="2027">
        <f>ROUND(IF(项目基本情况!$B$8="出让",SUMPRODUCT(PRODUCT(1+K19:$K$25)),SUMPRODUCT(PRODUCT(1+K19:$K$24))),4)</f>
        <v>1.05</v>
      </c>
      <c r="S19" s="2027">
        <f>ROUND(IF(项目基本情况!$B$8="出让",SUMPRODUCT(PRODUCT(1+L19:$L$25)),SUMPRODUCT(PRODUCT(1+L19:$L$24))),4)</f>
        <v>1.0229999999999999</v>
      </c>
      <c r="T19" s="2027">
        <f>ROUND(IF(项目基本情况!$B$8="出让",SUMPRODUCT(PRODUCT(1+M19:$M$25)),SUMPRODUCT(PRODUCT(1+M19:$M$24))),4)</f>
        <v>1.0134000000000001</v>
      </c>
      <c r="U19" s="2027">
        <f>ROUND(IF(项目基本情况!$B$8="出让",SUMPRODUCT(PRODUCT(1+N19:$N$25)),SUMPRODUCT(PRODUCT(1+N19:$N$24))),4)</f>
        <v>1.0545</v>
      </c>
      <c r="V19" s="2119">
        <f>ROUND(IF(项目基本情况!$B$8="出让",SUMPRODUCT(PRODUCT(1+O19:$O$25)),SUMPRODUCT(PRODUCT(1+O19:$O$24))),4)</f>
        <v>1.0447</v>
      </c>
      <c r="W19" s="2027">
        <f t="shared" si="105"/>
        <v>1.0134000000000001</v>
      </c>
      <c r="X19" s="2906"/>
      <c r="Y19" s="2028">
        <f>IF(D19=0,0,ROUND(AVERAGE(D19:D25)/100,4))</f>
        <v>8.3999999999999995E-3</v>
      </c>
      <c r="Z19" s="2028">
        <f t="shared" ref="Z19:AC19" si="108">IF(E19=0,0,ROUND(AVERAGE(E19:E25)/100,4))</f>
        <v>3.5000000000000001E-3</v>
      </c>
      <c r="AA19" s="2028">
        <f t="shared" si="108"/>
        <v>1.5E-3</v>
      </c>
      <c r="AB19" s="2028">
        <f t="shared" si="108"/>
        <v>9.1999999999999998E-3</v>
      </c>
      <c r="AC19" s="2028">
        <f t="shared" si="108"/>
        <v>6.7999999999999996E-3</v>
      </c>
      <c r="AD19" s="2028">
        <f t="shared" si="88"/>
        <v>1.5E-3</v>
      </c>
      <c r="AF19" s="3153">
        <f t="shared" si="28"/>
        <v>105</v>
      </c>
      <c r="AG19" s="3153">
        <f t="shared" si="29"/>
        <v>102.3</v>
      </c>
      <c r="AH19" s="3153">
        <f t="shared" si="30"/>
        <v>101.34</v>
      </c>
      <c r="AI19" s="3153">
        <f t="shared" si="31"/>
        <v>105.45</v>
      </c>
      <c r="AJ19" s="3153">
        <f t="shared" si="32"/>
        <v>104.47</v>
      </c>
      <c r="AK19" s="3153">
        <f t="shared" si="33"/>
        <v>101.34</v>
      </c>
      <c r="AM19" s="3153">
        <f t="shared" si="46"/>
        <v>99.717658967096568</v>
      </c>
      <c r="AN19" s="3153">
        <f t="shared" si="47"/>
        <v>99.784201618998836</v>
      </c>
      <c r="AO19" s="3153">
        <f t="shared" si="61"/>
        <v>104.1637302692761</v>
      </c>
      <c r="AP19" s="3153">
        <f t="shared" si="62"/>
        <v>99.039581895099488</v>
      </c>
      <c r="AQ19" s="3153">
        <f t="shared" si="48"/>
        <v>96.080600498180559</v>
      </c>
      <c r="AR19" s="3153">
        <f t="shared" si="49"/>
        <v>104.1637302692761</v>
      </c>
    </row>
    <row r="20" spans="1:44" s="2045" customFormat="1" ht="12.75">
      <c r="A20" s="2905" t="s">
        <v>3353</v>
      </c>
      <c r="B20" s="2031">
        <v>2022</v>
      </c>
      <c r="C20" s="2042">
        <v>2</v>
      </c>
      <c r="D20" s="2007">
        <v>0.93</v>
      </c>
      <c r="E20" s="2007">
        <v>0.15</v>
      </c>
      <c r="F20" s="2007">
        <v>0.01</v>
      </c>
      <c r="G20" s="2007">
        <v>1.05</v>
      </c>
      <c r="H20" s="2917">
        <v>1.08</v>
      </c>
      <c r="I20" s="2008">
        <f t="shared" si="85"/>
        <v>0.01</v>
      </c>
      <c r="J20" s="2906"/>
      <c r="K20" s="2043">
        <f t="shared" si="86"/>
        <v>9.300000000000001E-3</v>
      </c>
      <c r="L20" s="2028">
        <f t="shared" si="86"/>
        <v>1.5E-3</v>
      </c>
      <c r="M20" s="2028">
        <f t="shared" si="86"/>
        <v>1E-4</v>
      </c>
      <c r="N20" s="2028">
        <f t="shared" si="86"/>
        <v>1.0500000000000001E-2</v>
      </c>
      <c r="O20" s="2028">
        <f t="shared" si="86"/>
        <v>1.0800000000000001E-2</v>
      </c>
      <c r="P20" s="2028">
        <f t="shared" si="106"/>
        <v>1E-4</v>
      </c>
      <c r="Q20" s="2906"/>
      <c r="R20" s="2027">
        <f>ROUND(IF(项目基本情况!$B$8="出让",SUMPRODUCT(PRODUCT(1+K20:$K$25)),SUMPRODUCT(PRODUCT(1+K20:$K$24))),4)</f>
        <v>1.0430999999999999</v>
      </c>
      <c r="S20" s="2027">
        <f>ROUND(IF(项目基本情况!$B$8="出让",SUMPRODUCT(PRODUCT(1+L20:$L$25)),SUMPRODUCT(PRODUCT(1+L20:$L$24))),4)</f>
        <v>1.0197000000000001</v>
      </c>
      <c r="T20" s="2027">
        <f>ROUND(IF(项目基本情况!$B$8="出让",SUMPRODUCT(PRODUCT(1+M20:$M$25)),SUMPRODUCT(PRODUCT(1+M20:$M$24))),4)</f>
        <v>1.0109999999999999</v>
      </c>
      <c r="U20" s="2027">
        <f>ROUND(IF(项目基本情况!$B$8="出让",SUMPRODUCT(PRODUCT(1+N20:$N$25)),SUMPRODUCT(PRODUCT(1+N20:$N$24))),4)</f>
        <v>1.0468999999999999</v>
      </c>
      <c r="V20" s="2119">
        <f>ROUND(IF(项目基本情况!$B$8="出让",SUMPRODUCT(PRODUCT(1+O20:$O$25)),SUMPRODUCT(PRODUCT(1+O20:$O$24))),4)</f>
        <v>1.0382</v>
      </c>
      <c r="W20" s="2027">
        <f t="shared" si="105"/>
        <v>1.0109999999999999</v>
      </c>
      <c r="X20" s="2906"/>
      <c r="Y20" s="2028">
        <f>IF(D20=0,0,ROUND(AVERAGE(D20:D25)/100,4))</f>
        <v>8.6999999999999994E-3</v>
      </c>
      <c r="Z20" s="2028">
        <f t="shared" ref="Z20:AC20" si="109">IF(E20=0,0,ROUND(AVERAGE(E20:E25)/100,4))</f>
        <v>3.5000000000000001E-3</v>
      </c>
      <c r="AA20" s="2028">
        <f t="shared" si="109"/>
        <v>1.4E-3</v>
      </c>
      <c r="AB20" s="2028">
        <f t="shared" si="109"/>
        <v>9.4999999999999998E-3</v>
      </c>
      <c r="AC20" s="2028">
        <f t="shared" si="109"/>
        <v>6.8999999999999999E-3</v>
      </c>
      <c r="AD20" s="2028">
        <f t="shared" si="88"/>
        <v>1.4E-3</v>
      </c>
      <c r="AF20" s="3153">
        <f t="shared" si="28"/>
        <v>104.30999999999999</v>
      </c>
      <c r="AG20" s="3153">
        <f t="shared" si="29"/>
        <v>101.97</v>
      </c>
      <c r="AH20" s="3153">
        <f t="shared" si="30"/>
        <v>101.1</v>
      </c>
      <c r="AI20" s="3153">
        <f t="shared" si="31"/>
        <v>104.69</v>
      </c>
      <c r="AJ20" s="3153">
        <f t="shared" si="32"/>
        <v>103.82000000000001</v>
      </c>
      <c r="AK20" s="3153">
        <f t="shared" si="33"/>
        <v>101.1</v>
      </c>
      <c r="AM20" s="3153">
        <f t="shared" si="46"/>
        <v>99.063837638681278</v>
      </c>
      <c r="AN20" s="3153">
        <f t="shared" si="47"/>
        <v>99.465910704743649</v>
      </c>
      <c r="AO20" s="3153">
        <f t="shared" si="61"/>
        <v>103.92470345133803</v>
      </c>
      <c r="AP20" s="3153">
        <f t="shared" si="62"/>
        <v>98.331594415309254</v>
      </c>
      <c r="AQ20" s="3153">
        <f t="shared" si="48"/>
        <v>95.479082279817703</v>
      </c>
      <c r="AR20" s="3153">
        <f t="shared" si="49"/>
        <v>103.92470345133803</v>
      </c>
    </row>
    <row r="21" spans="1:44" s="2045" customFormat="1" ht="12.75">
      <c r="A21" s="2905" t="s">
        <v>2820</v>
      </c>
      <c r="B21" s="2031">
        <v>2022</v>
      </c>
      <c r="C21" s="2042">
        <v>1</v>
      </c>
      <c r="D21" s="2007">
        <v>0.89</v>
      </c>
      <c r="E21" s="2007">
        <v>0.44</v>
      </c>
      <c r="F21" s="2007">
        <v>0.37</v>
      </c>
      <c r="G21" s="2007">
        <v>0.96</v>
      </c>
      <c r="H21" s="2917">
        <v>0.64</v>
      </c>
      <c r="I21" s="2008">
        <f t="shared" si="85"/>
        <v>0.37</v>
      </c>
      <c r="J21" s="2906"/>
      <c r="K21" s="2043">
        <f t="shared" si="86"/>
        <v>8.8999999999999999E-3</v>
      </c>
      <c r="L21" s="2028">
        <f t="shared" si="86"/>
        <v>4.4000000000000003E-3</v>
      </c>
      <c r="M21" s="2028">
        <f t="shared" si="86"/>
        <v>3.7000000000000002E-3</v>
      </c>
      <c r="N21" s="2028">
        <f t="shared" si="86"/>
        <v>9.5999999999999992E-3</v>
      </c>
      <c r="O21" s="2028">
        <f t="shared" si="86"/>
        <v>6.4000000000000003E-3</v>
      </c>
      <c r="P21" s="2028">
        <f t="shared" si="106"/>
        <v>3.7000000000000002E-3</v>
      </c>
      <c r="Q21" s="2906"/>
      <c r="R21" s="2027">
        <f>ROUND(IF(项目基本情况!$B$8="出让",SUMPRODUCT(PRODUCT(1+K21:$K$25)),SUMPRODUCT(PRODUCT(1+K21:$K$24))),4)</f>
        <v>1.0335000000000001</v>
      </c>
      <c r="S21" s="2027">
        <f>ROUND(IF(项目基本情况!$B$8="出让",SUMPRODUCT(PRODUCT(1+L21:$L$25)),SUMPRODUCT(PRODUCT(1+L21:$L$24))),4)</f>
        <v>1.0182</v>
      </c>
      <c r="T21" s="2027">
        <f>ROUND(IF(项目基本情况!$B$8="出让",SUMPRODUCT(PRODUCT(1+M21:$M$25)),SUMPRODUCT(PRODUCT(1+M21:$M$24))),4)</f>
        <v>1.0108999999999999</v>
      </c>
      <c r="U21" s="2027">
        <f>ROUND(IF(项目基本情况!$B$8="出让",SUMPRODUCT(PRODUCT(1+N21:$N$25)),SUMPRODUCT(PRODUCT(1+N21:$N$24))),4)</f>
        <v>1.0361</v>
      </c>
      <c r="V21" s="2119">
        <f>ROUND(IF(项目基本情况!$B$8="出让",SUMPRODUCT(PRODUCT(1+O21:$O$25)),SUMPRODUCT(PRODUCT(1+O21:$O$24))),4)</f>
        <v>1.0270999999999999</v>
      </c>
      <c r="W21" s="2027">
        <f t="shared" si="105"/>
        <v>1.0108999999999999</v>
      </c>
      <c r="X21" s="2906"/>
      <c r="Y21" s="2028">
        <f>IF(D21=0,0,ROUND(AVERAGE(D21:D25)/100,4))</f>
        <v>8.6E-3</v>
      </c>
      <c r="Z21" s="2028">
        <f t="shared" ref="Z21:AC21" si="110">IF(E21=0,0,ROUND(AVERAGE(E21:E25)/100,4))</f>
        <v>3.8999999999999998E-3</v>
      </c>
      <c r="AA21" s="2028">
        <f t="shared" si="110"/>
        <v>1.6999999999999999E-3</v>
      </c>
      <c r="AB21" s="2028">
        <f t="shared" si="110"/>
        <v>9.2999999999999992E-3</v>
      </c>
      <c r="AC21" s="2028">
        <f t="shared" si="110"/>
        <v>6.1000000000000004E-3</v>
      </c>
      <c r="AD21" s="2028">
        <f t="shared" si="88"/>
        <v>1.6999999999999999E-3</v>
      </c>
      <c r="AF21" s="3153">
        <f t="shared" si="28"/>
        <v>103.35000000000001</v>
      </c>
      <c r="AG21" s="3153">
        <f t="shared" si="29"/>
        <v>101.82</v>
      </c>
      <c r="AH21" s="3153">
        <f t="shared" si="30"/>
        <v>101.08999999999999</v>
      </c>
      <c r="AI21" s="3153">
        <f t="shared" si="31"/>
        <v>103.61</v>
      </c>
      <c r="AJ21" s="3153">
        <f t="shared" si="32"/>
        <v>102.71</v>
      </c>
      <c r="AK21" s="3153">
        <f t="shared" si="33"/>
        <v>101.08999999999999</v>
      </c>
      <c r="AM21" s="3153">
        <f t="shared" si="46"/>
        <v>98.151033031488424</v>
      </c>
      <c r="AN21" s="3153">
        <f t="shared" si="47"/>
        <v>99.316935301790963</v>
      </c>
      <c r="AO21" s="3153">
        <f t="shared" si="61"/>
        <v>103.91431202013602</v>
      </c>
      <c r="AP21" s="3153">
        <f t="shared" si="62"/>
        <v>97.309841083928021</v>
      </c>
      <c r="AQ21" s="3153">
        <f t="shared" si="48"/>
        <v>94.45892588031036</v>
      </c>
      <c r="AR21" s="3153">
        <f t="shared" si="49"/>
        <v>103.91431202013602</v>
      </c>
    </row>
    <row r="22" spans="1:44" s="2045" customFormat="1" ht="12.75">
      <c r="A22" s="2905" t="s">
        <v>2821</v>
      </c>
      <c r="B22" s="2031">
        <v>2021</v>
      </c>
      <c r="C22" s="2042">
        <v>4</v>
      </c>
      <c r="D22" s="2007">
        <v>1.03</v>
      </c>
      <c r="E22" s="2007">
        <v>0.24</v>
      </c>
      <c r="F22" s="2007">
        <v>7.0000000000000007E-2</v>
      </c>
      <c r="G22" s="2007">
        <v>1.17</v>
      </c>
      <c r="H22" s="2917">
        <v>0.55000000000000004</v>
      </c>
      <c r="I22" s="2008">
        <f t="shared" si="85"/>
        <v>7.0000000000000007E-2</v>
      </c>
      <c r="J22" s="2906"/>
      <c r="K22" s="2043">
        <f t="shared" si="86"/>
        <v>1.03E-2</v>
      </c>
      <c r="L22" s="2028">
        <f t="shared" si="86"/>
        <v>2.3999999999999998E-3</v>
      </c>
      <c r="M22" s="2028">
        <f t="shared" si="86"/>
        <v>7.000000000000001E-4</v>
      </c>
      <c r="N22" s="2028">
        <f t="shared" si="86"/>
        <v>1.1699999999999999E-2</v>
      </c>
      <c r="O22" s="2028">
        <f t="shared" si="86"/>
        <v>5.5000000000000005E-3</v>
      </c>
      <c r="P22" s="2028">
        <f t="shared" si="106"/>
        <v>7.000000000000001E-4</v>
      </c>
      <c r="Q22" s="2906"/>
      <c r="R22" s="2027">
        <f>ROUND(IF(项目基本情况!$B$8="出让",SUMPRODUCT(PRODUCT(1+K22:$K$25)),SUMPRODUCT(PRODUCT(1+K22:$K$24))),4)</f>
        <v>1.0244</v>
      </c>
      <c r="S22" s="2027">
        <f>ROUND(IF(项目基本情况!$B$8="出让",SUMPRODUCT(PRODUCT(1+L22:$L$25)),SUMPRODUCT(PRODUCT(1+L22:$L$24))),4)</f>
        <v>1.0138</v>
      </c>
      <c r="T22" s="2027">
        <f>ROUND(IF(项目基本情况!$B$8="出让",SUMPRODUCT(PRODUCT(1+M22:$M$25)),SUMPRODUCT(PRODUCT(1+M22:$M$24))),4)</f>
        <v>1.0072000000000001</v>
      </c>
      <c r="U22" s="2027">
        <f>ROUND(IF(项目基本情况!$B$8="出让",SUMPRODUCT(PRODUCT(1+N22:$N$25)),SUMPRODUCT(PRODUCT(1+N22:$N$24))),4)</f>
        <v>1.0262</v>
      </c>
      <c r="V22" s="2119">
        <f>ROUND(IF(项目基本情况!$B$8="出让",SUMPRODUCT(PRODUCT(1+O22:$O$25)),SUMPRODUCT(PRODUCT(1+O22:$O$24))),4)</f>
        <v>1.0205</v>
      </c>
      <c r="W22" s="2027">
        <f t="shared" si="105"/>
        <v>1.0072000000000001</v>
      </c>
      <c r="X22" s="2906"/>
      <c r="Y22" s="2028">
        <f>IF(D22=0,0,ROUND(AVERAGE(D22:D25)/100,4))</f>
        <v>8.5000000000000006E-3</v>
      </c>
      <c r="Z22" s="2028">
        <f t="shared" ref="Z22:AC22" si="111">IF(E22=0,0,ROUND(AVERAGE(E22:E25)/100,4))</f>
        <v>3.8E-3</v>
      </c>
      <c r="AA22" s="2028">
        <f t="shared" si="111"/>
        <v>1.1999999999999999E-3</v>
      </c>
      <c r="AB22" s="2028">
        <f t="shared" si="111"/>
        <v>9.2999999999999992E-3</v>
      </c>
      <c r="AC22" s="2028">
        <f t="shared" si="111"/>
        <v>6.0000000000000001E-3</v>
      </c>
      <c r="AD22" s="2028">
        <f t="shared" si="88"/>
        <v>1.1999999999999999E-3</v>
      </c>
      <c r="AF22" s="3153">
        <f t="shared" si="28"/>
        <v>102.44</v>
      </c>
      <c r="AG22" s="3153">
        <f t="shared" si="29"/>
        <v>101.38000000000001</v>
      </c>
      <c r="AH22" s="3153">
        <f t="shared" si="30"/>
        <v>100.72000000000001</v>
      </c>
      <c r="AI22" s="3153">
        <f t="shared" si="31"/>
        <v>102.62</v>
      </c>
      <c r="AJ22" s="3153">
        <f t="shared" si="32"/>
        <v>102.05</v>
      </c>
      <c r="AK22" s="3153">
        <f t="shared" si="33"/>
        <v>100.72000000000001</v>
      </c>
      <c r="AM22" s="3153">
        <f t="shared" si="46"/>
        <v>97.285194797788122</v>
      </c>
      <c r="AN22" s="3153">
        <f t="shared" si="47"/>
        <v>98.881855139178583</v>
      </c>
      <c r="AO22" s="3153">
        <f t="shared" si="61"/>
        <v>103.53124640842485</v>
      </c>
      <c r="AP22" s="3153">
        <f t="shared" si="62"/>
        <v>96.384549409595891</v>
      </c>
      <c r="AQ22" s="3153">
        <f t="shared" si="48"/>
        <v>93.858233187907757</v>
      </c>
      <c r="AR22" s="3153">
        <f t="shared" si="49"/>
        <v>103.53124640842485</v>
      </c>
    </row>
    <row r="23" spans="1:44" s="2045" customFormat="1" ht="12.75">
      <c r="A23" s="2905" t="s">
        <v>2822</v>
      </c>
      <c r="B23" s="2031">
        <v>2021</v>
      </c>
      <c r="C23" s="2042">
        <v>3</v>
      </c>
      <c r="D23" s="2007">
        <v>0.47</v>
      </c>
      <c r="E23" s="2007">
        <v>0.41</v>
      </c>
      <c r="F23" s="2007">
        <v>0.24</v>
      </c>
      <c r="G23" s="2007">
        <v>0.48</v>
      </c>
      <c r="H23" s="2917">
        <v>0.48</v>
      </c>
      <c r="I23" s="2008">
        <f t="shared" si="85"/>
        <v>0.24</v>
      </c>
      <c r="J23" s="2906"/>
      <c r="K23" s="2043">
        <f t="shared" si="86"/>
        <v>4.6999999999999993E-3</v>
      </c>
      <c r="L23" s="2028">
        <f t="shared" si="86"/>
        <v>4.0999999999999995E-3</v>
      </c>
      <c r="M23" s="2028">
        <f t="shared" si="86"/>
        <v>2.3999999999999998E-3</v>
      </c>
      <c r="N23" s="2028">
        <f t="shared" si="86"/>
        <v>4.7999999999999996E-3</v>
      </c>
      <c r="O23" s="2028">
        <f t="shared" si="86"/>
        <v>4.7999999999999996E-3</v>
      </c>
      <c r="P23" s="2028">
        <f t="shared" si="106"/>
        <v>2.3999999999999998E-3</v>
      </c>
      <c r="Q23" s="2906"/>
      <c r="R23" s="2027">
        <f>ROUND(IF(项目基本情况!$B$8="出让",SUMPRODUCT(PRODUCT(1+K23:$K$25)),SUMPRODUCT(PRODUCT(1+K23:$K$24))),4)</f>
        <v>1.0139</v>
      </c>
      <c r="S23" s="2027">
        <f>ROUND(IF(项目基本情况!$B$8="出让",SUMPRODUCT(PRODUCT(1+L23:$L$25)),SUMPRODUCT(PRODUCT(1+L23:$L$24))),4)</f>
        <v>1.0113000000000001</v>
      </c>
      <c r="T23" s="2027">
        <f>ROUND(IF(项目基本情况!$B$8="出让",SUMPRODUCT(PRODUCT(1+M23:$M$25)),SUMPRODUCT(PRODUCT(1+M23:$M$24))),4)</f>
        <v>1.0065</v>
      </c>
      <c r="U23" s="2027">
        <f>ROUND(IF(项目基本情况!$B$8="出让",SUMPRODUCT(PRODUCT(1+N23:$N$25)),SUMPRODUCT(PRODUCT(1+N23:$N$24))),4)</f>
        <v>1.0143</v>
      </c>
      <c r="V23" s="2119">
        <f>ROUND(IF(项目基本情况!$B$8="出让",SUMPRODUCT(PRODUCT(1+O23:$O$25)),SUMPRODUCT(PRODUCT(1+O23:$O$24))),4)</f>
        <v>1.0148999999999999</v>
      </c>
      <c r="W23" s="2027">
        <f t="shared" si="105"/>
        <v>1.0065</v>
      </c>
      <c r="X23" s="2906"/>
      <c r="Y23" s="2028">
        <f>IF(D23=0,0,ROUND(AVERAGE(D23:D25)/100,4))</f>
        <v>7.9000000000000008E-3</v>
      </c>
      <c r="Z23" s="2028">
        <f>IF(E23=0,0,ROUND(AVERAGE(E23:E25)/100,4))</f>
        <v>4.3E-3</v>
      </c>
      <c r="AA23" s="2028">
        <f>IF(F23=0,0,ROUND(AVERAGE(F23:F25)/100,4))</f>
        <v>1.2999999999999999E-3</v>
      </c>
      <c r="AB23" s="2028">
        <f>IF(G23=0,0,ROUND(AVERAGE(G23:G25)/100,4))</f>
        <v>8.5000000000000006E-3</v>
      </c>
      <c r="AC23" s="2028">
        <f>IF(H23=0,0,ROUND(AVERAGE(H23:H25)/100,4))</f>
        <v>6.1999999999999998E-3</v>
      </c>
      <c r="AD23" s="2028">
        <f t="shared" si="88"/>
        <v>1.2999999999999999E-3</v>
      </c>
      <c r="AF23" s="3153">
        <f t="shared" si="28"/>
        <v>101.39</v>
      </c>
      <c r="AG23" s="3153">
        <f t="shared" si="29"/>
        <v>101.13000000000001</v>
      </c>
      <c r="AH23" s="3153">
        <f t="shared" si="30"/>
        <v>100.64999999999999</v>
      </c>
      <c r="AI23" s="3153">
        <f t="shared" si="31"/>
        <v>101.42999999999999</v>
      </c>
      <c r="AJ23" s="3153">
        <f t="shared" si="32"/>
        <v>101.49</v>
      </c>
      <c r="AK23" s="3153">
        <f t="shared" si="33"/>
        <v>100.64999999999999</v>
      </c>
      <c r="AM23" s="3153">
        <f t="shared" si="46"/>
        <v>96.293373055318341</v>
      </c>
      <c r="AN23" s="3153">
        <f t="shared" si="47"/>
        <v>98.645106882660201</v>
      </c>
      <c r="AO23" s="3153">
        <f t="shared" si="61"/>
        <v>103.45882523076332</v>
      </c>
      <c r="AP23" s="3153">
        <f t="shared" si="62"/>
        <v>95.269891676975277</v>
      </c>
      <c r="AQ23" s="3153">
        <f t="shared" si="48"/>
        <v>93.344836586681012</v>
      </c>
      <c r="AR23" s="3153">
        <f t="shared" si="49"/>
        <v>103.45882523076332</v>
      </c>
    </row>
    <row r="24" spans="1:44" s="2045" customFormat="1" ht="12.75">
      <c r="A24" s="2905" t="s">
        <v>2823</v>
      </c>
      <c r="B24" s="2031">
        <v>2021</v>
      </c>
      <c r="C24" s="2042">
        <v>2</v>
      </c>
      <c r="D24" s="2007">
        <v>0.92</v>
      </c>
      <c r="E24" s="2007">
        <v>0.72</v>
      </c>
      <c r="F24" s="2007">
        <v>0.41</v>
      </c>
      <c r="G24" s="2007">
        <v>0.95</v>
      </c>
      <c r="H24" s="2917">
        <v>1.01</v>
      </c>
      <c r="I24" s="2008">
        <f t="shared" si="85"/>
        <v>0.41</v>
      </c>
      <c r="J24" s="2906"/>
      <c r="K24" s="2043">
        <f t="shared" si="86"/>
        <v>9.1999999999999998E-3</v>
      </c>
      <c r="L24" s="2028">
        <f t="shared" si="86"/>
        <v>7.1999999999999998E-3</v>
      </c>
      <c r="M24" s="2028">
        <f t="shared" si="86"/>
        <v>4.0999999999999995E-3</v>
      </c>
      <c r="N24" s="2028">
        <f t="shared" si="86"/>
        <v>9.4999999999999998E-3</v>
      </c>
      <c r="O24" s="2028">
        <f t="shared" si="86"/>
        <v>1.01E-2</v>
      </c>
      <c r="P24" s="2028">
        <f t="shared" si="106"/>
        <v>4.0999999999999995E-3</v>
      </c>
      <c r="Q24" s="2906"/>
      <c r="R24" s="2027">
        <f>ROUND(IF(项目基本情况!$B$8="出让",SUMPRODUCT(PRODUCT(1+K24:$K$25)),SUMPRODUCT(PRODUCT(1+K24:$K$24))),4)</f>
        <v>1.0092000000000001</v>
      </c>
      <c r="S24" s="2027">
        <f>ROUND(IF(项目基本情况!$B$8="出让",SUMPRODUCT(PRODUCT(1+L24:$L$25)),SUMPRODUCT(PRODUCT(1+L24:$L$24))),4)</f>
        <v>1.0072000000000001</v>
      </c>
      <c r="T24" s="2027">
        <f>ROUND(IF(项目基本情况!$B$8="出让",SUMPRODUCT(PRODUCT(1+M24:$M$25)),SUMPRODUCT(PRODUCT(1+M24:$M$24))),4)</f>
        <v>1.0041</v>
      </c>
      <c r="U24" s="2027">
        <f>ROUND(IF(项目基本情况!$B$8="出让",SUMPRODUCT(PRODUCT(1+N24:$N$25)),SUMPRODUCT(PRODUCT(1+N24:$N$24))),4)</f>
        <v>1.0095000000000001</v>
      </c>
      <c r="V24" s="2119">
        <f>ROUND(IF(项目基本情况!$B$8="出让",SUMPRODUCT(PRODUCT(1+O24:$O$25)),SUMPRODUCT(PRODUCT(1+O24:$O$24))),4)</f>
        <v>1.0101</v>
      </c>
      <c r="W24" s="2027">
        <f t="shared" si="105"/>
        <v>1.0041</v>
      </c>
      <c r="X24" s="2906"/>
      <c r="Y24" s="2028">
        <f>IF(D24=0,0,ROUND(AVERAGE(D24:D25)/100,4))</f>
        <v>9.4999999999999998E-3</v>
      </c>
      <c r="Z24" s="2028">
        <f>IF(E24=0,0,ROUND(AVERAGE(E24:E25)/100,4))</f>
        <v>4.4000000000000003E-3</v>
      </c>
      <c r="AA24" s="2028">
        <f>IF(F24=0,0,ROUND(AVERAGE(F24:F25)/100,4))</f>
        <v>8.0000000000000004E-4</v>
      </c>
      <c r="AB24" s="2028">
        <f>IF(G24=0,0,ROUND(AVERAGE(G24:G25)/100,4))</f>
        <v>1.03E-2</v>
      </c>
      <c r="AC24" s="2028">
        <f>IF(H24=0,0,ROUND(AVERAGE(H24:H25)/100,4))</f>
        <v>6.8999999999999999E-3</v>
      </c>
      <c r="AD24" s="2028">
        <f t="shared" si="88"/>
        <v>8.0000000000000004E-4</v>
      </c>
      <c r="AF24" s="3153">
        <f t="shared" si="28"/>
        <v>100.92000000000002</v>
      </c>
      <c r="AG24" s="3153">
        <f t="shared" si="29"/>
        <v>100.72000000000001</v>
      </c>
      <c r="AH24" s="3153">
        <f t="shared" si="30"/>
        <v>100.41</v>
      </c>
      <c r="AI24" s="3153">
        <f t="shared" si="31"/>
        <v>100.95</v>
      </c>
      <c r="AJ24" s="3153">
        <f t="shared" si="32"/>
        <v>101.01</v>
      </c>
      <c r="AK24" s="3153">
        <f t="shared" si="33"/>
        <v>100.41</v>
      </c>
      <c r="AM24" s="3153">
        <f t="shared" si="46"/>
        <v>95.842911371870557</v>
      </c>
      <c r="AN24" s="3153">
        <f t="shared" si="47"/>
        <v>98.242313397729504</v>
      </c>
      <c r="AO24" s="3153">
        <f t="shared" si="61"/>
        <v>103.21111854625232</v>
      </c>
      <c r="AP24" s="3153">
        <f t="shared" si="62"/>
        <v>94.81478072947381</v>
      </c>
      <c r="AQ24" s="3153">
        <f t="shared" si="48"/>
        <v>92.898921762222358</v>
      </c>
      <c r="AR24" s="3153">
        <f t="shared" si="49"/>
        <v>103.21111854625232</v>
      </c>
    </row>
    <row r="25" spans="1:44" s="2928" customFormat="1" ht="14.25" thickBot="1">
      <c r="A25" s="2918" t="s">
        <v>2824</v>
      </c>
      <c r="B25" s="2919">
        <v>2021</v>
      </c>
      <c r="C25" s="2920">
        <v>1</v>
      </c>
      <c r="D25" s="2921">
        <v>0.97</v>
      </c>
      <c r="E25" s="2921">
        <v>0.16</v>
      </c>
      <c r="F25" s="2921">
        <v>-0.25</v>
      </c>
      <c r="G25" s="2921">
        <v>1.1100000000000001</v>
      </c>
      <c r="H25" s="2922">
        <v>0.36</v>
      </c>
      <c r="I25" s="2923">
        <f t="shared" si="85"/>
        <v>-0.25</v>
      </c>
      <c r="J25" s="2924"/>
      <c r="K25" s="2925">
        <f t="shared" si="86"/>
        <v>9.7000000000000003E-3</v>
      </c>
      <c r="L25" s="2926">
        <f t="shared" si="86"/>
        <v>1.6000000000000001E-3</v>
      </c>
      <c r="M25" s="2926">
        <f>F25/100</f>
        <v>-2.5000000000000001E-3</v>
      </c>
      <c r="N25" s="2926">
        <f t="shared" si="86"/>
        <v>1.11E-2</v>
      </c>
      <c r="O25" s="2926">
        <f t="shared" si="86"/>
        <v>3.5999999999999999E-3</v>
      </c>
      <c r="P25" s="2926">
        <f t="shared" si="106"/>
        <v>-2.5000000000000001E-3</v>
      </c>
      <c r="Q25" s="2924"/>
      <c r="R25" s="2927">
        <v>1</v>
      </c>
      <c r="S25" s="2927">
        <v>1</v>
      </c>
      <c r="T25" s="2927">
        <v>1</v>
      </c>
      <c r="U25" s="2927">
        <v>1</v>
      </c>
      <c r="V25" s="3175">
        <v>1</v>
      </c>
      <c r="W25" s="2927">
        <f t="shared" ref="W25" si="112">T25</f>
        <v>1</v>
      </c>
      <c r="X25" s="2924"/>
      <c r="Y25" s="2926">
        <f>IF(D25=0,0,ROUND(AVERAGE(D25:D25)/100,4))</f>
        <v>9.7000000000000003E-3</v>
      </c>
      <c r="Z25" s="2926">
        <f>IF(E25=0,0,ROUND(AVERAGE(E25:E25)/100,4))</f>
        <v>1.6000000000000001E-3</v>
      </c>
      <c r="AA25" s="2926">
        <f>IF(F25=0,0,ROUND(AVERAGE(F25:F25)/100,4))</f>
        <v>-2.5000000000000001E-3</v>
      </c>
      <c r="AB25" s="2926">
        <f>IF(G25=0,0,ROUND(AVERAGE(G25:G25)/100,4))</f>
        <v>1.11E-2</v>
      </c>
      <c r="AC25" s="2926">
        <f>IF(H25=0,0,ROUND(AVERAGE(H25:H25)/100,4))</f>
        <v>3.5999999999999999E-3</v>
      </c>
      <c r="AD25" s="2926">
        <f>AA25</f>
        <v>-2.5000000000000001E-3</v>
      </c>
      <c r="AF25" s="3161">
        <v>100</v>
      </c>
      <c r="AG25" s="3161">
        <v>100</v>
      </c>
      <c r="AH25" s="3161">
        <v>100</v>
      </c>
      <c r="AI25" s="3161">
        <v>100</v>
      </c>
      <c r="AJ25" s="3161">
        <v>100</v>
      </c>
      <c r="AK25" s="3161">
        <v>100</v>
      </c>
      <c r="AM25" s="3160">
        <f t="shared" si="46"/>
        <v>94.969194779895503</v>
      </c>
      <c r="AN25" s="3160">
        <f t="shared" si="47"/>
        <v>97.540025216173049</v>
      </c>
      <c r="AO25" s="3160">
        <f t="shared" si="61"/>
        <v>102.78968085474786</v>
      </c>
      <c r="AP25" s="3160">
        <f t="shared" si="62"/>
        <v>93.922516819686777</v>
      </c>
      <c r="AQ25" s="3160">
        <f t="shared" si="48"/>
        <v>91.970024514624654</v>
      </c>
      <c r="AR25" s="3160">
        <f t="shared" si="49"/>
        <v>102.78968085474786</v>
      </c>
    </row>
    <row r="26" spans="1:44" ht="14.25" thickTop="1"/>
    <row r="27" spans="1:44">
      <c r="A27" s="3143" t="s">
        <v>3379</v>
      </c>
    </row>
    <row r="28" spans="1:44">
      <c r="I28" s="1405" t="s">
        <v>2825</v>
      </c>
    </row>
    <row r="30" spans="1:44" s="2009" customFormat="1" ht="12.75">
      <c r="B30" s="2929" t="s">
        <v>3377</v>
      </c>
      <c r="C30" s="2930"/>
      <c r="D30" s="2930"/>
      <c r="E30" s="2930"/>
      <c r="F30" s="2930"/>
      <c r="G30" s="2930"/>
      <c r="H30" s="2930"/>
      <c r="I30" s="2930"/>
      <c r="J30" s="2897"/>
      <c r="K30" s="2930" t="s">
        <v>2826</v>
      </c>
      <c r="L30" s="2930"/>
      <c r="M30" s="2930"/>
      <c r="N30" s="2930"/>
      <c r="O30" s="2930"/>
      <c r="P30" s="2930"/>
      <c r="Q30" s="2897"/>
      <c r="R30" s="3512" t="s">
        <v>2827</v>
      </c>
      <c r="S30" s="3513"/>
      <c r="T30" s="3513"/>
      <c r="U30" s="3513"/>
      <c r="V30" s="3513"/>
      <c r="W30" s="3513"/>
      <c r="X30" s="2897"/>
      <c r="Y30" s="3512" t="s">
        <v>2828</v>
      </c>
      <c r="Z30" s="3513"/>
      <c r="AA30" s="3513"/>
      <c r="AB30" s="3513"/>
      <c r="AC30" s="3513"/>
      <c r="AD30" s="3513"/>
    </row>
    <row r="31" spans="1:44" s="2010" customFormat="1" ht="14.25" thickBot="1">
      <c r="B31" s="2882"/>
      <c r="C31" s="2883"/>
      <c r="D31" s="2011" t="s">
        <v>2829</v>
      </c>
      <c r="E31" s="2012" t="s">
        <v>2830</v>
      </c>
      <c r="F31" s="2012" t="s">
        <v>2831</v>
      </c>
      <c r="G31" s="2012" t="s">
        <v>2832</v>
      </c>
      <c r="H31" s="2012"/>
      <c r="I31" s="2012" t="s">
        <v>2833</v>
      </c>
      <c r="J31" s="2884"/>
      <c r="K31" s="2011" t="s">
        <v>2829</v>
      </c>
      <c r="L31" s="2012" t="s">
        <v>2830</v>
      </c>
      <c r="M31" s="2012" t="s">
        <v>2831</v>
      </c>
      <c r="N31" s="2012" t="s">
        <v>2832</v>
      </c>
      <c r="O31" s="2012"/>
      <c r="P31" s="2012" t="s">
        <v>2833</v>
      </c>
      <c r="Q31" s="2884"/>
      <c r="R31" s="2011" t="s">
        <v>2829</v>
      </c>
      <c r="S31" s="2012" t="s">
        <v>2830</v>
      </c>
      <c r="T31" s="2012" t="s">
        <v>2831</v>
      </c>
      <c r="U31" s="2012" t="s">
        <v>2832</v>
      </c>
      <c r="V31" s="3172"/>
      <c r="W31" s="2012" t="s">
        <v>2833</v>
      </c>
      <c r="X31" s="2884"/>
      <c r="Y31" s="2011" t="s">
        <v>2829</v>
      </c>
      <c r="Z31" s="2012" t="s">
        <v>2830</v>
      </c>
      <c r="AA31" s="2012" t="s">
        <v>2831</v>
      </c>
      <c r="AB31" s="2012" t="s">
        <v>2832</v>
      </c>
      <c r="AC31" s="2012"/>
      <c r="AD31" s="2012" t="s">
        <v>2833</v>
      </c>
      <c r="AG31" t="s">
        <v>673</v>
      </c>
      <c r="AH31" t="s">
        <v>21</v>
      </c>
      <c r="AI31" t="s">
        <v>3402</v>
      </c>
      <c r="AJ31"/>
      <c r="AK31" t="s">
        <v>3403</v>
      </c>
      <c r="AN31" t="s">
        <v>673</v>
      </c>
      <c r="AO31" t="s">
        <v>21</v>
      </c>
      <c r="AP31" t="s">
        <v>3402</v>
      </c>
      <c r="AQ31"/>
      <c r="AR31" t="s">
        <v>3403</v>
      </c>
    </row>
    <row r="32" spans="1:44" s="2887" customFormat="1" ht="12.75">
      <c r="A32" s="2885" t="s">
        <v>2834</v>
      </c>
      <c r="B32" s="2886"/>
      <c r="E32" s="2887">
        <f t="shared" ref="E32:G32" si="113">ROUND(AVERAGEIF(E33:E54,"&lt;&gt;0"),2)</f>
        <v>0.04</v>
      </c>
      <c r="F32" s="2887">
        <f t="shared" si="113"/>
        <v>-7.0000000000000007E-2</v>
      </c>
      <c r="G32" s="2887">
        <f t="shared" si="113"/>
        <v>0.2</v>
      </c>
      <c r="I32" s="2887">
        <f>F32</f>
        <v>-7.0000000000000007E-2</v>
      </c>
      <c r="J32" s="2888"/>
      <c r="K32" s="2889"/>
      <c r="L32" s="2890">
        <f t="shared" ref="L32:N32" si="114">ROUND(AVERAGEIF(L33:L54,"&lt;&gt;0"),4)</f>
        <v>4.0000000000000002E-4</v>
      </c>
      <c r="M32" s="2890">
        <f t="shared" si="114"/>
        <v>-6.9999999999999999E-4</v>
      </c>
      <c r="N32" s="2890">
        <f t="shared" si="114"/>
        <v>2E-3</v>
      </c>
      <c r="O32" s="2890"/>
      <c r="P32" s="2890">
        <f>M32</f>
        <v>-6.9999999999999999E-4</v>
      </c>
      <c r="Q32" s="2888"/>
      <c r="R32" s="2891"/>
      <c r="S32" s="2892">
        <f>ROUND(SUMPRODUCT(PRODUCT(1+L33:L54)),4)</f>
        <v>1.0072000000000001</v>
      </c>
      <c r="T32" s="2892">
        <f t="shared" ref="T32:U32" si="115">ROUND(SUMPRODUCT(PRODUCT(1+M33:M54)),4)</f>
        <v>0.98699999999999999</v>
      </c>
      <c r="U32" s="2892">
        <f t="shared" si="115"/>
        <v>1.0375000000000001</v>
      </c>
      <c r="V32" s="3173"/>
      <c r="W32" s="2891">
        <f>T32</f>
        <v>0.98699999999999999</v>
      </c>
      <c r="X32" s="2888"/>
      <c r="Y32" s="2893"/>
      <c r="Z32" s="2894">
        <f t="shared" ref="Z32:AB32" si="116">ROUND(AVERAGEIF(Z33:Z54,"&lt;&gt;0"),4)</f>
        <v>2.8999999999999998E-3</v>
      </c>
      <c r="AA32" s="2895">
        <f t="shared" si="116"/>
        <v>2.3E-3</v>
      </c>
      <c r="AB32" s="2893">
        <f t="shared" si="116"/>
        <v>6.0000000000000001E-3</v>
      </c>
      <c r="AC32" s="2896"/>
      <c r="AD32" s="2893">
        <f>AA32</f>
        <v>2.3E-3</v>
      </c>
    </row>
    <row r="33" spans="1:44" s="2009" customFormat="1" ht="12.75">
      <c r="B33" s="2025"/>
      <c r="J33" s="2897"/>
      <c r="K33" s="2898"/>
      <c r="L33" s="2899"/>
      <c r="M33" s="2899"/>
      <c r="N33" s="2899"/>
      <c r="O33" s="2899"/>
      <c r="P33" s="2899"/>
      <c r="Q33" s="2897"/>
      <c r="R33" s="2027"/>
      <c r="S33" s="2900"/>
      <c r="T33" s="2901"/>
      <c r="U33" s="2027"/>
      <c r="V33" s="3174"/>
      <c r="W33" s="2027"/>
      <c r="X33" s="2897"/>
      <c r="Y33" s="2028"/>
      <c r="Z33" s="2902"/>
      <c r="AA33" s="2903"/>
      <c r="AB33" s="2028"/>
      <c r="AC33" s="2904"/>
      <c r="AD33" s="2028"/>
    </row>
    <row r="34" spans="1:44" s="2045" customFormat="1">
      <c r="A34" s="2040" t="s">
        <v>3466</v>
      </c>
      <c r="B34" s="2031"/>
      <c r="C34" s="2042"/>
      <c r="D34" s="2007"/>
      <c r="E34" s="2007"/>
      <c r="F34" s="2007"/>
      <c r="G34" s="2007"/>
      <c r="H34" s="2007"/>
      <c r="I34" s="2008"/>
      <c r="J34" s="2906"/>
      <c r="K34" s="2043"/>
      <c r="L34" s="2028"/>
      <c r="M34" s="2028"/>
      <c r="N34" s="2028"/>
      <c r="O34" s="2028"/>
      <c r="P34" s="2028"/>
      <c r="Q34" s="2906"/>
      <c r="R34" s="2027"/>
      <c r="S34" s="2027"/>
      <c r="T34" s="2027"/>
      <c r="U34" s="2027"/>
      <c r="V34" s="2119"/>
      <c r="W34" s="2027"/>
      <c r="X34" s="2906"/>
      <c r="Y34" s="2028"/>
      <c r="Z34" s="2902"/>
      <c r="AA34" s="2902"/>
      <c r="AB34" s="2902"/>
      <c r="AC34" s="2904"/>
      <c r="AD34" s="2028"/>
      <c r="AG34" s="3153"/>
      <c r="AH34" s="3153"/>
      <c r="AI34" s="3153"/>
      <c r="AJ34" s="3155"/>
      <c r="AK34" s="3153"/>
      <c r="AN34" s="3158"/>
      <c r="AO34" s="3158"/>
      <c r="AP34" s="3158"/>
      <c r="AQ34" s="3158"/>
      <c r="AR34" s="3158"/>
    </row>
    <row r="35" spans="1:44" s="2045" customFormat="1">
      <c r="A35" s="2040" t="s">
        <v>3400</v>
      </c>
      <c r="B35" s="2031">
        <v>2025</v>
      </c>
      <c r="C35" s="2042">
        <v>4</v>
      </c>
      <c r="D35" s="2007"/>
      <c r="E35" s="2007">
        <v>0</v>
      </c>
      <c r="F35" s="2007">
        <v>0</v>
      </c>
      <c r="G35" s="2007">
        <v>0</v>
      </c>
      <c r="H35" s="2007"/>
      <c r="I35" s="2008">
        <f t="shared" ref="I35" si="117">F35</f>
        <v>0</v>
      </c>
      <c r="J35" s="2906"/>
      <c r="K35" s="2043"/>
      <c r="L35" s="2028">
        <f t="shared" ref="L35" si="118">E35/100</f>
        <v>0</v>
      </c>
      <c r="M35" s="2028">
        <f t="shared" ref="M35" si="119">F35/100</f>
        <v>0</v>
      </c>
      <c r="N35" s="2028">
        <f t="shared" ref="N35" si="120">G35/100</f>
        <v>0</v>
      </c>
      <c r="O35" s="2028"/>
      <c r="P35" s="2028">
        <f t="shared" ref="P35:P41" si="121">M35</f>
        <v>0</v>
      </c>
      <c r="Q35" s="2906"/>
      <c r="R35" s="2027"/>
      <c r="S35" s="2027">
        <f>ROUND(IF(项目基本情况!$B$8="出让",SUMPRODUCT(PRODUCT(1+L35:L$54)),SUMPRODUCT(PRODUCT(1+L35:L$53))),4)</f>
        <v>1.0037</v>
      </c>
      <c r="T35" s="2027">
        <f>ROUND(IF(项目基本情况!$B$8="出让",SUMPRODUCT(PRODUCT(1+M35:M$54)),SUMPRODUCT(PRODUCT(1+M35:M$53))),4)</f>
        <v>0.98229999999999995</v>
      </c>
      <c r="U35" s="2027">
        <f>ROUND(IF(项目基本情况!$B$8="出让",SUMPRODUCT(PRODUCT(1+N35:N$54)),SUMPRODUCT(PRODUCT(1+N35:N$53))),4)</f>
        <v>1.0274000000000001</v>
      </c>
      <c r="V35" s="2119"/>
      <c r="W35" s="2027">
        <f t="shared" ref="W35:W41" si="122">T35</f>
        <v>0.98229999999999995</v>
      </c>
      <c r="X35" s="2906"/>
      <c r="Y35" s="2028"/>
      <c r="Z35" s="2902">
        <f t="shared" ref="Z35" si="123">IF(E35=0,0,ROUND(AVERAGE(E35:E48)/100,4))</f>
        <v>0</v>
      </c>
      <c r="AA35" s="2902">
        <f t="shared" ref="AA35" si="124">IF(F35=0,0,ROUND(AVERAGE(F35:F48)/100,4))</f>
        <v>0</v>
      </c>
      <c r="AB35" s="2902">
        <f t="shared" ref="AB35" si="125">IF(G35=0,0,ROUND(AVERAGE(G35:G48)/100,4))</f>
        <v>0</v>
      </c>
      <c r="AC35" s="2904"/>
      <c r="AD35" s="2028">
        <f t="shared" ref="AD35:AD41" si="126">IF(I35=0,0,ROUND(AVERAGE(I35:I48)/100,4))</f>
        <v>0</v>
      </c>
      <c r="AG35" s="3153">
        <f t="shared" ref="AG35:AG52" si="127">$AG$54*S35</f>
        <v>100.37</v>
      </c>
      <c r="AH35" s="3153">
        <f t="shared" ref="AH35:AH52" si="128">$AG$54*T35</f>
        <v>98.22999999999999</v>
      </c>
      <c r="AI35" s="3153">
        <f t="shared" ref="AI35:AI52" si="129">$AG$54*U35</f>
        <v>102.74000000000001</v>
      </c>
      <c r="AJ35" s="3155"/>
      <c r="AK35" s="3153">
        <f t="shared" ref="AK35:AK52" si="130">$AG$54*W35</f>
        <v>98.22999999999999</v>
      </c>
      <c r="AN35" s="3158">
        <v>100</v>
      </c>
      <c r="AO35" s="3158">
        <v>100</v>
      </c>
      <c r="AP35" s="3158">
        <v>100</v>
      </c>
      <c r="AQ35" s="3158"/>
      <c r="AR35" s="3158">
        <v>100</v>
      </c>
    </row>
    <row r="36" spans="1:44" s="2916" customFormat="1" ht="12.75">
      <c r="A36" s="2907" t="s">
        <v>3416</v>
      </c>
      <c r="B36" s="2908">
        <v>2025</v>
      </c>
      <c r="C36" s="2909">
        <v>3</v>
      </c>
      <c r="D36" s="2910"/>
      <c r="E36" s="2910">
        <v>-0.8</v>
      </c>
      <c r="F36" s="2910">
        <v>-1.45</v>
      </c>
      <c r="G36" s="2910">
        <v>-0.62</v>
      </c>
      <c r="H36" s="2911"/>
      <c r="I36" s="2912">
        <f t="shared" ref="I36" si="131">F36</f>
        <v>-1.45</v>
      </c>
      <c r="J36" s="2913"/>
      <c r="K36" s="2914"/>
      <c r="L36" s="2915">
        <f t="shared" ref="L36" si="132">E36/100</f>
        <v>-8.0000000000000002E-3</v>
      </c>
      <c r="M36" s="2915">
        <f t="shared" ref="M36" si="133">F36/100</f>
        <v>-1.4499999999999999E-2</v>
      </c>
      <c r="N36" s="2915">
        <f t="shared" ref="N36" si="134">G36/100</f>
        <v>-6.1999999999999998E-3</v>
      </c>
      <c r="O36" s="2915"/>
      <c r="P36" s="2915">
        <f t="shared" si="121"/>
        <v>-1.4499999999999999E-2</v>
      </c>
      <c r="Q36" s="2913"/>
      <c r="R36" s="2913"/>
      <c r="S36" s="2913">
        <f>ROUND(IF(项目基本情况!$B$8="出让",SUMPRODUCT(PRODUCT(1+L36:L$54)),SUMPRODUCT(PRODUCT(1+L36:L$53))),4)</f>
        <v>1.0037</v>
      </c>
      <c r="T36" s="2913">
        <f>ROUND(IF(项目基本情况!$B$8="出让",SUMPRODUCT(PRODUCT(1+M36:M$54)),SUMPRODUCT(PRODUCT(1+M36:M$53))),4)</f>
        <v>0.98229999999999995</v>
      </c>
      <c r="U36" s="2913">
        <f>ROUND(IF(项目基本情况!$B$8="出让",SUMPRODUCT(PRODUCT(1+N36:N$54)),SUMPRODUCT(PRODUCT(1+N36:N$53))),4)</f>
        <v>1.0274000000000001</v>
      </c>
      <c r="V36" s="3176"/>
      <c r="W36" s="2913">
        <f t="shared" si="122"/>
        <v>0.98229999999999995</v>
      </c>
      <c r="X36" s="2913"/>
      <c r="Y36" s="2915"/>
      <c r="Z36" s="2931">
        <f t="shared" ref="Z36" si="135">IF(E36=0,0,ROUND(AVERAGE(E36:E49)/100,4))</f>
        <v>-1.2999999999999999E-3</v>
      </c>
      <c r="AA36" s="2932">
        <f t="shared" ref="AA36" si="136">IF(F36=0,0,ROUND(AVERAGE(F36:F49)/100,4))</f>
        <v>-2.2000000000000001E-3</v>
      </c>
      <c r="AB36" s="2915">
        <f t="shared" ref="AB36" si="137">IF(G36=0,0,ROUND(AVERAGE(G36:G49)/100,4))</f>
        <v>-2.9999999999999997E-4</v>
      </c>
      <c r="AC36" s="2933"/>
      <c r="AD36" s="2915">
        <f t="shared" si="126"/>
        <v>-2.2000000000000001E-3</v>
      </c>
      <c r="AG36" s="3154">
        <f t="shared" si="127"/>
        <v>100.37</v>
      </c>
      <c r="AH36" s="3154">
        <f t="shared" si="128"/>
        <v>98.22999999999999</v>
      </c>
      <c r="AI36" s="3154">
        <f t="shared" si="129"/>
        <v>102.74000000000001</v>
      </c>
      <c r="AJ36" s="3156"/>
      <c r="AK36" s="3154">
        <f t="shared" si="130"/>
        <v>98.22999999999999</v>
      </c>
      <c r="AN36" s="3154">
        <f>AN35/(1+E35/100)</f>
        <v>100</v>
      </c>
      <c r="AO36" s="3154">
        <f t="shared" ref="AO36:AR36" si="138">AO35/(1+F35/100)</f>
        <v>100</v>
      </c>
      <c r="AP36" s="3154">
        <f t="shared" si="138"/>
        <v>100</v>
      </c>
      <c r="AQ36" s="3154"/>
      <c r="AR36" s="3154">
        <f t="shared" si="138"/>
        <v>100</v>
      </c>
    </row>
    <row r="37" spans="1:44" s="2045" customFormat="1" ht="12.75">
      <c r="A37" s="2040" t="s">
        <v>3415</v>
      </c>
      <c r="B37" s="2031">
        <v>2025</v>
      </c>
      <c r="C37" s="2042">
        <v>2</v>
      </c>
      <c r="D37" s="2007"/>
      <c r="E37" s="2007">
        <v>-0.31</v>
      </c>
      <c r="F37" s="2007">
        <v>-1.03</v>
      </c>
      <c r="G37" s="2007">
        <v>0.03</v>
      </c>
      <c r="H37" s="2007"/>
      <c r="I37" s="2008">
        <f t="shared" ref="I37" si="139">F37</f>
        <v>-1.03</v>
      </c>
      <c r="J37" s="2906"/>
      <c r="K37" s="2043"/>
      <c r="L37" s="2028">
        <f t="shared" ref="L37" si="140">E37/100</f>
        <v>-3.0999999999999999E-3</v>
      </c>
      <c r="M37" s="2028">
        <f t="shared" ref="M37" si="141">F37/100</f>
        <v>-1.03E-2</v>
      </c>
      <c r="N37" s="2028">
        <f t="shared" ref="N37" si="142">G37/100</f>
        <v>2.9999999999999997E-4</v>
      </c>
      <c r="O37" s="2028"/>
      <c r="P37" s="2028">
        <f t="shared" si="121"/>
        <v>-1.03E-2</v>
      </c>
      <c r="Q37" s="2906"/>
      <c r="R37" s="2027"/>
      <c r="S37" s="2027">
        <f>ROUND(IF(项目基本情况!$B$8="出让",SUMPRODUCT(PRODUCT(1+L37:L$54)),SUMPRODUCT(PRODUCT(1+L37:L$53))),4)</f>
        <v>1.0118</v>
      </c>
      <c r="T37" s="2027">
        <f>ROUND(IF(项目基本情况!$B$8="出让",SUMPRODUCT(PRODUCT(1+M37:M$54)),SUMPRODUCT(PRODUCT(1+M37:M$53))),4)</f>
        <v>0.99680000000000002</v>
      </c>
      <c r="U37" s="2027">
        <f>ROUND(IF(项目基本情况!$B$8="出让",SUMPRODUCT(PRODUCT(1+N37:N$54)),SUMPRODUCT(PRODUCT(1+N37:N$53))),4)</f>
        <v>1.0338000000000001</v>
      </c>
      <c r="V37" s="2119"/>
      <c r="W37" s="2027">
        <f t="shared" si="122"/>
        <v>0.99680000000000002</v>
      </c>
      <c r="X37" s="2906"/>
      <c r="Y37" s="2028"/>
      <c r="Z37" s="2902">
        <f t="shared" ref="Z37" si="143">IF(E37=0,0,ROUND(AVERAGE(E37:E50)/100,4))</f>
        <v>-2.9999999999999997E-4</v>
      </c>
      <c r="AA37" s="2902">
        <f t="shared" ref="AA37" si="144">IF(F37=0,0,ROUND(AVERAGE(F37:F50)/100,4))</f>
        <v>-8.0000000000000004E-4</v>
      </c>
      <c r="AB37" s="2902">
        <f t="shared" ref="AB37" si="145">IF(G37=0,0,ROUND(AVERAGE(G37:G50)/100,4))</f>
        <v>5.0000000000000001E-4</v>
      </c>
      <c r="AC37" s="2904"/>
      <c r="AD37" s="2028">
        <f t="shared" si="126"/>
        <v>-8.0000000000000004E-4</v>
      </c>
      <c r="AG37" s="3153">
        <f t="shared" si="127"/>
        <v>101.18</v>
      </c>
      <c r="AH37" s="3153">
        <f t="shared" si="128"/>
        <v>99.68</v>
      </c>
      <c r="AI37" s="3153">
        <f t="shared" si="129"/>
        <v>103.38000000000001</v>
      </c>
      <c r="AJ37" s="3155"/>
      <c r="AK37" s="3153">
        <f t="shared" si="130"/>
        <v>99.68</v>
      </c>
      <c r="AN37" s="3153">
        <f t="shared" ref="AN37:AN54" si="146">AN36/(1+E36/100)</f>
        <v>100.80645161290323</v>
      </c>
      <c r="AO37" s="3153">
        <f t="shared" ref="AO37" si="147">AO36/(1+F36/100)</f>
        <v>101.47133434804667</v>
      </c>
      <c r="AP37" s="3153">
        <f t="shared" ref="AP37" si="148">AP36/(1+G36/100)</f>
        <v>100.6238679814852</v>
      </c>
      <c r="AQ37" s="3153"/>
      <c r="AR37" s="3153">
        <f t="shared" ref="AR37" si="149">AR36/(1+I36/100)</f>
        <v>101.47133434804667</v>
      </c>
    </row>
    <row r="38" spans="1:44" s="2045" customFormat="1" ht="12.75">
      <c r="A38" s="2040" t="s">
        <v>3404</v>
      </c>
      <c r="B38" s="2031">
        <v>2025</v>
      </c>
      <c r="C38" s="2042">
        <v>1</v>
      </c>
      <c r="D38" s="2007"/>
      <c r="E38" s="2007">
        <v>-1.47</v>
      </c>
      <c r="F38" s="2007">
        <v>-0.98</v>
      </c>
      <c r="G38" s="2007">
        <v>-0.51</v>
      </c>
      <c r="H38" s="2007"/>
      <c r="I38" s="2008">
        <f t="shared" ref="I38" si="150">F38</f>
        <v>-0.98</v>
      </c>
      <c r="J38" s="2906"/>
      <c r="K38" s="2043"/>
      <c r="L38" s="2028">
        <f t="shared" ref="L38" si="151">E38/100</f>
        <v>-1.47E-2</v>
      </c>
      <c r="M38" s="2028">
        <f t="shared" ref="M38" si="152">F38/100</f>
        <v>-9.7999999999999997E-3</v>
      </c>
      <c r="N38" s="2028">
        <f t="shared" ref="N38" si="153">G38/100</f>
        <v>-5.1000000000000004E-3</v>
      </c>
      <c r="O38" s="2028"/>
      <c r="P38" s="2028">
        <f t="shared" si="121"/>
        <v>-9.7999999999999997E-3</v>
      </c>
      <c r="Q38" s="2906"/>
      <c r="R38" s="2027"/>
      <c r="S38" s="2027">
        <f>ROUND(IF(项目基本情况!$B$8="出让",SUMPRODUCT(PRODUCT(1+L38:L$54)),SUMPRODUCT(PRODUCT(1+L38:L$53))),4)</f>
        <v>1.0148999999999999</v>
      </c>
      <c r="T38" s="2027">
        <f>ROUND(IF(项目基本情况!$B$8="出让",SUMPRODUCT(PRODUCT(1+M38:M$54)),SUMPRODUCT(PRODUCT(1+M38:M$53))),4)</f>
        <v>1.0072000000000001</v>
      </c>
      <c r="U38" s="2027">
        <f>ROUND(IF(项目基本情况!$B$8="出让",SUMPRODUCT(PRODUCT(1+N38:N$54)),SUMPRODUCT(PRODUCT(1+N38:N$53))),4)</f>
        <v>1.0335000000000001</v>
      </c>
      <c r="V38" s="2119"/>
      <c r="W38" s="2027">
        <f t="shared" si="122"/>
        <v>1.0072000000000001</v>
      </c>
      <c r="X38" s="2906"/>
      <c r="Y38" s="2028"/>
      <c r="Z38" s="2902">
        <f t="shared" ref="Z38" si="154">IF(E38=0,0,ROUND(AVERAGE(E38:E51)/100,4))</f>
        <v>4.0000000000000002E-4</v>
      </c>
      <c r="AA38" s="2902">
        <f t="shared" ref="AA38" si="155">IF(F38=0,0,ROUND(AVERAGE(F38:F51)/100,4))</f>
        <v>0</v>
      </c>
      <c r="AB38" s="2902">
        <f t="shared" ref="AB38" si="156">IF(G38=0,0,ROUND(AVERAGE(G38:G51)/100,4))</f>
        <v>1E-3</v>
      </c>
      <c r="AC38" s="2904"/>
      <c r="AD38" s="2028">
        <f t="shared" si="126"/>
        <v>0</v>
      </c>
      <c r="AG38" s="3153">
        <f t="shared" si="127"/>
        <v>101.49</v>
      </c>
      <c r="AH38" s="3153">
        <f t="shared" si="128"/>
        <v>100.72000000000001</v>
      </c>
      <c r="AI38" s="3153">
        <f t="shared" si="129"/>
        <v>103.35000000000001</v>
      </c>
      <c r="AJ38" s="3155"/>
      <c r="AK38" s="3153">
        <f t="shared" si="130"/>
        <v>100.72000000000001</v>
      </c>
      <c r="AN38" s="3153">
        <f t="shared" si="146"/>
        <v>101.11992337536687</v>
      </c>
      <c r="AO38" s="3153">
        <f t="shared" ref="AO38:AO54" si="157">AO37/(1+F37/100)</f>
        <v>102.52736622011383</v>
      </c>
      <c r="AP38" s="3153">
        <f t="shared" ref="AP38:AP54" si="158">AP37/(1+G37/100)</f>
        <v>100.59368987452285</v>
      </c>
      <c r="AQ38" s="3153"/>
      <c r="AR38" s="3153">
        <f t="shared" ref="AR38:AR54" si="159">AR37/(1+I37/100)</f>
        <v>102.52736622011383</v>
      </c>
    </row>
    <row r="39" spans="1:44" s="2045" customFormat="1" ht="12.75">
      <c r="A39" s="2040" t="s">
        <v>3405</v>
      </c>
      <c r="B39" s="2031">
        <v>2024</v>
      </c>
      <c r="C39" s="2042">
        <v>4</v>
      </c>
      <c r="D39" s="2007"/>
      <c r="E39" s="2007">
        <v>-0.61</v>
      </c>
      <c r="F39" s="2007">
        <v>-0.71</v>
      </c>
      <c r="G39" s="2007">
        <v>-0.88</v>
      </c>
      <c r="H39" s="2007"/>
      <c r="I39" s="2008">
        <f t="shared" ref="I39" si="160">F39</f>
        <v>-0.71</v>
      </c>
      <c r="J39" s="2906"/>
      <c r="K39" s="2043"/>
      <c r="L39" s="2028">
        <f t="shared" ref="L39" si="161">E39/100</f>
        <v>-6.0999999999999995E-3</v>
      </c>
      <c r="M39" s="2028">
        <f t="shared" ref="M39" si="162">F39/100</f>
        <v>-7.0999999999999995E-3</v>
      </c>
      <c r="N39" s="2028">
        <f t="shared" ref="N39" si="163">G39/100</f>
        <v>-8.8000000000000005E-3</v>
      </c>
      <c r="O39" s="2028"/>
      <c r="P39" s="2028">
        <f t="shared" si="121"/>
        <v>-7.0999999999999995E-3</v>
      </c>
      <c r="Q39" s="2906"/>
      <c r="R39" s="2027"/>
      <c r="S39" s="2027">
        <f>ROUND(IF(项目基本情况!$B$8="出让",SUMPRODUCT(PRODUCT(1+L39:L$54)),SUMPRODUCT(PRODUCT(1+L39:L$53))),4)</f>
        <v>1.0301</v>
      </c>
      <c r="T39" s="2027">
        <f>ROUND(IF(项目基本情况!$B$8="出让",SUMPRODUCT(PRODUCT(1+M39:M$54)),SUMPRODUCT(PRODUCT(1+M39:M$53))),4)</f>
        <v>1.0170999999999999</v>
      </c>
      <c r="U39" s="2027">
        <f>ROUND(IF(项目基本情况!$B$8="出让",SUMPRODUCT(PRODUCT(1+N39:N$54)),SUMPRODUCT(PRODUCT(1+N39:N$53))),4)</f>
        <v>1.0387999999999999</v>
      </c>
      <c r="V39" s="2119"/>
      <c r="W39" s="2027">
        <f t="shared" si="122"/>
        <v>1.0170999999999999</v>
      </c>
      <c r="X39" s="2906"/>
      <c r="Y39" s="2028"/>
      <c r="Z39" s="2902">
        <f t="shared" ref="Z39" si="164">IF(E39=0,0,ROUND(AVERAGE(E39:E52)/100,4))</f>
        <v>1.6999999999999999E-3</v>
      </c>
      <c r="AA39" s="2902">
        <f t="shared" ref="AA39" si="165">IF(F39=0,0,ROUND(AVERAGE(F39:F52)/100,4))</f>
        <v>8.9999999999999998E-4</v>
      </c>
      <c r="AB39" s="2902">
        <f t="shared" ref="AB39" si="166">IF(G39=0,0,ROUND(AVERAGE(G39:G52)/100,4))</f>
        <v>2E-3</v>
      </c>
      <c r="AC39" s="2904"/>
      <c r="AD39" s="2028">
        <f t="shared" si="126"/>
        <v>8.9999999999999998E-4</v>
      </c>
      <c r="AG39" s="3153">
        <f t="shared" si="127"/>
        <v>103.01</v>
      </c>
      <c r="AH39" s="3153">
        <f t="shared" si="128"/>
        <v>101.71</v>
      </c>
      <c r="AI39" s="3153">
        <f t="shared" si="129"/>
        <v>103.88</v>
      </c>
      <c r="AJ39" s="3155"/>
      <c r="AK39" s="3153">
        <f t="shared" si="130"/>
        <v>101.71</v>
      </c>
      <c r="AN39" s="3153">
        <f t="shared" si="146"/>
        <v>102.62856325521858</v>
      </c>
      <c r="AO39" s="3153">
        <f t="shared" si="157"/>
        <v>103.54207859029877</v>
      </c>
      <c r="AP39" s="3153">
        <f t="shared" si="158"/>
        <v>101.10934754701262</v>
      </c>
      <c r="AQ39" s="3153"/>
      <c r="AR39" s="3153">
        <f t="shared" si="159"/>
        <v>103.54207859029877</v>
      </c>
    </row>
    <row r="40" spans="1:44" s="2045" customFormat="1" ht="12.75">
      <c r="A40" s="2040" t="s">
        <v>3371</v>
      </c>
      <c r="B40" s="2031">
        <v>2024</v>
      </c>
      <c r="C40" s="2042">
        <v>3</v>
      </c>
      <c r="D40" s="2007"/>
      <c r="E40" s="2007">
        <v>-0.66</v>
      </c>
      <c r="F40" s="2007">
        <v>-0.52</v>
      </c>
      <c r="G40" s="2007">
        <v>-2.87</v>
      </c>
      <c r="H40" s="2007"/>
      <c r="I40" s="2008">
        <f t="shared" ref="I40" si="167">F40</f>
        <v>-0.52</v>
      </c>
      <c r="J40" s="2906"/>
      <c r="K40" s="2043"/>
      <c r="L40" s="2028">
        <f t="shared" ref="L40" si="168">E40/100</f>
        <v>-6.6E-3</v>
      </c>
      <c r="M40" s="2028">
        <f t="shared" ref="M40" si="169">F40/100</f>
        <v>-5.1999999999999998E-3</v>
      </c>
      <c r="N40" s="2028">
        <f t="shared" ref="N40" si="170">G40/100</f>
        <v>-2.87E-2</v>
      </c>
      <c r="O40" s="2028"/>
      <c r="P40" s="2028">
        <f t="shared" si="121"/>
        <v>-5.1999999999999998E-3</v>
      </c>
      <c r="Q40" s="2906"/>
      <c r="R40" s="2027"/>
      <c r="S40" s="2027">
        <f>ROUND(IF(项目基本情况!$B$8="出让",SUMPRODUCT(PRODUCT(1+L40:L$54)),SUMPRODUCT(PRODUCT(1+L40:L$53))),4)</f>
        <v>1.0364</v>
      </c>
      <c r="T40" s="2027">
        <f>ROUND(IF(项目基本情况!$B$8="出让",SUMPRODUCT(PRODUCT(1+M40:M$54)),SUMPRODUCT(PRODUCT(1+M40:M$53))),4)</f>
        <v>1.0244</v>
      </c>
      <c r="U40" s="2027">
        <f>ROUND(IF(项目基本情况!$B$8="出让",SUMPRODUCT(PRODUCT(1+N40:N$54)),SUMPRODUCT(PRODUCT(1+N40:N$53))),4)</f>
        <v>1.048</v>
      </c>
      <c r="V40" s="2119"/>
      <c r="W40" s="2027">
        <f t="shared" si="122"/>
        <v>1.0244</v>
      </c>
      <c r="X40" s="2906"/>
      <c r="Y40" s="2028"/>
      <c r="Z40" s="2902">
        <f t="shared" ref="Z40:AB41" si="171">IF(E40=0,0,ROUND(AVERAGE(E40:E53)/100,4))</f>
        <v>2.5999999999999999E-3</v>
      </c>
      <c r="AA40" s="2902">
        <f t="shared" si="171"/>
        <v>1.6999999999999999E-3</v>
      </c>
      <c r="AB40" s="2902">
        <f t="shared" si="171"/>
        <v>3.3999999999999998E-3</v>
      </c>
      <c r="AC40" s="2904"/>
      <c r="AD40" s="2028">
        <f t="shared" si="126"/>
        <v>1.6999999999999999E-3</v>
      </c>
      <c r="AG40" s="3153">
        <f t="shared" si="127"/>
        <v>103.64</v>
      </c>
      <c r="AH40" s="3153">
        <f t="shared" si="128"/>
        <v>102.44</v>
      </c>
      <c r="AI40" s="3153">
        <f t="shared" si="129"/>
        <v>104.80000000000001</v>
      </c>
      <c r="AJ40" s="3155"/>
      <c r="AK40" s="3153">
        <f t="shared" si="130"/>
        <v>102.44</v>
      </c>
      <c r="AN40" s="3153">
        <f t="shared" si="146"/>
        <v>103.25843973761805</v>
      </c>
      <c r="AO40" s="3153">
        <f t="shared" si="157"/>
        <v>104.28248422831984</v>
      </c>
      <c r="AP40" s="3153">
        <f t="shared" si="158"/>
        <v>102.00700922822097</v>
      </c>
      <c r="AQ40" s="3153"/>
      <c r="AR40" s="3153">
        <f t="shared" si="159"/>
        <v>104.28248422831984</v>
      </c>
    </row>
    <row r="41" spans="1:44" s="2045" customFormat="1" ht="12.75">
      <c r="A41" s="2905" t="s">
        <v>3375</v>
      </c>
      <c r="B41" s="2031">
        <v>2024</v>
      </c>
      <c r="C41" s="2042">
        <v>2</v>
      </c>
      <c r="D41" s="2007"/>
      <c r="E41" s="2007">
        <v>-0.31</v>
      </c>
      <c r="F41" s="2007">
        <v>-0.39</v>
      </c>
      <c r="G41" s="2007">
        <v>1.23</v>
      </c>
      <c r="H41" s="2917"/>
      <c r="I41" s="2008">
        <f t="shared" ref="I41:I54" si="172">F41</f>
        <v>-0.39</v>
      </c>
      <c r="J41" s="2906"/>
      <c r="K41" s="2043"/>
      <c r="L41" s="2028">
        <f t="shared" ref="L41:N54" si="173">E41/100</f>
        <v>-3.0999999999999999E-3</v>
      </c>
      <c r="M41" s="2028">
        <f t="shared" si="173"/>
        <v>-3.9000000000000003E-3</v>
      </c>
      <c r="N41" s="2028">
        <f t="shared" si="173"/>
        <v>1.23E-2</v>
      </c>
      <c r="O41" s="2028"/>
      <c r="P41" s="2028">
        <f t="shared" si="121"/>
        <v>-3.9000000000000003E-3</v>
      </c>
      <c r="Q41" s="2906"/>
      <c r="R41" s="2027"/>
      <c r="S41" s="2027">
        <f>ROUND(IF(项目基本情况!$B$8="出让",SUMPRODUCT(PRODUCT(1+L41:L$54)),SUMPRODUCT(PRODUCT(1+L41:L$53))),4)</f>
        <v>1.0432999999999999</v>
      </c>
      <c r="T41" s="2027">
        <f>ROUND(IF(项目基本情况!$B$8="出让",SUMPRODUCT(PRODUCT(1+M41:M$54)),SUMPRODUCT(PRODUCT(1+M41:M$53))),4)</f>
        <v>1.0298</v>
      </c>
      <c r="U41" s="2027">
        <f>ROUND(IF(项目基本情况!$B$8="出让",SUMPRODUCT(PRODUCT(1+N41:N$54)),SUMPRODUCT(PRODUCT(1+N41:N$53))),4)</f>
        <v>1.079</v>
      </c>
      <c r="V41" s="2119"/>
      <c r="W41" s="2027">
        <f t="shared" si="122"/>
        <v>1.0298</v>
      </c>
      <c r="X41" s="2906"/>
      <c r="Y41" s="2028"/>
      <c r="Z41" s="2902">
        <f t="shared" si="171"/>
        <v>3.3E-3</v>
      </c>
      <c r="AA41" s="2903">
        <f t="shared" si="171"/>
        <v>2.3999999999999998E-3</v>
      </c>
      <c r="AB41" s="2028">
        <f t="shared" si="171"/>
        <v>6.1999999999999998E-3</v>
      </c>
      <c r="AC41" s="2904"/>
      <c r="AD41" s="2028">
        <f t="shared" si="126"/>
        <v>2.3999999999999998E-3</v>
      </c>
      <c r="AG41" s="3153">
        <f t="shared" si="127"/>
        <v>104.32999999999998</v>
      </c>
      <c r="AH41" s="3153">
        <f t="shared" si="128"/>
        <v>102.98</v>
      </c>
      <c r="AI41" s="3153">
        <f t="shared" si="129"/>
        <v>107.89999999999999</v>
      </c>
      <c r="AJ41" s="3155"/>
      <c r="AK41" s="3153">
        <f t="shared" si="130"/>
        <v>102.98</v>
      </c>
      <c r="AN41" s="3153">
        <f t="shared" si="146"/>
        <v>103.94447326114158</v>
      </c>
      <c r="AO41" s="3153">
        <f t="shared" si="157"/>
        <v>104.82758768427809</v>
      </c>
      <c r="AP41" s="3153">
        <f t="shared" si="158"/>
        <v>105.02111523547921</v>
      </c>
      <c r="AQ41" s="3153"/>
      <c r="AR41" s="3153">
        <f t="shared" si="159"/>
        <v>104.82758768427809</v>
      </c>
    </row>
    <row r="42" spans="1:44" s="2045" customFormat="1" ht="12.75">
      <c r="A42" s="2905" t="s">
        <v>3372</v>
      </c>
      <c r="B42" s="2031">
        <v>2024</v>
      </c>
      <c r="C42" s="2042">
        <v>1</v>
      </c>
      <c r="D42" s="2007"/>
      <c r="E42" s="2007">
        <v>0.25</v>
      </c>
      <c r="F42" s="2007">
        <v>0.4</v>
      </c>
      <c r="G42" s="2007">
        <v>-0.63</v>
      </c>
      <c r="H42" s="2917"/>
      <c r="I42" s="2008">
        <f t="shared" ref="I42:I43" si="174">F42</f>
        <v>0.4</v>
      </c>
      <c r="J42" s="2906"/>
      <c r="K42" s="2043"/>
      <c r="L42" s="2028">
        <f t="shared" ref="L42" si="175">E42/100</f>
        <v>2.5000000000000001E-3</v>
      </c>
      <c r="M42" s="2028">
        <f t="shared" ref="M42" si="176">F42/100</f>
        <v>4.0000000000000001E-3</v>
      </c>
      <c r="N42" s="2028">
        <f t="shared" ref="N42" si="177">G42/100</f>
        <v>-6.3E-3</v>
      </c>
      <c r="O42" s="2028"/>
      <c r="P42" s="2028">
        <f t="shared" ref="P42" si="178">M42</f>
        <v>4.0000000000000001E-3</v>
      </c>
      <c r="Q42" s="2906"/>
      <c r="R42" s="2027"/>
      <c r="S42" s="2027">
        <f>ROUND(IF(项目基本情况!$B$8="出让",SUMPRODUCT(PRODUCT(1+L42:L$54)),SUMPRODUCT(PRODUCT(1+L42:L$53))),4)</f>
        <v>1.0465</v>
      </c>
      <c r="T42" s="2027">
        <f>ROUND(IF(项目基本情况!$B$8="出让",SUMPRODUCT(PRODUCT(1+M42:M$54)),SUMPRODUCT(PRODUCT(1+M42:M$53))),4)</f>
        <v>1.0338000000000001</v>
      </c>
      <c r="U42" s="2027">
        <f>ROUND(IF(项目基本情况!$B$8="出让",SUMPRODUCT(PRODUCT(1+N42:N$54)),SUMPRODUCT(PRODUCT(1+N42:N$53))),4)</f>
        <v>1.0659000000000001</v>
      </c>
      <c r="V42" s="2119"/>
      <c r="W42" s="2027">
        <f t="shared" ref="W42" si="179">T42</f>
        <v>1.0338000000000001</v>
      </c>
      <c r="X42" s="2906"/>
      <c r="Y42" s="2028"/>
      <c r="Z42" s="2902"/>
      <c r="AA42" s="2903"/>
      <c r="AB42" s="2028"/>
      <c r="AC42" s="2904"/>
      <c r="AD42" s="2028"/>
      <c r="AG42" s="3153">
        <f t="shared" si="127"/>
        <v>104.65</v>
      </c>
      <c r="AH42" s="3153">
        <f t="shared" si="128"/>
        <v>103.38000000000001</v>
      </c>
      <c r="AI42" s="3153">
        <f t="shared" si="129"/>
        <v>106.59</v>
      </c>
      <c r="AJ42" s="3155"/>
      <c r="AK42" s="3153">
        <f t="shared" si="130"/>
        <v>103.38000000000001</v>
      </c>
      <c r="AN42" s="3153">
        <f t="shared" si="146"/>
        <v>104.2677031408783</v>
      </c>
      <c r="AO42" s="3153">
        <f t="shared" si="157"/>
        <v>105.23801594646932</v>
      </c>
      <c r="AP42" s="3153">
        <f t="shared" si="158"/>
        <v>103.74505110686478</v>
      </c>
      <c r="AQ42" s="3153"/>
      <c r="AR42" s="3153">
        <f t="shared" si="159"/>
        <v>105.23801594646932</v>
      </c>
    </row>
    <row r="43" spans="1:44" s="2045" customFormat="1" ht="12.75">
      <c r="A43" s="2905" t="s">
        <v>3370</v>
      </c>
      <c r="B43" s="2031">
        <v>2023</v>
      </c>
      <c r="C43" s="2042">
        <v>4</v>
      </c>
      <c r="D43" s="2007"/>
      <c r="E43" s="2007">
        <v>7.0000000000000007E-2</v>
      </c>
      <c r="F43" s="2007">
        <v>0.09</v>
      </c>
      <c r="G43" s="2007">
        <v>0.03</v>
      </c>
      <c r="H43" s="2917"/>
      <c r="I43" s="2008">
        <f t="shared" si="174"/>
        <v>0.09</v>
      </c>
      <c r="J43" s="2906"/>
      <c r="K43" s="2043"/>
      <c r="L43" s="2028">
        <f t="shared" si="173"/>
        <v>7.000000000000001E-4</v>
      </c>
      <c r="M43" s="2028">
        <f t="shared" si="173"/>
        <v>8.9999999999999998E-4</v>
      </c>
      <c r="N43" s="2028">
        <f t="shared" si="173"/>
        <v>2.9999999999999997E-4</v>
      </c>
      <c r="O43" s="2028"/>
      <c r="P43" s="2028">
        <f t="shared" ref="P43" si="180">M43</f>
        <v>8.9999999999999998E-4</v>
      </c>
      <c r="Q43" s="2906"/>
      <c r="R43" s="2027"/>
      <c r="S43" s="2027">
        <f>ROUND(IF(项目基本情况!$B$8="出让",SUMPRODUCT(PRODUCT(1+L43:L$54)),SUMPRODUCT(PRODUCT(1+L43:L$53))),4)</f>
        <v>1.0439000000000001</v>
      </c>
      <c r="T43" s="2027">
        <f>ROUND(IF(项目基本情况!$B$8="出让",SUMPRODUCT(PRODUCT(1+M43:M$54)),SUMPRODUCT(PRODUCT(1+M43:M$53))),4)</f>
        <v>1.0297000000000001</v>
      </c>
      <c r="U43" s="2027">
        <f>ROUND(IF(项目基本情况!$B$8="出让",SUMPRODUCT(PRODUCT(1+N43:N$54)),SUMPRODUCT(PRODUCT(1+N43:N$53))),4)</f>
        <v>1.0727</v>
      </c>
      <c r="V43" s="2119"/>
      <c r="W43" s="2027">
        <f t="shared" ref="W43" si="181">T43</f>
        <v>1.0297000000000001</v>
      </c>
      <c r="X43" s="2906"/>
      <c r="Y43" s="2028"/>
      <c r="Z43" s="2902"/>
      <c r="AA43" s="2903"/>
      <c r="AB43" s="2028"/>
      <c r="AC43" s="2904"/>
      <c r="AD43" s="2028"/>
      <c r="AG43" s="3153">
        <f t="shared" si="127"/>
        <v>104.39</v>
      </c>
      <c r="AH43" s="3153">
        <f t="shared" si="128"/>
        <v>102.97</v>
      </c>
      <c r="AI43" s="3153">
        <f t="shared" si="129"/>
        <v>107.27</v>
      </c>
      <c r="AJ43" s="3155"/>
      <c r="AK43" s="3153">
        <f t="shared" si="130"/>
        <v>102.97</v>
      </c>
      <c r="AN43" s="3153">
        <f t="shared" si="146"/>
        <v>104.00768393105068</v>
      </c>
      <c r="AO43" s="3153">
        <f t="shared" si="157"/>
        <v>104.81874098253915</v>
      </c>
      <c r="AP43" s="3153">
        <f t="shared" si="158"/>
        <v>104.40278867552055</v>
      </c>
      <c r="AQ43" s="3153"/>
      <c r="AR43" s="3153">
        <f t="shared" si="159"/>
        <v>104.81874098253915</v>
      </c>
    </row>
    <row r="44" spans="1:44" s="2045" customFormat="1" ht="12.75">
      <c r="A44" s="2905" t="s">
        <v>3368</v>
      </c>
      <c r="B44" s="2031">
        <v>2023</v>
      </c>
      <c r="C44" s="2042">
        <v>3</v>
      </c>
      <c r="D44" s="2007"/>
      <c r="E44" s="2007">
        <v>0.35</v>
      </c>
      <c r="F44" s="2007">
        <v>0.17</v>
      </c>
      <c r="G44" s="2007">
        <v>0.52</v>
      </c>
      <c r="H44" s="2917"/>
      <c r="I44" s="2008">
        <f t="shared" si="172"/>
        <v>0.17</v>
      </c>
      <c r="J44" s="2906"/>
      <c r="K44" s="2043"/>
      <c r="L44" s="2028">
        <f t="shared" ref="L44:L46" si="182">E44/100</f>
        <v>3.4999999999999996E-3</v>
      </c>
      <c r="M44" s="2028">
        <f t="shared" ref="M44:M46" si="183">F44/100</f>
        <v>1.7000000000000001E-3</v>
      </c>
      <c r="N44" s="2028">
        <f t="shared" ref="N44:N46" si="184">G44/100</f>
        <v>5.1999999999999998E-3</v>
      </c>
      <c r="O44" s="2028"/>
      <c r="P44" s="2028">
        <f t="shared" ref="P44:P46" si="185">M44</f>
        <v>1.7000000000000001E-3</v>
      </c>
      <c r="Q44" s="2906"/>
      <c r="R44" s="2027"/>
      <c r="S44" s="2027">
        <f>ROUND(IF(项目基本情况!$B$8="出让",SUMPRODUCT(PRODUCT(1+L44:L$54)),SUMPRODUCT(PRODUCT(1+L44:L$53))),4)</f>
        <v>1.0431999999999999</v>
      </c>
      <c r="T44" s="2027">
        <f>ROUND(IF(项目基本情况!$B$8="出让",SUMPRODUCT(PRODUCT(1+M44:M$54)),SUMPRODUCT(PRODUCT(1+M44:M$53))),4)</f>
        <v>1.0286999999999999</v>
      </c>
      <c r="U44" s="2027">
        <f>ROUND(IF(项目基本情况!$B$8="出让",SUMPRODUCT(PRODUCT(1+N44:N$54)),SUMPRODUCT(PRODUCT(1+N44:N$53))),4)</f>
        <v>1.0723</v>
      </c>
      <c r="V44" s="2119"/>
      <c r="W44" s="2027">
        <f t="shared" ref="W44:W46" si="186">T44</f>
        <v>1.0286999999999999</v>
      </c>
      <c r="X44" s="2906"/>
      <c r="Y44" s="2028"/>
      <c r="Z44" s="2902"/>
      <c r="AA44" s="2903"/>
      <c r="AB44" s="2028"/>
      <c r="AC44" s="2904"/>
      <c r="AD44" s="2028"/>
      <c r="AG44" s="3153">
        <f t="shared" si="127"/>
        <v>104.32</v>
      </c>
      <c r="AH44" s="3153">
        <f t="shared" si="128"/>
        <v>102.86999999999999</v>
      </c>
      <c r="AI44" s="3153">
        <f t="shared" si="129"/>
        <v>107.23</v>
      </c>
      <c r="AJ44" s="3155"/>
      <c r="AK44" s="3153">
        <f t="shared" si="130"/>
        <v>102.86999999999999</v>
      </c>
      <c r="AN44" s="3153">
        <f t="shared" si="146"/>
        <v>103.9349294804144</v>
      </c>
      <c r="AO44" s="3153">
        <f t="shared" si="157"/>
        <v>104.72448894249092</v>
      </c>
      <c r="AP44" s="3153">
        <f t="shared" si="158"/>
        <v>104.37147723235086</v>
      </c>
      <c r="AQ44" s="3153"/>
      <c r="AR44" s="3153">
        <f t="shared" si="159"/>
        <v>104.72448894249092</v>
      </c>
    </row>
    <row r="45" spans="1:44" s="2045" customFormat="1" ht="12.75">
      <c r="A45" s="2905" t="s">
        <v>3367</v>
      </c>
      <c r="B45" s="2031">
        <v>2023</v>
      </c>
      <c r="C45" s="2042">
        <v>2</v>
      </c>
      <c r="D45" s="2007"/>
      <c r="E45" s="2007">
        <v>0.5</v>
      </c>
      <c r="F45" s="2007">
        <v>0.45</v>
      </c>
      <c r="G45" s="2007">
        <v>0.89</v>
      </c>
      <c r="H45" s="2917"/>
      <c r="I45" s="2008">
        <f t="shared" si="172"/>
        <v>0.45</v>
      </c>
      <c r="J45" s="2906"/>
      <c r="K45" s="2043"/>
      <c r="L45" s="2028">
        <f t="shared" si="182"/>
        <v>5.0000000000000001E-3</v>
      </c>
      <c r="M45" s="2028">
        <f t="shared" si="183"/>
        <v>4.5000000000000005E-3</v>
      </c>
      <c r="N45" s="2028">
        <f t="shared" si="184"/>
        <v>8.8999999999999999E-3</v>
      </c>
      <c r="O45" s="2028"/>
      <c r="P45" s="2028">
        <f t="shared" si="185"/>
        <v>4.5000000000000005E-3</v>
      </c>
      <c r="Q45" s="2906"/>
      <c r="R45" s="2027"/>
      <c r="S45" s="2027">
        <f>ROUND(IF(项目基本情况!$B$8="出让",SUMPRODUCT(PRODUCT(1+L45:L$54)),SUMPRODUCT(PRODUCT(1+L45:L$53))),4)</f>
        <v>1.0396000000000001</v>
      </c>
      <c r="T45" s="2027">
        <f>ROUND(IF(项目基本情况!$B$8="出让",SUMPRODUCT(PRODUCT(1+M45:M$54)),SUMPRODUCT(PRODUCT(1+M45:M$53))),4)</f>
        <v>1.0269999999999999</v>
      </c>
      <c r="U45" s="2027">
        <f>ROUND(IF(项目基本情况!$B$8="出让",SUMPRODUCT(PRODUCT(1+N45:N$54)),SUMPRODUCT(PRODUCT(1+N45:N$53))),4)</f>
        <v>1.0668</v>
      </c>
      <c r="V45" s="2119"/>
      <c r="W45" s="2027">
        <f t="shared" si="186"/>
        <v>1.0269999999999999</v>
      </c>
      <c r="X45" s="2906"/>
      <c r="Y45" s="2028"/>
      <c r="Z45" s="2902"/>
      <c r="AA45" s="2903"/>
      <c r="AB45" s="2028"/>
      <c r="AC45" s="2904"/>
      <c r="AD45" s="2028"/>
      <c r="AG45" s="3153">
        <f t="shared" si="127"/>
        <v>103.96000000000001</v>
      </c>
      <c r="AH45" s="3153">
        <f t="shared" si="128"/>
        <v>102.69999999999999</v>
      </c>
      <c r="AI45" s="3153">
        <f t="shared" si="129"/>
        <v>106.67999999999999</v>
      </c>
      <c r="AJ45" s="3155"/>
      <c r="AK45" s="3153">
        <f t="shared" si="130"/>
        <v>102.69999999999999</v>
      </c>
      <c r="AN45" s="3153">
        <f t="shared" si="146"/>
        <v>103.5724259894513</v>
      </c>
      <c r="AO45" s="3153">
        <f t="shared" si="157"/>
        <v>104.5467594514235</v>
      </c>
      <c r="AP45" s="3153">
        <f t="shared" si="158"/>
        <v>103.83155315593996</v>
      </c>
      <c r="AQ45" s="3153"/>
      <c r="AR45" s="3153">
        <f t="shared" si="159"/>
        <v>104.5467594514235</v>
      </c>
    </row>
    <row r="46" spans="1:44" s="2045" customFormat="1" ht="12.75">
      <c r="A46" s="2905" t="s">
        <v>3365</v>
      </c>
      <c r="B46" s="2031">
        <v>2023</v>
      </c>
      <c r="C46" s="2042">
        <v>1</v>
      </c>
      <c r="D46" s="2007"/>
      <c r="E46" s="2007">
        <v>0.55000000000000004</v>
      </c>
      <c r="F46" s="2007">
        <v>0.59</v>
      </c>
      <c r="G46" s="2007">
        <v>0.64</v>
      </c>
      <c r="H46" s="2917"/>
      <c r="I46" s="2008">
        <f t="shared" si="172"/>
        <v>0.59</v>
      </c>
      <c r="J46" s="2906"/>
      <c r="K46" s="2043"/>
      <c r="L46" s="2028">
        <f t="shared" si="182"/>
        <v>5.5000000000000005E-3</v>
      </c>
      <c r="M46" s="2028">
        <f t="shared" si="183"/>
        <v>5.8999999999999999E-3</v>
      </c>
      <c r="N46" s="2028">
        <f t="shared" si="184"/>
        <v>6.4000000000000003E-3</v>
      </c>
      <c r="O46" s="2028"/>
      <c r="P46" s="2028">
        <f t="shared" si="185"/>
        <v>5.8999999999999999E-3</v>
      </c>
      <c r="Q46" s="2906"/>
      <c r="R46" s="2027"/>
      <c r="S46" s="2027">
        <f>ROUND(IF(项目基本情况!$B$8="出让",SUMPRODUCT(PRODUCT(1+L46:L$54)),SUMPRODUCT(PRODUCT(1+L46:L$53))),4)</f>
        <v>1.0344</v>
      </c>
      <c r="T46" s="2027">
        <f>ROUND(IF(项目基本情况!$B$8="出让",SUMPRODUCT(PRODUCT(1+M46:M$54)),SUMPRODUCT(PRODUCT(1+M46:M$53))),4)</f>
        <v>1.0224</v>
      </c>
      <c r="U46" s="2027">
        <f>ROUND(IF(项目基本情况!$B$8="出让",SUMPRODUCT(PRODUCT(1+N46:N$54)),SUMPRODUCT(PRODUCT(1+N46:N$53))),4)</f>
        <v>1.0573999999999999</v>
      </c>
      <c r="V46" s="2119"/>
      <c r="W46" s="2027">
        <f t="shared" si="186"/>
        <v>1.0224</v>
      </c>
      <c r="X46" s="2906"/>
      <c r="Y46" s="2028"/>
      <c r="Z46" s="2902"/>
      <c r="AA46" s="2903"/>
      <c r="AB46" s="2028"/>
      <c r="AC46" s="2904"/>
      <c r="AD46" s="2028"/>
      <c r="AG46" s="3153">
        <f t="shared" si="127"/>
        <v>103.44</v>
      </c>
      <c r="AH46" s="3153">
        <f t="shared" si="128"/>
        <v>102.24</v>
      </c>
      <c r="AI46" s="3153">
        <f t="shared" si="129"/>
        <v>105.74</v>
      </c>
      <c r="AJ46" s="3155"/>
      <c r="AK46" s="3153">
        <f t="shared" si="130"/>
        <v>102.24</v>
      </c>
      <c r="AN46" s="3153">
        <f t="shared" si="146"/>
        <v>103.05714028801125</v>
      </c>
      <c r="AO46" s="3153">
        <f t="shared" si="157"/>
        <v>104.07840662162619</v>
      </c>
      <c r="AP46" s="3153">
        <f t="shared" si="158"/>
        <v>102.91560427786695</v>
      </c>
      <c r="AQ46" s="3153"/>
      <c r="AR46" s="3153">
        <f t="shared" si="159"/>
        <v>104.07840662162619</v>
      </c>
    </row>
    <row r="47" spans="1:44" s="2045" customFormat="1" ht="12.75">
      <c r="A47" s="2905" t="s">
        <v>3364</v>
      </c>
      <c r="B47" s="2031">
        <v>2022</v>
      </c>
      <c r="C47" s="2042">
        <v>4</v>
      </c>
      <c r="D47" s="2007"/>
      <c r="E47" s="2007">
        <v>0.45</v>
      </c>
      <c r="F47" s="2007">
        <v>0.2</v>
      </c>
      <c r="G47" s="2007">
        <v>0.38</v>
      </c>
      <c r="H47" s="2917"/>
      <c r="I47" s="2008">
        <f t="shared" si="172"/>
        <v>0.2</v>
      </c>
      <c r="J47" s="2906"/>
      <c r="K47" s="2043"/>
      <c r="L47" s="2028">
        <f t="shared" si="173"/>
        <v>4.5000000000000005E-3</v>
      </c>
      <c r="M47" s="2028">
        <f t="shared" si="173"/>
        <v>2E-3</v>
      </c>
      <c r="N47" s="2028">
        <f t="shared" si="173"/>
        <v>3.8E-3</v>
      </c>
      <c r="O47" s="2028"/>
      <c r="P47" s="2028">
        <f t="shared" ref="P47:P54" si="187">M47</f>
        <v>2E-3</v>
      </c>
      <c r="Q47" s="2906"/>
      <c r="R47" s="2027"/>
      <c r="S47" s="2027">
        <f>ROUND(IF(项目基本情况!$B$8="出让",SUMPRODUCT(PRODUCT(1+L47:L$54)),SUMPRODUCT(PRODUCT(1+L47:L$53))),4)</f>
        <v>1.0286999999999999</v>
      </c>
      <c r="T47" s="2027">
        <f>ROUND(IF(项目基本情况!$B$8="出让",SUMPRODUCT(PRODUCT(1+M47:M$54)),SUMPRODUCT(PRODUCT(1+M47:M$53))),4)</f>
        <v>1.0164</v>
      </c>
      <c r="U47" s="2027">
        <f>ROUND(IF(项目基本情况!$B$8="出让",SUMPRODUCT(PRODUCT(1+N47:N$54)),SUMPRODUCT(PRODUCT(1+N47:N$53))),4)</f>
        <v>1.0506</v>
      </c>
      <c r="V47" s="2119"/>
      <c r="W47" s="2027">
        <f t="shared" ref="W47:W54" si="188">T47</f>
        <v>1.0164</v>
      </c>
      <c r="X47" s="2906"/>
      <c r="Y47" s="2028"/>
      <c r="Z47" s="2902">
        <f t="shared" ref="Z47:AD54" si="189">IF(E47=0,0,ROUND(AVERAGE(E47:E55)/100,4))</f>
        <v>4.0000000000000001E-3</v>
      </c>
      <c r="AA47" s="2903">
        <f t="shared" si="189"/>
        <v>2.5999999999999999E-3</v>
      </c>
      <c r="AB47" s="2028">
        <f t="shared" si="189"/>
        <v>7.4000000000000003E-3</v>
      </c>
      <c r="AC47" s="2904"/>
      <c r="AD47" s="2028">
        <f t="shared" si="189"/>
        <v>2.5999999999999999E-3</v>
      </c>
      <c r="AG47" s="3153">
        <f t="shared" si="127"/>
        <v>102.86999999999999</v>
      </c>
      <c r="AH47" s="3153">
        <f t="shared" si="128"/>
        <v>101.64</v>
      </c>
      <c r="AI47" s="3153">
        <f t="shared" si="129"/>
        <v>105.06</v>
      </c>
      <c r="AJ47" s="3155"/>
      <c r="AK47" s="3153">
        <f t="shared" si="130"/>
        <v>101.64</v>
      </c>
      <c r="AN47" s="3153">
        <f t="shared" si="146"/>
        <v>102.49342644257707</v>
      </c>
      <c r="AO47" s="3153">
        <f t="shared" si="157"/>
        <v>103.46794574174986</v>
      </c>
      <c r="AP47" s="3153">
        <f t="shared" si="158"/>
        <v>102.26113302649736</v>
      </c>
      <c r="AQ47" s="3153"/>
      <c r="AR47" s="3153">
        <f t="shared" si="159"/>
        <v>103.46794574174986</v>
      </c>
    </row>
    <row r="48" spans="1:44" s="2045" customFormat="1" ht="12.75">
      <c r="A48" s="2905" t="s">
        <v>3363</v>
      </c>
      <c r="B48" s="2031">
        <v>2022</v>
      </c>
      <c r="C48" s="2042">
        <v>3</v>
      </c>
      <c r="D48" s="2007"/>
      <c r="E48" s="2007">
        <v>0.3</v>
      </c>
      <c r="F48" s="2007">
        <v>0.28999999999999998</v>
      </c>
      <c r="G48" s="2007">
        <v>0.83</v>
      </c>
      <c r="H48" s="2917"/>
      <c r="I48" s="2008">
        <f t="shared" si="172"/>
        <v>0.28999999999999998</v>
      </c>
      <c r="J48" s="2906"/>
      <c r="K48" s="2043"/>
      <c r="L48" s="2028">
        <f t="shared" si="173"/>
        <v>3.0000000000000001E-3</v>
      </c>
      <c r="M48" s="2028">
        <f t="shared" si="173"/>
        <v>2.8999999999999998E-3</v>
      </c>
      <c r="N48" s="2028">
        <f t="shared" si="173"/>
        <v>8.3000000000000001E-3</v>
      </c>
      <c r="O48" s="2028"/>
      <c r="P48" s="2028">
        <f t="shared" si="187"/>
        <v>2.8999999999999998E-3</v>
      </c>
      <c r="Q48" s="2906"/>
      <c r="R48" s="2027"/>
      <c r="S48" s="2027">
        <f>ROUND(IF(项目基本情况!$B$8="出让",SUMPRODUCT(PRODUCT(1+L48:L$54)),SUMPRODUCT(PRODUCT(1+L48:L$53))),4)</f>
        <v>1.0241</v>
      </c>
      <c r="T48" s="2027">
        <f>ROUND(IF(项目基本情况!$B$8="出让",SUMPRODUCT(PRODUCT(1+M48:M$54)),SUMPRODUCT(PRODUCT(1+M48:M$53))),4)</f>
        <v>1.0144</v>
      </c>
      <c r="U48" s="2027">
        <f>ROUND(IF(项目基本情况!$B$8="出让",SUMPRODUCT(PRODUCT(1+N48:N$54)),SUMPRODUCT(PRODUCT(1+N48:N$53))),4)</f>
        <v>1.0467</v>
      </c>
      <c r="V48" s="2119"/>
      <c r="W48" s="2027">
        <f t="shared" si="188"/>
        <v>1.0144</v>
      </c>
      <c r="X48" s="2906"/>
      <c r="Y48" s="2028"/>
      <c r="Z48" s="2902">
        <f t="shared" si="189"/>
        <v>3.8999999999999998E-3</v>
      </c>
      <c r="AA48" s="2903">
        <f t="shared" si="189"/>
        <v>2.7000000000000001E-3</v>
      </c>
      <c r="AB48" s="2028">
        <f t="shared" si="189"/>
        <v>7.9000000000000008E-3</v>
      </c>
      <c r="AC48" s="2904"/>
      <c r="AD48" s="2028">
        <f t="shared" si="189"/>
        <v>2.7000000000000001E-3</v>
      </c>
      <c r="AG48" s="3153">
        <f t="shared" si="127"/>
        <v>102.41</v>
      </c>
      <c r="AH48" s="3153">
        <f t="shared" si="128"/>
        <v>101.44</v>
      </c>
      <c r="AI48" s="3153">
        <f t="shared" si="129"/>
        <v>104.67</v>
      </c>
      <c r="AJ48" s="3155"/>
      <c r="AK48" s="3153">
        <f t="shared" si="130"/>
        <v>101.44</v>
      </c>
      <c r="AN48" s="3153">
        <f t="shared" si="146"/>
        <v>102.03427221759789</v>
      </c>
      <c r="AO48" s="3153">
        <f t="shared" si="157"/>
        <v>103.26142289595795</v>
      </c>
      <c r="AP48" s="3153">
        <f t="shared" si="158"/>
        <v>101.87401178172679</v>
      </c>
      <c r="AQ48" s="3153"/>
      <c r="AR48" s="3153">
        <f t="shared" si="159"/>
        <v>103.26142289595795</v>
      </c>
    </row>
    <row r="49" spans="1:44" s="2045" customFormat="1" ht="12.75">
      <c r="A49" s="2905" t="s">
        <v>3353</v>
      </c>
      <c r="B49" s="2031">
        <v>2022</v>
      </c>
      <c r="C49" s="2042">
        <v>2</v>
      </c>
      <c r="D49" s="2007"/>
      <c r="E49" s="2007">
        <v>-0.11</v>
      </c>
      <c r="F49" s="2007">
        <v>-0.13</v>
      </c>
      <c r="G49" s="2007">
        <v>0.53</v>
      </c>
      <c r="H49" s="2917"/>
      <c r="I49" s="2008">
        <f t="shared" si="172"/>
        <v>-0.13</v>
      </c>
      <c r="J49" s="2906"/>
      <c r="K49" s="2043"/>
      <c r="L49" s="2028">
        <f t="shared" si="173"/>
        <v>-1.1000000000000001E-3</v>
      </c>
      <c r="M49" s="2028">
        <f t="shared" si="173"/>
        <v>-1.2999999999999999E-3</v>
      </c>
      <c r="N49" s="2028">
        <f t="shared" si="173"/>
        <v>5.3E-3</v>
      </c>
      <c r="O49" s="2028"/>
      <c r="P49" s="2028">
        <f t="shared" si="187"/>
        <v>-1.2999999999999999E-3</v>
      </c>
      <c r="Q49" s="2906"/>
      <c r="R49" s="2027"/>
      <c r="S49" s="2027">
        <f>ROUND(IF(项目基本情况!$B$8="出让",SUMPRODUCT(PRODUCT(1+L49:L$54)),SUMPRODUCT(PRODUCT(1+L49:L$53))),4)</f>
        <v>1.0210999999999999</v>
      </c>
      <c r="T49" s="2027">
        <f>ROUND(IF(项目基本情况!$B$8="出让",SUMPRODUCT(PRODUCT(1+M49:M$54)),SUMPRODUCT(PRODUCT(1+M49:M$53))),4)</f>
        <v>1.0114000000000001</v>
      </c>
      <c r="U49" s="2027">
        <f>ROUND(IF(项目基本情况!$B$8="出让",SUMPRODUCT(PRODUCT(1+N49:N$54)),SUMPRODUCT(PRODUCT(1+N49:N$53))),4)</f>
        <v>1.0381</v>
      </c>
      <c r="V49" s="2119"/>
      <c r="W49" s="2027">
        <f t="shared" si="188"/>
        <v>1.0114000000000001</v>
      </c>
      <c r="X49" s="2906"/>
      <c r="Y49" s="2028"/>
      <c r="Z49" s="2902">
        <f t="shared" si="189"/>
        <v>4.1000000000000003E-3</v>
      </c>
      <c r="AA49" s="2903">
        <f t="shared" si="189"/>
        <v>2.7000000000000001E-3</v>
      </c>
      <c r="AB49" s="2028">
        <f t="shared" si="189"/>
        <v>7.9000000000000008E-3</v>
      </c>
      <c r="AC49" s="2904"/>
      <c r="AD49" s="2028">
        <f t="shared" si="189"/>
        <v>2.7000000000000001E-3</v>
      </c>
      <c r="AG49" s="3153">
        <f t="shared" si="127"/>
        <v>102.10999999999999</v>
      </c>
      <c r="AH49" s="3153">
        <f t="shared" si="128"/>
        <v>101.14000000000001</v>
      </c>
      <c r="AI49" s="3153">
        <f t="shared" si="129"/>
        <v>103.81</v>
      </c>
      <c r="AJ49" s="3155"/>
      <c r="AK49" s="3153">
        <f t="shared" si="130"/>
        <v>101.14000000000001</v>
      </c>
      <c r="AN49" s="3153">
        <f t="shared" si="146"/>
        <v>101.72908496270976</v>
      </c>
      <c r="AO49" s="3153">
        <f t="shared" si="157"/>
        <v>102.96283068696576</v>
      </c>
      <c r="AP49" s="3153">
        <f t="shared" si="158"/>
        <v>101.03541781387166</v>
      </c>
      <c r="AQ49" s="3153"/>
      <c r="AR49" s="3153">
        <f t="shared" si="159"/>
        <v>102.96283068696576</v>
      </c>
    </row>
    <row r="50" spans="1:44" s="2045" customFormat="1" ht="12.75">
      <c r="A50" s="2905" t="s">
        <v>2835</v>
      </c>
      <c r="B50" s="2031">
        <v>2022</v>
      </c>
      <c r="C50" s="2042">
        <v>1</v>
      </c>
      <c r="D50" s="2007"/>
      <c r="E50" s="2007">
        <v>0.6</v>
      </c>
      <c r="F50" s="2007">
        <v>0.45</v>
      </c>
      <c r="G50" s="2007">
        <v>0.53</v>
      </c>
      <c r="H50" s="2917"/>
      <c r="I50" s="2008">
        <f t="shared" si="172"/>
        <v>0.45</v>
      </c>
      <c r="J50" s="2906"/>
      <c r="K50" s="2043"/>
      <c r="L50" s="2028">
        <f t="shared" si="173"/>
        <v>6.0000000000000001E-3</v>
      </c>
      <c r="M50" s="2028">
        <f t="shared" si="173"/>
        <v>4.5000000000000005E-3</v>
      </c>
      <c r="N50" s="2028">
        <f t="shared" si="173"/>
        <v>5.3E-3</v>
      </c>
      <c r="O50" s="2028"/>
      <c r="P50" s="2028">
        <f t="shared" si="187"/>
        <v>4.5000000000000005E-3</v>
      </c>
      <c r="Q50" s="2906"/>
      <c r="R50" s="2027"/>
      <c r="S50" s="2027">
        <f>ROUND(IF(项目基本情况!$B$8="出让",SUMPRODUCT(PRODUCT(1+L50:L$54)),SUMPRODUCT(PRODUCT(1+L50:L$53))),4)</f>
        <v>1.0222</v>
      </c>
      <c r="T50" s="2027">
        <f>ROUND(IF(项目基本情况!$B$8="出让",SUMPRODUCT(PRODUCT(1+M50:M$54)),SUMPRODUCT(PRODUCT(1+M50:M$53))),4)</f>
        <v>1.0127999999999999</v>
      </c>
      <c r="U50" s="2027">
        <f>ROUND(IF(项目基本情况!$B$8="出让",SUMPRODUCT(PRODUCT(1+N50:N$54)),SUMPRODUCT(PRODUCT(1+N50:N$53))),4)</f>
        <v>1.0326</v>
      </c>
      <c r="V50" s="2119"/>
      <c r="W50" s="2027">
        <f t="shared" si="188"/>
        <v>1.0127999999999999</v>
      </c>
      <c r="X50" s="2906"/>
      <c r="Y50" s="2028"/>
      <c r="Z50" s="2902">
        <f t="shared" si="189"/>
        <v>5.1000000000000004E-3</v>
      </c>
      <c r="AA50" s="2903">
        <f t="shared" si="189"/>
        <v>3.5000000000000001E-3</v>
      </c>
      <c r="AB50" s="2028">
        <f t="shared" si="189"/>
        <v>8.3999999999999995E-3</v>
      </c>
      <c r="AC50" s="2904"/>
      <c r="AD50" s="2028">
        <f t="shared" si="189"/>
        <v>3.5000000000000001E-3</v>
      </c>
      <c r="AG50" s="3153">
        <f t="shared" si="127"/>
        <v>102.22</v>
      </c>
      <c r="AH50" s="3153">
        <f t="shared" si="128"/>
        <v>101.27999999999999</v>
      </c>
      <c r="AI50" s="3153">
        <f t="shared" si="129"/>
        <v>103.25999999999999</v>
      </c>
      <c r="AJ50" s="3155"/>
      <c r="AK50" s="3153">
        <f t="shared" si="130"/>
        <v>101.27999999999999</v>
      </c>
      <c r="AN50" s="3153">
        <f t="shared" si="146"/>
        <v>101.84111018391206</v>
      </c>
      <c r="AO50" s="3153">
        <f t="shared" si="157"/>
        <v>103.09685660054646</v>
      </c>
      <c r="AP50" s="3153">
        <f t="shared" si="158"/>
        <v>100.50275322179613</v>
      </c>
      <c r="AQ50" s="3153"/>
      <c r="AR50" s="3153">
        <f t="shared" si="159"/>
        <v>103.09685660054646</v>
      </c>
    </row>
    <row r="51" spans="1:44" s="2045" customFormat="1" ht="12.75">
      <c r="A51" s="2905" t="s">
        <v>2836</v>
      </c>
      <c r="B51" s="2031">
        <v>2021</v>
      </c>
      <c r="C51" s="2042">
        <v>4</v>
      </c>
      <c r="D51" s="2007"/>
      <c r="E51" s="2007">
        <v>0.57999999999999996</v>
      </c>
      <c r="F51" s="2007">
        <v>0.08</v>
      </c>
      <c r="G51" s="2007">
        <v>0.68</v>
      </c>
      <c r="H51" s="2917"/>
      <c r="I51" s="2008">
        <f t="shared" si="172"/>
        <v>0.08</v>
      </c>
      <c r="J51" s="2906"/>
      <c r="K51" s="2043"/>
      <c r="L51" s="2028">
        <f t="shared" si="173"/>
        <v>5.7999999999999996E-3</v>
      </c>
      <c r="M51" s="2028">
        <f t="shared" si="173"/>
        <v>8.0000000000000004E-4</v>
      </c>
      <c r="N51" s="2028">
        <f t="shared" si="173"/>
        <v>6.8000000000000005E-3</v>
      </c>
      <c r="O51" s="2028"/>
      <c r="P51" s="2028">
        <f t="shared" si="187"/>
        <v>8.0000000000000004E-4</v>
      </c>
      <c r="Q51" s="2906"/>
      <c r="R51" s="2027"/>
      <c r="S51" s="2027">
        <f>ROUND(IF(项目基本情况!$B$8="出让",SUMPRODUCT(PRODUCT(1+L51:L$54)),SUMPRODUCT(PRODUCT(1+L51:L$53))),4)</f>
        <v>1.0161</v>
      </c>
      <c r="T51" s="2027">
        <f>ROUND(IF(项目基本情况!$B$8="出让",SUMPRODUCT(PRODUCT(1+M51:M$54)),SUMPRODUCT(PRODUCT(1+M51:M$53))),4)</f>
        <v>1.0082</v>
      </c>
      <c r="U51" s="2027">
        <f>ROUND(IF(项目基本情况!$B$8="出让",SUMPRODUCT(PRODUCT(1+N51:N$54)),SUMPRODUCT(PRODUCT(1+N51:N$53))),4)</f>
        <v>1.0270999999999999</v>
      </c>
      <c r="V51" s="2119"/>
      <c r="W51" s="2027">
        <f t="shared" si="188"/>
        <v>1.0082</v>
      </c>
      <c r="X51" s="2906"/>
      <c r="Y51" s="2028"/>
      <c r="Z51" s="2902">
        <f t="shared" si="189"/>
        <v>4.8999999999999998E-3</v>
      </c>
      <c r="AA51" s="2903">
        <f t="shared" si="189"/>
        <v>3.3E-3</v>
      </c>
      <c r="AB51" s="2028">
        <f t="shared" si="189"/>
        <v>9.1999999999999998E-3</v>
      </c>
      <c r="AC51" s="2904"/>
      <c r="AD51" s="2028">
        <f t="shared" si="189"/>
        <v>3.3E-3</v>
      </c>
      <c r="AG51" s="3153">
        <f t="shared" si="127"/>
        <v>101.61</v>
      </c>
      <c r="AH51" s="3153">
        <f t="shared" si="128"/>
        <v>100.82</v>
      </c>
      <c r="AI51" s="3153">
        <f t="shared" si="129"/>
        <v>102.71</v>
      </c>
      <c r="AJ51" s="3155"/>
      <c r="AK51" s="3153">
        <f t="shared" si="130"/>
        <v>100.82</v>
      </c>
      <c r="AN51" s="3153">
        <f t="shared" si="146"/>
        <v>101.23370793629429</v>
      </c>
      <c r="AO51" s="3153">
        <f t="shared" si="157"/>
        <v>102.63499910457587</v>
      </c>
      <c r="AP51" s="3153">
        <f t="shared" si="158"/>
        <v>99.972896868393633</v>
      </c>
      <c r="AQ51" s="3153"/>
      <c r="AR51" s="3153">
        <f t="shared" si="159"/>
        <v>102.63499910457587</v>
      </c>
    </row>
    <row r="52" spans="1:44" s="2045" customFormat="1" ht="12.75">
      <c r="A52" s="2905" t="s">
        <v>2837</v>
      </c>
      <c r="B52" s="2031">
        <v>2021</v>
      </c>
      <c r="C52" s="2042">
        <v>3</v>
      </c>
      <c r="D52" s="2007"/>
      <c r="E52" s="2007">
        <v>0.47</v>
      </c>
      <c r="F52" s="2007">
        <v>0.28000000000000003</v>
      </c>
      <c r="G52" s="2007">
        <v>0.91</v>
      </c>
      <c r="H52" s="2917"/>
      <c r="I52" s="2008">
        <f t="shared" si="172"/>
        <v>0.28000000000000003</v>
      </c>
      <c r="J52" s="2906"/>
      <c r="K52" s="2043"/>
      <c r="L52" s="2028">
        <f t="shared" si="173"/>
        <v>4.6999999999999993E-3</v>
      </c>
      <c r="M52" s="2028">
        <f t="shared" si="173"/>
        <v>2.8000000000000004E-3</v>
      </c>
      <c r="N52" s="2028">
        <f t="shared" si="173"/>
        <v>9.1000000000000004E-3</v>
      </c>
      <c r="O52" s="2028"/>
      <c r="P52" s="2028">
        <f t="shared" si="187"/>
        <v>2.8000000000000004E-3</v>
      </c>
      <c r="Q52" s="2906"/>
      <c r="R52" s="2027"/>
      <c r="S52" s="2027">
        <f>ROUND(IF(项目基本情况!$B$8="出让",SUMPRODUCT(PRODUCT(1+L52:L$54)),SUMPRODUCT(PRODUCT(1+L52:L$53))),4)</f>
        <v>1.0102</v>
      </c>
      <c r="T52" s="2027">
        <f>ROUND(IF(项目基本情况!$B$8="出让",SUMPRODUCT(PRODUCT(1+M52:M$54)),SUMPRODUCT(PRODUCT(1+M52:M$53))),4)</f>
        <v>1.0074000000000001</v>
      </c>
      <c r="U52" s="2027">
        <f>ROUND(IF(项目基本情况!$B$8="出让",SUMPRODUCT(PRODUCT(1+N52:N$54)),SUMPRODUCT(PRODUCT(1+N52:N$53))),4)</f>
        <v>1.0202</v>
      </c>
      <c r="V52" s="2119"/>
      <c r="W52" s="2027">
        <f t="shared" si="188"/>
        <v>1.0074000000000001</v>
      </c>
      <c r="X52" s="2906"/>
      <c r="Y52" s="2028"/>
      <c r="Z52" s="2902">
        <f t="shared" si="189"/>
        <v>4.5999999999999999E-3</v>
      </c>
      <c r="AA52" s="2903">
        <f t="shared" si="189"/>
        <v>4.1000000000000003E-3</v>
      </c>
      <c r="AB52" s="2028">
        <f t="shared" si="189"/>
        <v>0.01</v>
      </c>
      <c r="AC52" s="2904"/>
      <c r="AD52" s="2028">
        <f t="shared" si="189"/>
        <v>4.1000000000000003E-3</v>
      </c>
      <c r="AG52" s="3153">
        <f t="shared" si="127"/>
        <v>101.02</v>
      </c>
      <c r="AH52" s="3153">
        <f t="shared" si="128"/>
        <v>100.74000000000001</v>
      </c>
      <c r="AI52" s="3153">
        <f t="shared" si="129"/>
        <v>102.02</v>
      </c>
      <c r="AJ52" s="3155"/>
      <c r="AK52" s="3153">
        <f t="shared" si="130"/>
        <v>100.74000000000001</v>
      </c>
      <c r="AN52" s="3153">
        <f t="shared" si="146"/>
        <v>100.649938294188</v>
      </c>
      <c r="AO52" s="3153">
        <f t="shared" si="157"/>
        <v>102.55295673918452</v>
      </c>
      <c r="AP52" s="3153">
        <f t="shared" si="158"/>
        <v>99.297672694073938</v>
      </c>
      <c r="AQ52" s="3153"/>
      <c r="AR52" s="3153">
        <f t="shared" si="159"/>
        <v>102.55295673918452</v>
      </c>
    </row>
    <row r="53" spans="1:44" s="2045" customFormat="1" ht="12.75">
      <c r="A53" s="2905" t="s">
        <v>2838</v>
      </c>
      <c r="B53" s="2031">
        <v>2021</v>
      </c>
      <c r="C53" s="2042">
        <v>2</v>
      </c>
      <c r="D53" s="2007"/>
      <c r="E53" s="2007">
        <v>0.55000000000000004</v>
      </c>
      <c r="F53" s="2007">
        <v>0.46</v>
      </c>
      <c r="G53" s="2007">
        <v>1.1000000000000001</v>
      </c>
      <c r="H53" s="2917"/>
      <c r="I53" s="2008">
        <f t="shared" si="172"/>
        <v>0.46</v>
      </c>
      <c r="J53" s="2906"/>
      <c r="K53" s="2043"/>
      <c r="L53" s="2028">
        <f t="shared" si="173"/>
        <v>5.5000000000000005E-3</v>
      </c>
      <c r="M53" s="2028">
        <f t="shared" si="173"/>
        <v>4.5999999999999999E-3</v>
      </c>
      <c r="N53" s="2028">
        <f t="shared" si="173"/>
        <v>1.1000000000000001E-2</v>
      </c>
      <c r="O53" s="2028"/>
      <c r="P53" s="2028">
        <f t="shared" si="187"/>
        <v>4.5999999999999999E-3</v>
      </c>
      <c r="Q53" s="2906"/>
      <c r="R53" s="2027"/>
      <c r="S53" s="2027">
        <f>ROUND(IF(项目基本情况!$B$8="出让",SUMPRODUCT(PRODUCT(1+L53:L$54)),SUMPRODUCT(PRODUCT(1+L53:L$53))),4)</f>
        <v>1.0055000000000001</v>
      </c>
      <c r="T53" s="2027">
        <f>ROUND(IF(项目基本情况!$B$8="出让",SUMPRODUCT(PRODUCT(1+M53:M$54)),SUMPRODUCT(PRODUCT(1+M53:M$53))),4)</f>
        <v>1.0045999999999999</v>
      </c>
      <c r="U53" s="2027">
        <f>ROUND(IF(项目基本情况!$B$8="出让",SUMPRODUCT(PRODUCT(1+N53:N$54)),SUMPRODUCT(PRODUCT(1+N53:N$53))),4)</f>
        <v>1.0109999999999999</v>
      </c>
      <c r="V53" s="2119"/>
      <c r="W53" s="2027">
        <f t="shared" si="188"/>
        <v>1.0045999999999999</v>
      </c>
      <c r="X53" s="2906"/>
      <c r="Y53" s="2028"/>
      <c r="Z53" s="2902">
        <f t="shared" si="189"/>
        <v>4.4999999999999997E-3</v>
      </c>
      <c r="AA53" s="2903">
        <f t="shared" si="189"/>
        <v>4.7000000000000002E-3</v>
      </c>
      <c r="AB53" s="2028">
        <f t="shared" si="189"/>
        <v>1.04E-2</v>
      </c>
      <c r="AC53" s="2904"/>
      <c r="AD53" s="2028">
        <f t="shared" si="189"/>
        <v>4.7000000000000002E-3</v>
      </c>
      <c r="AG53" s="3153">
        <f>$AG$54*S53</f>
        <v>100.55000000000001</v>
      </c>
      <c r="AH53" s="3153">
        <f t="shared" ref="AH53:AK53" si="190">$AG$54*T53</f>
        <v>100.46</v>
      </c>
      <c r="AI53" s="3153">
        <f t="shared" si="190"/>
        <v>101.1</v>
      </c>
      <c r="AJ53" s="3155"/>
      <c r="AK53" s="3153">
        <f t="shared" si="190"/>
        <v>100.46</v>
      </c>
      <c r="AN53" s="3153">
        <f t="shared" si="146"/>
        <v>100.1790965404479</v>
      </c>
      <c r="AO53" s="3153">
        <f t="shared" si="157"/>
        <v>102.26661023053903</v>
      </c>
      <c r="AP53" s="3153">
        <f t="shared" si="158"/>
        <v>98.402212559779926</v>
      </c>
      <c r="AQ53" s="3153"/>
      <c r="AR53" s="3153">
        <f t="shared" si="159"/>
        <v>102.26661023053903</v>
      </c>
    </row>
    <row r="54" spans="1:44" s="2928" customFormat="1" ht="14.25" thickBot="1">
      <c r="A54" s="2918" t="s">
        <v>2824</v>
      </c>
      <c r="B54" s="2919">
        <v>2021</v>
      </c>
      <c r="C54" s="2920">
        <v>1</v>
      </c>
      <c r="D54" s="2921"/>
      <c r="E54" s="2921">
        <v>0.35</v>
      </c>
      <c r="F54" s="2921">
        <v>0.48</v>
      </c>
      <c r="G54" s="2921">
        <v>0.98</v>
      </c>
      <c r="H54" s="2922"/>
      <c r="I54" s="2923">
        <f t="shared" si="172"/>
        <v>0.48</v>
      </c>
      <c r="J54" s="2924"/>
      <c r="K54" s="2925"/>
      <c r="L54" s="2926">
        <f t="shared" si="173"/>
        <v>3.4999999999999996E-3</v>
      </c>
      <c r="M54" s="2926">
        <f>F54/100</f>
        <v>4.7999999999999996E-3</v>
      </c>
      <c r="N54" s="2926">
        <f t="shared" si="173"/>
        <v>9.7999999999999997E-3</v>
      </c>
      <c r="O54" s="2926"/>
      <c r="P54" s="2926">
        <f t="shared" si="187"/>
        <v>4.7999999999999996E-3</v>
      </c>
      <c r="Q54" s="2924"/>
      <c r="R54" s="2927"/>
      <c r="S54" s="2927">
        <v>1</v>
      </c>
      <c r="T54" s="2927">
        <v>1</v>
      </c>
      <c r="U54" s="2927">
        <v>1</v>
      </c>
      <c r="V54" s="3175"/>
      <c r="W54" s="2927">
        <f t="shared" si="188"/>
        <v>1</v>
      </c>
      <c r="X54" s="2924"/>
      <c r="Y54" s="2926"/>
      <c r="Z54" s="2934">
        <f t="shared" si="189"/>
        <v>3.5000000000000001E-3</v>
      </c>
      <c r="AA54" s="2935">
        <f t="shared" si="189"/>
        <v>4.7999999999999996E-3</v>
      </c>
      <c r="AB54" s="2926">
        <f t="shared" si="189"/>
        <v>9.7999999999999997E-3</v>
      </c>
      <c r="AC54" s="2936"/>
      <c r="AD54" s="2926">
        <f t="shared" si="189"/>
        <v>4.7999999999999996E-3</v>
      </c>
      <c r="AG54" s="3157">
        <v>100</v>
      </c>
      <c r="AH54" s="3157">
        <v>100</v>
      </c>
      <c r="AI54" s="3157">
        <v>100</v>
      </c>
      <c r="AJ54" s="3157"/>
      <c r="AK54" s="3157">
        <v>100</v>
      </c>
      <c r="AN54" s="3160">
        <f t="shared" si="146"/>
        <v>99.631125351017303</v>
      </c>
      <c r="AO54" s="3160">
        <f t="shared" si="157"/>
        <v>101.79833787630803</v>
      </c>
      <c r="AP54" s="3160">
        <f t="shared" si="158"/>
        <v>97.331565341028622</v>
      </c>
      <c r="AQ54" s="3160"/>
      <c r="AR54" s="3160">
        <f t="shared" si="159"/>
        <v>101.79833787630803</v>
      </c>
    </row>
    <row r="55" spans="1:44" ht="14.25" thickTop="1"/>
    <row r="56" spans="1:44">
      <c r="A56" s="3143" t="s">
        <v>3378</v>
      </c>
    </row>
  </sheetData>
  <sheetProtection formatCells="0" formatColumns="0" formatRows="0"/>
  <mergeCells count="4">
    <mergeCell ref="R30:W30"/>
    <mergeCell ref="Y30:AD30"/>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46092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1" t="str">
        <f>IF(项目基本情况!B9="房地产市场价值","估价结果一览表","结果表-2")</f>
        <v>估价结果一览表</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房地产市场价值</v>
      </c>
      <c r="I2" s="3202"/>
    </row>
    <row r="3" spans="1:9" ht="15">
      <c r="A3" s="3203"/>
      <c r="B3" s="3203"/>
      <c r="C3" s="3203"/>
      <c r="D3" s="801" t="s">
        <v>925</v>
      </c>
      <c r="E3" s="801" t="s">
        <v>931</v>
      </c>
      <c r="F3" s="801" t="s">
        <v>925</v>
      </c>
      <c r="G3" s="801" t="s">
        <v>926</v>
      </c>
      <c r="H3" s="801" t="s">
        <v>925</v>
      </c>
      <c r="I3" s="801" t="s">
        <v>926</v>
      </c>
    </row>
    <row r="4" spans="1:9" ht="15">
      <c r="A4" s="1403" t="str">
        <f>项目基本情况!S2</f>
        <v>北京市房地产</v>
      </c>
      <c r="B4" s="801">
        <f>项目基本情况!C17</f>
        <v>6420.54</v>
      </c>
      <c r="C4" s="801">
        <f>项目基本情况!C18</f>
        <v>12462.11</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75">
      <c r="A6" s="3204" t="str">
        <f>结果表!A120</f>
        <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
      </c>
      <c r="B8" s="3204"/>
      <c r="C8" s="3204"/>
      <c r="D8" s="3204" t="e">
        <f ca="1">结果表!D122</f>
        <v>#REF!</v>
      </c>
      <c r="E8" s="3204"/>
      <c r="F8" s="3204"/>
      <c r="G8" s="3204"/>
      <c r="H8" s="3204"/>
      <c r="I8" s="3204"/>
    </row>
    <row r="9" spans="1:9" ht="15">
      <c r="A9" s="3203" t="s">
        <v>927</v>
      </c>
      <c r="B9" s="3203"/>
      <c r="C9" s="3203"/>
      <c r="D9" s="3203" t="e">
        <f ca="1">结果表!D123</f>
        <v>#REF!</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0" t="s">
        <v>949</v>
      </c>
      <c r="B1" s="3210"/>
      <c r="C1" s="3210"/>
      <c r="D1" s="3210"/>
    </row>
    <row r="2" spans="1:4" ht="18">
      <c r="A2" s="3211" t="s">
        <v>933</v>
      </c>
      <c r="B2" s="3211"/>
      <c r="C2" s="3211"/>
      <c r="D2" s="321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1" t="s">
        <v>939</v>
      </c>
      <c r="B6" s="3211"/>
      <c r="C6" s="3211"/>
      <c r="D6" s="321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3" t="str">
        <f>IF(项目基本情况!B8="抵押","3.抵押双方在办理抵押登记手续时，应使用本公司出具的正式《房地产评估报告》，特提醒报告使用者注意。","——")</f>
        <v>——</v>
      </c>
      <c r="B13" s="3214"/>
      <c r="C13" s="3214"/>
      <c r="D13" s="3214"/>
    </row>
    <row r="14" spans="1:4" ht="15.75" customHeight="1">
      <c r="A14" s="3213" t="str">
        <f>IF(项目基本情况!B8="抵押","4.本次评估估价师所知悉的法定优先受偿款情况说明如下：","——")</f>
        <v>——</v>
      </c>
      <c r="B14" s="3214"/>
      <c r="C14" s="3214"/>
      <c r="D14" s="3214"/>
    </row>
    <row r="15" spans="1:4" ht="42" customHeight="1">
      <c r="A15" s="3213" t="str">
        <f>IF(项目基本情况!B8="抵押","（1）"&amp;CONCATENATE(项目基本情况!L20,项目基本情况!L21,项目基本情况!L22),"——")</f>
        <v>——</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945</v>
      </c>
      <c r="B22" s="3218"/>
      <c r="C22" s="3218"/>
      <c r="D22" s="321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4" t="s">
        <v>956</v>
      </c>
      <c r="B15" s="3219" t="s">
        <v>109</v>
      </c>
      <c r="C15" s="3220"/>
    </row>
    <row r="16" spans="1:7" ht="13.5">
      <c r="A16" s="3225"/>
      <c r="B16" s="3219" t="s">
        <v>42</v>
      </c>
      <c r="C16" s="3220"/>
    </row>
    <row r="17" spans="1:3" ht="13.5">
      <c r="A17" s="3225"/>
      <c r="B17" s="3222" t="s">
        <v>957</v>
      </c>
      <c r="C17" s="1429" t="s">
        <v>956</v>
      </c>
    </row>
    <row r="18" spans="1:3" ht="13.5">
      <c r="A18" s="3225"/>
      <c r="B18" s="3222"/>
      <c r="C18" s="1429" t="s">
        <v>958</v>
      </c>
    </row>
    <row r="19" spans="1:3" ht="13.5">
      <c r="A19" s="3225"/>
      <c r="B19" s="3222"/>
      <c r="C19" s="1429" t="s">
        <v>959</v>
      </c>
    </row>
    <row r="20" spans="1:3" ht="13.5">
      <c r="A20" s="3226"/>
      <c r="B20" s="3221" t="s">
        <v>960</v>
      </c>
      <c r="C20" s="3220"/>
    </row>
    <row r="21" spans="1:3" ht="13.5">
      <c r="A21" s="1430" t="s">
        <v>961</v>
      </c>
      <c r="B21" s="1431"/>
      <c r="C21" s="1432"/>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9" t="s">
        <v>967</v>
      </c>
    </row>
    <row r="26" spans="1:3" ht="13.5">
      <c r="A26" s="3223"/>
      <c r="B26" s="3222"/>
      <c r="C26" s="1429" t="s">
        <v>968</v>
      </c>
    </row>
    <row r="27" spans="1:3" ht="13.5">
      <c r="A27" s="3223"/>
      <c r="B27" s="3222"/>
      <c r="C27" s="1429" t="s">
        <v>969</v>
      </c>
    </row>
    <row r="28" spans="1:3" ht="13.5">
      <c r="A28" s="3223"/>
      <c r="B28" s="3222"/>
      <c r="C28" s="1429" t="s">
        <v>970</v>
      </c>
    </row>
    <row r="29" spans="1:3" ht="13.5">
      <c r="A29" s="3223"/>
      <c r="B29" s="3222"/>
      <c r="C29" s="1429" t="s">
        <v>971</v>
      </c>
    </row>
    <row r="30" spans="1:3" ht="13.5">
      <c r="A30" s="3223"/>
      <c r="B30" s="3222"/>
      <c r="C30" s="1429" t="s">
        <v>972</v>
      </c>
    </row>
    <row r="31" spans="1:3" ht="13.5">
      <c r="A31" s="3223"/>
      <c r="B31" s="3222"/>
      <c r="C31" s="1429" t="s">
        <v>973</v>
      </c>
    </row>
    <row r="32" spans="1:3" ht="13.5">
      <c r="A32" s="3223"/>
      <c r="B32" s="3222"/>
      <c r="C32" s="1429" t="s">
        <v>974</v>
      </c>
    </row>
    <row r="33" spans="1:3" ht="13.5">
      <c r="A33" s="3223"/>
      <c r="B33" s="322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46140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7" t="s">
        <v>2160</v>
      </c>
      <c r="B17" s="3227"/>
      <c r="C17" s="3227"/>
      <c r="D17" s="3227"/>
      <c r="E17" s="3227"/>
      <c r="F17" s="3227"/>
      <c r="G17" s="3227"/>
      <c r="H17" s="3227"/>
    </row>
    <row r="18" spans="1:8" ht="24" customHeight="1">
      <c r="A18" s="3228" t="s">
        <v>2161</v>
      </c>
      <c r="B18" s="3228"/>
      <c r="C18" s="3228"/>
      <c r="D18" s="2160"/>
      <c r="E18" s="3229" t="s">
        <v>2162</v>
      </c>
      <c r="F18" s="3228"/>
      <c r="G18" s="322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Sheet1</vt:lpstr>
      <vt:lpstr>修正</vt:lpstr>
      <vt:lpstr>容积率修正</vt:lpstr>
      <vt:lpstr>成本法（废）</vt:lpstr>
      <vt:lpstr>因素修正幅度</vt:lpstr>
      <vt:lpstr>区片价（范围）</vt:lpstr>
      <vt:lpstr>厂房仓储案例</vt:lpstr>
      <vt:lpstr>地价</vt:lpstr>
      <vt:lpstr>区片价</vt:lpstr>
      <vt:lpstr>地价-分区</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2026-04-28T06:20:42Z</dcterms:modified>
</cp:coreProperties>
</file>