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488-东直门八号2025\"/>
    </mc:Choice>
  </mc:AlternateContent>
  <xr:revisionPtr revIDLastSave="0" documentId="13_ncr:1_{2A0B357A-75AE-49D5-B4DF-CB000B41E6DB}"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基准地价修正" sheetId="43" state="hidden" r:id="rId21"/>
    <sheet name="典型户型修正" sheetId="31" r:id="rId22"/>
    <sheet name="比较法-住宅" sheetId="21" r:id="rId23"/>
    <sheet name="成本法 (元)" sheetId="69" r:id="rId24"/>
    <sheet name="假设开发法" sheetId="12" state="hidden" r:id="rId25"/>
    <sheet name="收益法"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住宅" sheetId="80" r:id="rId43"/>
    <sheet name="地价-分区" sheetId="79" r:id="rId44"/>
    <sheet name="地价" sheetId="71" state="hidden" r:id="rId45"/>
    <sheet name="区片价" sheetId="44" state="hidden" r:id="rId46"/>
    <sheet name="存贷款利率" sheetId="73" state="hidden"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2" hidden="1">清单!$A$1:$H$31</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19">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4" i="31" l="1"/>
  <c r="E4" i="31"/>
  <c r="F4" i="31"/>
  <c r="G4" i="31"/>
  <c r="H4" i="31"/>
  <c r="C4" i="31"/>
  <c r="E104" i="21"/>
  <c r="F104" i="21" s="1"/>
  <c r="G104" i="21" s="1"/>
  <c r="H104" i="21" s="1"/>
  <c r="D104" i="21"/>
  <c r="T26" i="31" l="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25" i="31"/>
  <c r="E91" i="21"/>
  <c r="D91" i="21"/>
  <c r="A26" i="31"/>
  <c r="B26" i="31"/>
  <c r="A27" i="31"/>
  <c r="B27" i="31"/>
  <c r="A28" i="31"/>
  <c r="B28" i="31"/>
  <c r="A29" i="31"/>
  <c r="B29" i="31"/>
  <c r="A30" i="31"/>
  <c r="B30" i="31"/>
  <c r="A31" i="31"/>
  <c r="B31"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B25" i="31"/>
  <c r="A25" i="31"/>
  <c r="B24" i="31"/>
  <c r="A24" i="31"/>
  <c r="I13" i="3"/>
  <c r="C13" i="3"/>
  <c r="G31" i="81"/>
  <c r="E31" i="81"/>
  <c r="D65" i="21"/>
  <c r="C65" i="21"/>
  <c r="E110" i="39"/>
  <c r="F110" i="39" s="1"/>
  <c r="D110" i="39"/>
  <c r="I46" i="39"/>
  <c r="I38" i="39"/>
  <c r="I7" i="39"/>
  <c r="I5" i="39"/>
  <c r="G38" i="39"/>
  <c r="E38" i="39"/>
  <c r="G7" i="39"/>
  <c r="E7" i="39"/>
  <c r="G46" i="39"/>
  <c r="E46" i="39"/>
  <c r="G5" i="39"/>
  <c r="E5" i="39"/>
  <c r="D117" i="39"/>
  <c r="E117" i="39" s="1"/>
  <c r="F117" i="39" s="1"/>
  <c r="G117" i="39" s="1"/>
  <c r="D116" i="39"/>
  <c r="E116" i="39" s="1"/>
  <c r="F116" i="39" s="1"/>
  <c r="G116" i="39" s="1"/>
  <c r="I7" i="6" l="1" a="1"/>
  <c r="I7" i="6" s="1"/>
  <c r="F19" i="6"/>
  <c r="J49" i="15"/>
  <c r="D3" i="4"/>
  <c r="J49" i="67"/>
  <c r="O20" i="1"/>
  <c r="O22" i="1" s="1"/>
  <c r="N6" i="1" s="1"/>
  <c r="B21" i="1"/>
  <c r="G14" i="73"/>
  <c r="F14" i="73"/>
  <c r="E14" i="73"/>
  <c r="K84" i="9" l="1"/>
  <c r="D33" i="43"/>
  <c r="I12" i="79"/>
  <c r="C88" i="9" l="1"/>
  <c r="I91" i="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3" i="79"/>
  <c r="AG33" i="79" s="1"/>
  <c r="S35" i="79"/>
  <c r="AG35" i="79" s="1"/>
  <c r="S34" i="79"/>
  <c r="AG34" i="79" s="1"/>
  <c r="AA31" i="79"/>
  <c r="AD31" i="79" s="1"/>
  <c r="T40" i="79"/>
  <c r="U46" i="79"/>
  <c r="AI46" i="79" s="1"/>
  <c r="AD47" i="79"/>
  <c r="S48" i="79"/>
  <c r="AG48" i="79" s="1"/>
  <c r="U50" i="79"/>
  <c r="AI50" i="79" s="1"/>
  <c r="AD51" i="79"/>
  <c r="T33" i="79"/>
  <c r="T34" i="79"/>
  <c r="T35" i="79"/>
  <c r="AD37" i="79"/>
  <c r="AD36" i="79"/>
  <c r="AD38"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23" i="79"/>
  <c r="AK23" i="79" s="1"/>
  <c r="AH23" i="79"/>
  <c r="W12" i="79"/>
  <c r="AK12" i="79" s="1"/>
  <c r="AH12" i="79"/>
  <c r="W21" i="79"/>
  <c r="AK21" i="79" s="1"/>
  <c r="AH21" i="79"/>
  <c r="W47" i="79"/>
  <c r="AK47" i="79" s="1"/>
  <c r="AH47" i="79"/>
  <c r="W45" i="79"/>
  <c r="AK45" i="79" s="1"/>
  <c r="AH45" i="79"/>
  <c r="W34" i="79"/>
  <c r="AK34" i="79" s="1"/>
  <c r="AH34" i="79"/>
  <c r="W15" i="79"/>
  <c r="AK15" i="79" s="1"/>
  <c r="AH15" i="79"/>
  <c r="W43" i="79"/>
  <c r="AK43" i="79" s="1"/>
  <c r="AH43" i="79"/>
  <c r="W38" i="79"/>
  <c r="AK38" i="79" s="1"/>
  <c r="AH38" i="79"/>
  <c r="W40" i="79"/>
  <c r="AK40" i="79" s="1"/>
  <c r="AH40" i="79"/>
  <c r="W11" i="79"/>
  <c r="AK11" i="79" s="1"/>
  <c r="AH11" i="79"/>
  <c r="W39" i="79"/>
  <c r="AK39" i="79" s="1"/>
  <c r="W17" i="79"/>
  <c r="AK17" i="79" s="1"/>
  <c r="AH17" i="79"/>
  <c r="W10" i="79"/>
  <c r="AK10" i="79" s="1"/>
  <c r="AH10" i="79"/>
  <c r="W18" i="79"/>
  <c r="AK18" i="79" s="1"/>
  <c r="AH18" i="79"/>
  <c r="W20" i="79"/>
  <c r="AK20" i="79" s="1"/>
  <c r="AH20" i="79"/>
  <c r="W33" i="79"/>
  <c r="AK33" i="79" s="1"/>
  <c r="AH33" i="79"/>
  <c r="W48" i="79"/>
  <c r="AK48" i="79" s="1"/>
  <c r="AH48" i="79"/>
  <c r="W49" i="79"/>
  <c r="AK49" i="79" s="1"/>
  <c r="AH49"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93" i="31"/>
  <c r="S93" i="31" s="1"/>
  <c r="R94" i="31"/>
  <c r="S94" i="31" s="1"/>
  <c r="R95" i="31"/>
  <c r="R96" i="31"/>
  <c r="R97" i="31"/>
  <c r="S97" i="31" s="1"/>
  <c r="R98" i="31"/>
  <c r="S98" i="31" s="1"/>
  <c r="R99" i="31"/>
  <c r="S99" i="31" s="1"/>
  <c r="R100" i="31"/>
  <c r="R101" i="31"/>
  <c r="S101" i="31" s="1"/>
  <c r="R102" i="31"/>
  <c r="S102" i="31" s="1"/>
  <c r="R103" i="31"/>
  <c r="S103" i="31" s="1"/>
  <c r="R104" i="31"/>
  <c r="R105" i="3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R134" i="31"/>
  <c r="S134" i="31" s="1"/>
  <c r="R135" i="31"/>
  <c r="S135" i="31" s="1"/>
  <c r="R136" i="31"/>
  <c r="R137" i="31"/>
  <c r="S137" i="31" s="1"/>
  <c r="R138" i="31"/>
  <c r="S138" i="31" s="1"/>
  <c r="R139" i="31"/>
  <c r="S139" i="31" s="1"/>
  <c r="R140" i="31"/>
  <c r="R141" i="3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R198" i="31"/>
  <c r="S198" i="31" s="1"/>
  <c r="R199" i="31"/>
  <c r="S199" i="31" s="1"/>
  <c r="R200" i="31"/>
  <c r="R201" i="31"/>
  <c r="S201" i="31" s="1"/>
  <c r="R202" i="31"/>
  <c r="S202" i="31" s="1"/>
  <c r="R203" i="31"/>
  <c r="S203" i="31" s="1"/>
  <c r="R204" i="31"/>
  <c r="R205" i="3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R423" i="31"/>
  <c r="S423" i="31" s="1"/>
  <c r="R424" i="31"/>
  <c r="R425" i="31"/>
  <c r="S425" i="31" s="1"/>
  <c r="R426" i="31"/>
  <c r="S426" i="31" s="1"/>
  <c r="R427" i="3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R444" i="31"/>
  <c r="R445" i="31"/>
  <c r="S445" i="31" s="1"/>
  <c r="R446" i="31"/>
  <c r="S446" i="31" s="1"/>
  <c r="R447" i="31"/>
  <c r="S447" i="31" s="1"/>
  <c r="R448" i="31"/>
  <c r="R449" i="31"/>
  <c r="S449" i="31" s="1"/>
  <c r="R450" i="31"/>
  <c r="S450" i="31" s="1"/>
  <c r="R451" i="31"/>
  <c r="S451" i="31" s="1"/>
  <c r="R452" i="31"/>
  <c r="R453" i="31"/>
  <c r="S453" i="31" s="1"/>
  <c r="R454" i="31"/>
  <c r="S454" i="31" s="1"/>
  <c r="R455" i="3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R506" i="31"/>
  <c r="S506" i="31" s="1"/>
  <c r="R507" i="31"/>
  <c r="S507" i="31" s="1"/>
  <c r="R508" i="31"/>
  <c r="R509" i="31"/>
  <c r="S509" i="31" s="1"/>
  <c r="R510" i="31"/>
  <c r="S510" i="31" s="1"/>
  <c r="R511" i="31"/>
  <c r="R512" i="31"/>
  <c r="R513" i="31"/>
  <c r="S513" i="31" s="1"/>
  <c r="R514" i="31"/>
  <c r="S514" i="31" s="1"/>
  <c r="R515" i="31"/>
  <c r="S515" i="31" s="1"/>
  <c r="R516" i="31"/>
  <c r="R517" i="31"/>
  <c r="S517" i="31" s="1"/>
  <c r="R518" i="31"/>
  <c r="S518" i="31" s="1"/>
  <c r="R519" i="31"/>
  <c r="S519" i="31" s="1"/>
  <c r="R520" i="31"/>
  <c r="R521" i="31"/>
  <c r="S521" i="31" s="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8" i="31"/>
  <c r="S284" i="31"/>
  <c r="S280" i="31"/>
  <c r="S276" i="31"/>
  <c r="S272" i="31"/>
  <c r="S268" i="31"/>
  <c r="S264" i="31"/>
  <c r="S260" i="31"/>
  <c r="S256" i="31"/>
  <c r="S252" i="31"/>
  <c r="S248" i="31"/>
  <c r="S244" i="31"/>
  <c r="S241" i="31"/>
  <c r="S240" i="31"/>
  <c r="S236" i="31"/>
  <c r="S232" i="31"/>
  <c r="S228" i="31"/>
  <c r="S224" i="31"/>
  <c r="S428" i="31"/>
  <c r="S427" i="31"/>
  <c r="S220" i="31"/>
  <c r="S216" i="31"/>
  <c r="S212" i="31"/>
  <c r="S208" i="31"/>
  <c r="S205" i="31"/>
  <c r="S204" i="31"/>
  <c r="S200" i="31"/>
  <c r="S197" i="31"/>
  <c r="S196" i="31"/>
  <c r="S192" i="31"/>
  <c r="S188" i="31"/>
  <c r="S184" i="31"/>
  <c r="S180" i="31"/>
  <c r="S176" i="31"/>
  <c r="S172" i="31"/>
  <c r="S168" i="31"/>
  <c r="S164" i="31"/>
  <c r="S160" i="31"/>
  <c r="S156" i="31"/>
  <c r="S152" i="31"/>
  <c r="S148" i="31"/>
  <c r="S144" i="31"/>
  <c r="S141" i="31"/>
  <c r="S140" i="31"/>
  <c r="S136" i="31"/>
  <c r="S133" i="31"/>
  <c r="S132" i="31"/>
  <c r="S128" i="31"/>
  <c r="S124" i="31"/>
  <c r="S496" i="31"/>
  <c r="S492" i="31"/>
  <c r="S488" i="31"/>
  <c r="S484" i="31"/>
  <c r="S480" i="31"/>
  <c r="S476" i="31"/>
  <c r="S472" i="31"/>
  <c r="S468" i="31"/>
  <c r="S444" i="31"/>
  <c r="S443" i="31"/>
  <c r="S440" i="31"/>
  <c r="S436" i="31"/>
  <c r="S432" i="31"/>
  <c r="S120" i="31"/>
  <c r="S116" i="31"/>
  <c r="S112" i="31"/>
  <c r="S504" i="31"/>
  <c r="S500" i="31"/>
  <c r="S464" i="31"/>
  <c r="S460" i="31"/>
  <c r="S456" i="31"/>
  <c r="S455" i="31"/>
  <c r="S452" i="31"/>
  <c r="S96" i="31"/>
  <c r="S95" i="31"/>
  <c r="S100" i="31"/>
  <c r="S104" i="31"/>
  <c r="S105" i="31"/>
  <c r="S108" i="31"/>
  <c r="S448" i="31"/>
  <c r="S508" i="31"/>
  <c r="S511" i="31"/>
  <c r="S512"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6" i="31"/>
  <c r="S520"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F23" i="36" s="1"/>
  <c r="AA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AB19" i="21"/>
  <c r="J19" i="21"/>
  <c r="W19" i="21" s="1"/>
  <c r="J26" i="21"/>
  <c r="W26" i="21"/>
  <c r="F26" i="21"/>
  <c r="S26" i="21"/>
  <c r="AB41" i="21"/>
  <c r="S41" i="21"/>
  <c r="AA41" i="21"/>
  <c r="F45" i="39"/>
  <c r="S45" i="39" s="1"/>
  <c r="J45" i="39"/>
  <c r="W45" i="39" s="1"/>
  <c r="J44" i="39"/>
  <c r="AC44" i="39" s="1"/>
  <c r="F36" i="39"/>
  <c r="S36" i="39" s="1"/>
  <c r="H36" i="39"/>
  <c r="AB36" i="39" s="1"/>
  <c r="J35" i="39"/>
  <c r="AC35" i="39" s="1"/>
  <c r="F35" i="39"/>
  <c r="S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s="1"/>
  <c r="S27" i="35"/>
  <c r="F11" i="40"/>
  <c r="AA11" i="40"/>
  <c r="H11" i="40"/>
  <c r="AB11" i="40"/>
  <c r="W8" i="40"/>
  <c r="AA9" i="40"/>
  <c r="U9" i="40"/>
  <c r="S34" i="40"/>
  <c r="U38" i="40"/>
  <c r="W31" i="40"/>
  <c r="U34" i="40"/>
  <c r="S38" i="40"/>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s="1"/>
  <c r="J21" i="40"/>
  <c r="W21" i="40" s="1"/>
  <c r="J34" i="39"/>
  <c r="AC34" i="39" s="1"/>
  <c r="F108" i="39"/>
  <c r="G108" i="39" s="1"/>
  <c r="H108" i="39" s="1"/>
  <c r="I108" i="39" s="1"/>
  <c r="J108" i="39" s="1"/>
  <c r="K108" i="39" s="1"/>
  <c r="L108" i="39" s="1"/>
  <c r="M108" i="39" s="1"/>
  <c r="J31" i="39"/>
  <c r="AC31" i="39" s="1"/>
  <c r="H27" i="39"/>
  <c r="U27" i="39" s="1"/>
  <c r="J19" i="39"/>
  <c r="AC19" i="39" s="1"/>
  <c r="J17" i="39"/>
  <c r="J27" i="39"/>
  <c r="AC27" i="39" s="1"/>
  <c r="F27" i="39"/>
  <c r="S27" i="39" s="1"/>
  <c r="F11" i="21"/>
  <c r="S11" i="21" s="1"/>
  <c r="C25" i="39"/>
  <c r="H11"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BA508" i="3"/>
  <c r="AZ508" i="3" s="1"/>
  <c r="BA506" i="3"/>
  <c r="BA504" i="3"/>
  <c r="AZ504" i="3" s="1"/>
  <c r="BA502" i="3"/>
  <c r="BA500" i="3"/>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BL493" i="3" s="1"/>
  <c r="AZ493" i="3" s="1"/>
  <c r="S505" i="31"/>
  <c r="O27" i="31"/>
  <c r="O28" i="31"/>
  <c r="O26" i="31"/>
  <c r="M27" i="31"/>
  <c r="M28" i="31"/>
  <c r="M26" i="31"/>
  <c r="I26" i="31"/>
  <c r="I25" i="31"/>
  <c r="Q26" i="31"/>
  <c r="K26" i="31"/>
  <c r="I27" i="31"/>
  <c r="Q27" i="31"/>
  <c r="K27" i="31"/>
  <c r="I28" i="31"/>
  <c r="Q28" i="31"/>
  <c r="K28" i="31"/>
  <c r="AC28" i="34"/>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39" i="37"/>
  <c r="U26" i="37"/>
  <c r="W47" i="34"/>
  <c r="AA13" i="33"/>
  <c r="AC45" i="33"/>
  <c r="W44" i="33"/>
  <c r="U11" i="33"/>
  <c r="U19"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19" i="40"/>
  <c r="U19" i="40" s="1"/>
  <c r="F88" i="40"/>
  <c r="G88" i="40" s="1"/>
  <c r="F19" i="40"/>
  <c r="S19" i="40" s="1"/>
  <c r="AC13" i="40"/>
  <c r="AC43" i="39"/>
  <c r="W43" i="39"/>
  <c r="U45" i="39"/>
  <c r="AB45" i="39"/>
  <c r="AB44" i="39"/>
  <c r="U44" i="39"/>
  <c r="H37" i="39"/>
  <c r="AB37" i="39" s="1"/>
  <c r="AC37" i="39"/>
  <c r="W37" i="39"/>
  <c r="H25" i="39"/>
  <c r="AB25" i="39" s="1"/>
  <c r="J25" i="39"/>
  <c r="AC25" i="39" s="1"/>
  <c r="F25" i="39"/>
  <c r="AA25" i="39" s="1"/>
  <c r="F15" i="39"/>
  <c r="AA15" i="39" s="1"/>
  <c r="H15" i="39"/>
  <c r="U15" i="39" s="1"/>
  <c r="J15" i="39"/>
  <c r="W15" i="39" s="1"/>
  <c r="H41" i="39"/>
  <c r="AB41" i="39" s="1"/>
  <c r="AB34" i="39"/>
  <c r="W8" i="39"/>
  <c r="J19" i="40"/>
  <c r="AC19" i="40" s="1"/>
  <c r="J50" i="40"/>
  <c r="H103" i="9"/>
  <c r="D8" i="53" s="1"/>
  <c r="B16" i="53"/>
  <c r="B33" i="72" s="1"/>
  <c r="W35" i="40"/>
  <c r="J11" i="39"/>
  <c r="AC11" i="39" s="1"/>
  <c r="F11" i="39"/>
  <c r="S11" i="39" s="1"/>
  <c r="G4" i="4"/>
  <c r="I4" i="4"/>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47" i="3"/>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2" i="3"/>
  <c r="AZ194" i="3"/>
  <c r="AZ198" i="3"/>
  <c r="AZ500"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4" i="3"/>
  <c r="AZ222" i="3"/>
  <c r="G342" i="3"/>
  <c r="BL345" i="3"/>
  <c r="AZ345" i="3" s="1"/>
  <c r="G346" i="3"/>
  <c r="BL349" i="3"/>
  <c r="AZ349" i="3" s="1"/>
  <c r="BL352" i="3"/>
  <c r="G353" i="3"/>
  <c r="BA357" i="3"/>
  <c r="BL358" i="3"/>
  <c r="AZ358" i="3" s="1"/>
  <c r="G359" i="3"/>
  <c r="BA361" i="3"/>
  <c r="BL362" i="3"/>
  <c r="G363" i="3"/>
  <c r="BA365" i="3"/>
  <c r="AZ365" i="3"/>
  <c r="BL366" i="3"/>
  <c r="G367" i="3"/>
  <c r="BA369" i="3"/>
  <c r="AZ369" i="3"/>
  <c r="BL370" i="3"/>
  <c r="G371" i="3"/>
  <c r="BA373" i="3"/>
  <c r="AZ373" i="3"/>
  <c r="BL374" i="3"/>
  <c r="AZ374" i="3" s="1"/>
  <c r="G375" i="3"/>
  <c r="BA377" i="3"/>
  <c r="AZ241" i="3"/>
  <c r="AZ269" i="3"/>
  <c r="BA379" i="3"/>
  <c r="AZ379" i="3" s="1"/>
  <c r="BL380" i="3"/>
  <c r="AZ380" i="3" s="1"/>
  <c r="G381" i="3"/>
  <c r="BA383" i="3"/>
  <c r="AZ383" i="3" s="1"/>
  <c r="BL384" i="3"/>
  <c r="G385" i="3"/>
  <c r="BA387" i="3"/>
  <c r="BL388" i="3"/>
  <c r="G389" i="3"/>
  <c r="BA391" i="3"/>
  <c r="AZ391" i="3" s="1"/>
  <c r="BL392" i="3"/>
  <c r="G393" i="3"/>
  <c r="BO5" i="3"/>
  <c r="BM5" i="3"/>
  <c r="BJ5" i="3"/>
  <c r="BH5" i="3"/>
  <c r="BF5" i="3"/>
  <c r="BD5" i="3"/>
  <c r="AZ341" i="3"/>
  <c r="AZ506" i="3"/>
  <c r="G548" i="3"/>
  <c r="G538" i="3"/>
  <c r="G520" i="3"/>
  <c r="G502" i="3"/>
  <c r="BS5" i="3"/>
  <c r="BP5" i="3"/>
  <c r="BN5" i="3"/>
  <c r="BK5" i="3"/>
  <c r="BI5" i="3"/>
  <c r="BG5" i="3"/>
  <c r="BE5" i="3"/>
  <c r="BC5" i="3"/>
  <c r="G17" i="3"/>
  <c r="BA17" i="3"/>
  <c r="BT5" i="3"/>
  <c r="AZ356" i="3"/>
  <c r="AZ368" i="3"/>
  <c r="BA15" i="3"/>
  <c r="BB5" i="3"/>
  <c r="BR5" i="3"/>
  <c r="AZ392" i="3"/>
  <c r="AZ499" i="3"/>
  <c r="AZ509" i="3"/>
  <c r="G509" i="3"/>
  <c r="U36" i="40"/>
  <c r="F83" i="43"/>
  <c r="H85" i="43" s="1"/>
  <c r="F50" i="43"/>
  <c r="H54" i="43" s="1"/>
  <c r="F72" i="43"/>
  <c r="H75" i="43" s="1"/>
  <c r="U17" i="39"/>
  <c r="S14" i="35"/>
  <c r="U35" i="21"/>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AZ386" i="3"/>
  <c r="C40" i="11"/>
  <c r="AZ256" i="3"/>
  <c r="AZ271" i="3"/>
  <c r="AZ133" i="3"/>
  <c r="F23" i="39"/>
  <c r="AA23" i="39" s="1"/>
  <c r="H27" i="36"/>
  <c r="U27" i="36" s="1"/>
  <c r="F27" i="36"/>
  <c r="AA27" i="36" s="1"/>
  <c r="H33" i="34"/>
  <c r="U33" i="34" s="1"/>
  <c r="F32" i="37"/>
  <c r="AA32" i="37" s="1"/>
  <c r="F20" i="36"/>
  <c r="AA20" i="36" s="1"/>
  <c r="J33" i="34"/>
  <c r="AC33" i="34" s="1"/>
  <c r="H23" i="39"/>
  <c r="U23" i="39" s="1"/>
  <c r="K9" i="1"/>
  <c r="M9" i="1" s="1"/>
  <c r="D93" i="9"/>
  <c r="AC26" i="33"/>
  <c r="W26" i="33"/>
  <c r="W27" i="34"/>
  <c r="AC27" i="34"/>
  <c r="AB34" i="36"/>
  <c r="U34" i="36"/>
  <c r="AB33" i="36"/>
  <c r="U33" i="36"/>
  <c r="W12" i="39"/>
  <c r="AZ586" i="3"/>
  <c r="AA32" i="36"/>
  <c r="S32" i="36"/>
  <c r="BL14" i="3"/>
  <c r="U30" i="33"/>
  <c r="AC13" i="34"/>
  <c r="AA47" i="34"/>
  <c r="W28" i="37"/>
  <c r="F12" i="33"/>
  <c r="S12" i="33" s="1"/>
  <c r="H12" i="39"/>
  <c r="U12" i="39" s="1"/>
  <c r="F39" i="40"/>
  <c r="BA14" i="3"/>
  <c r="AZ14" i="3" s="1"/>
  <c r="AZ254" i="3"/>
  <c r="AZ286" i="3"/>
  <c r="AZ173" i="3"/>
  <c r="AZ181" i="3"/>
  <c r="B12" i="1"/>
  <c r="E12" i="1" s="1"/>
  <c r="B10" i="1"/>
  <c r="E10" i="1" s="1"/>
  <c r="K12" i="1"/>
  <c r="M12" i="1" s="1"/>
  <c r="S13" i="1"/>
  <c r="AR13" i="1" s="1"/>
  <c r="R13" i="1"/>
  <c r="B41" i="1"/>
  <c r="F48" i="9" s="1"/>
  <c r="O52" i="9" s="1"/>
  <c r="AB37" i="40"/>
  <c r="S35" i="40"/>
  <c r="U35" i="40"/>
  <c r="AC36" i="40"/>
  <c r="W38" i="40"/>
  <c r="AA32" i="40"/>
  <c r="S17" i="40"/>
  <c r="S23" i="40"/>
  <c r="AC17" i="40"/>
  <c r="AC15" i="40"/>
  <c r="AB27" i="40"/>
  <c r="S30" i="40"/>
  <c r="AA19" i="40"/>
  <c r="S28" i="40"/>
  <c r="U21" i="40"/>
  <c r="AB19" i="40"/>
  <c r="U37" i="39"/>
  <c r="S43" i="39"/>
  <c r="S37" i="39"/>
  <c r="F32" i="39"/>
  <c r="AA32" i="39" s="1"/>
  <c r="F106" i="39"/>
  <c r="G106" i="39" s="1"/>
  <c r="H106" i="39" s="1"/>
  <c r="I106" i="39" s="1"/>
  <c r="J106" i="39" s="1"/>
  <c r="K106" i="39" s="1"/>
  <c r="L106" i="39" s="1"/>
  <c r="M106" i="39" s="1"/>
  <c r="U31" i="39"/>
  <c r="J21" i="39"/>
  <c r="W21" i="39" s="1"/>
  <c r="F21" i="39"/>
  <c r="AA21" i="39" s="1"/>
  <c r="H21" i="39"/>
  <c r="AB21" i="39" s="1"/>
  <c r="U19" i="39"/>
  <c r="S17" i="39"/>
  <c r="AC13"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41" i="21"/>
  <c r="AB39" i="21"/>
  <c r="AA43" i="21"/>
  <c r="S39" i="21"/>
  <c r="AA38" i="21"/>
  <c r="J15" i="21"/>
  <c r="W15" i="21" s="1"/>
  <c r="F77" i="21"/>
  <c r="G77" i="21"/>
  <c r="F23" i="21"/>
  <c r="S23" i="21" s="1"/>
  <c r="E85" i="21"/>
  <c r="AA14" i="21"/>
  <c r="D120" i="9"/>
  <c r="D121" i="9" s="1"/>
  <c r="D7" i="52" s="1"/>
  <c r="F34" i="67"/>
  <c r="F62" i="67" s="1"/>
  <c r="M20" i="67"/>
  <c r="F34" i="15"/>
  <c r="F62" i="15" s="1"/>
  <c r="BA13" i="3"/>
  <c r="BL17" i="3"/>
  <c r="AZ17" i="3" s="1"/>
  <c r="BL13" i="3"/>
  <c r="J56" i="9"/>
  <c r="J57" i="9" s="1"/>
  <c r="J59" i="9" s="1"/>
  <c r="J61" i="9" s="1"/>
  <c r="U29" i="34"/>
  <c r="E5"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W25" i="39"/>
  <c r="U13" i="39"/>
  <c r="AB13" i="39"/>
  <c r="AA13" i="39"/>
  <c r="S13" i="39"/>
  <c r="AA14" i="39"/>
  <c r="U43" i="39"/>
  <c r="AB43" i="39"/>
  <c r="AB11" i="39"/>
  <c r="U11" i="39"/>
  <c r="W17" i="39"/>
  <c r="AC17" i="39"/>
  <c r="S23" i="39"/>
  <c r="AA45" i="39"/>
  <c r="W34" i="39"/>
  <c r="U38" i="39"/>
  <c r="S8" i="39"/>
  <c r="AC25" i="36"/>
  <c r="U32" i="36"/>
  <c r="W29" i="36"/>
  <c r="AC20"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AB42" i="21"/>
  <c r="U28" i="21"/>
  <c r="F33" i="21"/>
  <c r="AA33" i="21" s="1"/>
  <c r="J33" i="21"/>
  <c r="AC33" i="21" s="1"/>
  <c r="H33" i="21"/>
  <c r="AB33" i="21" s="1"/>
  <c r="F37" i="21"/>
  <c r="AA37" i="21" s="1"/>
  <c r="AA26" i="21"/>
  <c r="AB14" i="21"/>
  <c r="U40" i="21"/>
  <c r="AB31" i="21"/>
  <c r="U31" i="21"/>
  <c r="U13" i="21"/>
  <c r="AB13" i="21"/>
  <c r="S35" i="21"/>
  <c r="J37" i="21"/>
  <c r="W37" i="21" s="1"/>
  <c r="H15" i="21"/>
  <c r="U15" i="21" s="1"/>
  <c r="J17" i="21"/>
  <c r="W17" i="21" s="1"/>
  <c r="AC17" i="21"/>
  <c r="AC19" i="21"/>
  <c r="AC14" i="21"/>
  <c r="S46" i="21"/>
  <c r="H45" i="21"/>
  <c r="U45" i="21" s="1"/>
  <c r="F29" i="21"/>
  <c r="AA29" i="21" s="1"/>
  <c r="F13" i="21"/>
  <c r="AA13" i="21" s="1"/>
  <c r="AC38" i="21"/>
  <c r="H9" i="21"/>
  <c r="U9" i="21" s="1"/>
  <c r="J9" i="21"/>
  <c r="W9" i="21" s="1"/>
  <c r="J32" i="21"/>
  <c r="W32" i="21" s="1"/>
  <c r="W29" i="21"/>
  <c r="K141" i="21"/>
  <c r="K144" i="21"/>
  <c r="K143" i="21"/>
  <c r="AB25" i="21"/>
  <c r="AA30" i="21"/>
  <c r="W13" i="21"/>
  <c r="W42" i="21"/>
  <c r="AC45" i="21"/>
  <c r="K145" i="21"/>
  <c r="W31"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AA12" i="33"/>
  <c r="J32" i="39"/>
  <c r="W32" i="39" s="1"/>
  <c r="H32" i="39"/>
  <c r="AB32" i="39" s="1"/>
  <c r="S32" i="39"/>
  <c r="AC17" i="37"/>
  <c r="S17" i="37"/>
  <c r="J19" i="37"/>
  <c r="W19" i="37" s="1"/>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B23" i="33"/>
  <c r="U23" i="33"/>
  <c r="F23" i="33"/>
  <c r="AA19" i="33"/>
  <c r="H19" i="33"/>
  <c r="G81" i="33"/>
  <c r="H17" i="33"/>
  <c r="U17" i="33" s="1"/>
  <c r="F17" i="33"/>
  <c r="S17" i="33" s="1"/>
  <c r="W17" i="33"/>
  <c r="AC17" i="33"/>
  <c r="S37" i="21"/>
  <c r="AA23" i="21"/>
  <c r="J23" i="21"/>
  <c r="W23" i="21" s="1"/>
  <c r="F85" i="21"/>
  <c r="G85" i="21" s="1"/>
  <c r="H23" i="21"/>
  <c r="AB23" i="21" s="1"/>
  <c r="D6" i="52"/>
  <c r="AP7" i="1"/>
  <c r="AC23" i="37"/>
  <c r="J11" i="37"/>
  <c r="AC11" i="37" s="1"/>
  <c r="J11" i="34"/>
  <c r="W11" i="34" s="1"/>
  <c r="AB36" i="33"/>
  <c r="AC27" i="33"/>
  <c r="W25" i="33"/>
  <c r="AC25" i="33"/>
  <c r="AB19" i="33"/>
  <c r="U19" i="33"/>
  <c r="AA17" i="33"/>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8" i="67"/>
  <c r="F9" i="67"/>
  <c r="E7" i="76"/>
  <c r="F26" i="67"/>
  <c r="M24" i="15"/>
  <c r="F8" i="15"/>
  <c r="F37" i="15"/>
  <c r="B11" i="76"/>
  <c r="M22" i="67"/>
  <c r="M29" i="15"/>
  <c r="B8" i="76"/>
  <c r="J15" i="15"/>
  <c r="E9" i="76"/>
  <c r="M6" i="15"/>
  <c r="B7" i="76"/>
  <c r="E2" i="68"/>
  <c r="F6" i="67"/>
  <c r="B10" i="76"/>
  <c r="M28" i="67"/>
  <c r="M24" i="67"/>
  <c r="F16" i="67"/>
  <c r="F9" i="15"/>
  <c r="AO13" i="1"/>
  <c r="L47" i="15"/>
  <c r="M23" i="15"/>
  <c r="F13" i="67"/>
  <c r="M29" i="67"/>
  <c r="F43" i="67"/>
  <c r="F7" i="73"/>
  <c r="E10" i="76"/>
  <c r="F26" i="15"/>
  <c r="M9" i="15"/>
  <c r="F43" i="15"/>
  <c r="D6" i="73"/>
  <c r="F7" i="15"/>
  <c r="C76" i="15"/>
  <c r="F42" i="67"/>
  <c r="L48" i="67"/>
  <c r="F40" i="15"/>
  <c r="F6" i="73"/>
  <c r="B13" i="76"/>
  <c r="F42" i="15"/>
  <c r="F36" i="15"/>
  <c r="M9" i="67"/>
  <c r="B12" i="76"/>
  <c r="M23" i="67"/>
  <c r="M26" i="15"/>
  <c r="E12" i="76"/>
  <c r="F13" i="15"/>
  <c r="M22" i="15"/>
  <c r="F38" i="15"/>
  <c r="M6" i="67"/>
  <c r="F20" i="31"/>
  <c r="C76" i="67"/>
  <c r="F40" i="67"/>
  <c r="F37" i="67"/>
  <c r="F36" i="67"/>
  <c r="L48" i="15"/>
  <c r="M8" i="15"/>
  <c r="J15" i="67"/>
  <c r="M26" i="67"/>
  <c r="F16" i="15"/>
  <c r="F8" i="67"/>
  <c r="F4" i="73"/>
  <c r="B9" i="76"/>
  <c r="M28" i="15"/>
  <c r="L47" i="67"/>
  <c r="F7" i="67"/>
  <c r="F3" i="73"/>
  <c r="F38" i="67"/>
  <c r="E11" i="76"/>
  <c r="E8" i="76"/>
  <c r="E13" i="76"/>
  <c r="F6" i="15"/>
  <c r="F5" i="73"/>
  <c r="E2" i="69"/>
  <c r="F32" i="21" l="1"/>
  <c r="AA32" i="21" s="1"/>
  <c r="H32" i="21"/>
  <c r="AB32" i="21" s="1"/>
  <c r="AB44" i="21"/>
  <c r="G13" i="3"/>
  <c r="W30" i="21"/>
  <c r="W36" i="21"/>
  <c r="AC35" i="21"/>
  <c r="AC15" i="21"/>
  <c r="AB15" i="21"/>
  <c r="AB9" i="21"/>
  <c r="W39" i="21"/>
  <c r="W25" i="21"/>
  <c r="W44" i="21"/>
  <c r="S44" i="21"/>
  <c r="U27" i="21"/>
  <c r="S27" i="21"/>
  <c r="U23" i="21"/>
  <c r="AC21" i="21"/>
  <c r="S19" i="21"/>
  <c r="U17" i="21"/>
  <c r="AC9" i="21"/>
  <c r="AC40" i="21"/>
  <c r="U43" i="21"/>
  <c r="AB46" i="21"/>
  <c r="U34" i="21"/>
  <c r="S17" i="21"/>
  <c r="AA9" i="21"/>
  <c r="S45" i="21"/>
  <c r="AA36" i="21"/>
  <c r="S40" i="21"/>
  <c r="AA31" i="21"/>
  <c r="W27" i="39"/>
  <c r="AC38" i="39"/>
  <c r="W40" i="39"/>
  <c r="U41" i="39"/>
  <c r="U32" i="39"/>
  <c r="U25" i="39"/>
  <c r="U21" i="39"/>
  <c r="AB39" i="39"/>
  <c r="H42" i="39"/>
  <c r="F42" i="39"/>
  <c r="AA42" i="39" s="1"/>
  <c r="AA41" i="39"/>
  <c r="U14" i="39"/>
  <c r="S9" i="39"/>
  <c r="AB12" i="39"/>
  <c r="AC32" i="39"/>
  <c r="W31" i="39"/>
  <c r="S19" i="39"/>
  <c r="W19" i="39"/>
  <c r="S40" i="39"/>
  <c r="U40" i="39"/>
  <c r="AA35" i="39"/>
  <c r="AC41" i="39"/>
  <c r="AA39" i="39"/>
  <c r="U35" i="39"/>
  <c r="W29" i="39"/>
  <c r="AA27" i="39"/>
  <c r="AB27" i="39"/>
  <c r="W23" i="39"/>
  <c r="AA12" i="39"/>
  <c r="W11" i="39"/>
  <c r="W9" i="39"/>
  <c r="U9" i="39"/>
  <c r="AA11" i="39"/>
  <c r="E32" i="6"/>
  <c r="C40" i="68"/>
  <c r="C21" i="68"/>
  <c r="C7" i="21"/>
  <c r="C42" i="1"/>
  <c r="C24" i="12" s="1"/>
  <c r="C7" i="36"/>
  <c r="C46" i="36" s="1"/>
  <c r="D46" i="36" s="1"/>
  <c r="E46" i="36" s="1"/>
  <c r="F46" i="36" s="1"/>
  <c r="G46" i="36" s="1"/>
  <c r="H46" i="36" s="1"/>
  <c r="I46" i="36" s="1"/>
  <c r="G23" i="43"/>
  <c r="C23" i="43" s="1"/>
  <c r="C7" i="33"/>
  <c r="J51" i="67"/>
  <c r="J53" i="67" s="1"/>
  <c r="C7" i="34"/>
  <c r="C59" i="34" s="1"/>
  <c r="D59" i="34" s="1"/>
  <c r="E59" i="34" s="1"/>
  <c r="F59" i="34" s="1"/>
  <c r="G59" i="34" s="1"/>
  <c r="H59" i="34" s="1"/>
  <c r="I59" i="34" s="1"/>
  <c r="J59" i="34" s="1"/>
  <c r="K59" i="34" s="1"/>
  <c r="L59" i="34" s="1"/>
  <c r="M59" i="34" s="1"/>
  <c r="N59" i="34" s="1"/>
  <c r="O59" i="34" s="1"/>
  <c r="M47" i="9"/>
  <c r="C7" i="35"/>
  <c r="C48" i="35" s="1"/>
  <c r="D48" i="35" s="1"/>
  <c r="A24" i="51"/>
  <c r="B18" i="72" s="1"/>
  <c r="G29" i="6"/>
  <c r="F29" i="6"/>
  <c r="A2" i="9"/>
  <c r="A118" i="9"/>
  <c r="A4" i="52"/>
  <c r="B41" i="72" s="1"/>
  <c r="AC23" i="21"/>
  <c r="U33" i="40"/>
  <c r="AB33" i="40"/>
  <c r="C21" i="71"/>
  <c r="D21" i="71" s="1"/>
  <c r="S13" i="21"/>
  <c r="M18" i="15"/>
  <c r="M18" i="67"/>
  <c r="F30" i="11"/>
  <c r="C48" i="11" s="1"/>
  <c r="AA35" i="33"/>
  <c r="U27" i="34"/>
  <c r="AC39" i="34"/>
  <c r="S32" i="37"/>
  <c r="S20" i="35"/>
  <c r="AA34" i="33"/>
  <c r="AA12" i="40"/>
  <c r="AZ387" i="3"/>
  <c r="AZ362" i="3"/>
  <c r="AZ338" i="3"/>
  <c r="AZ390" i="3"/>
  <c r="AZ371" i="3"/>
  <c r="AZ351" i="3"/>
  <c r="AZ336" i="3"/>
  <c r="AZ305" i="3"/>
  <c r="AZ360" i="3"/>
  <c r="AZ503" i="3"/>
  <c r="AZ513" i="3"/>
  <c r="AZ575" i="3"/>
  <c r="S14" i="34"/>
  <c r="AA14" i="34"/>
  <c r="W31" i="33"/>
  <c r="AC31" i="33"/>
  <c r="W36" i="34"/>
  <c r="AC36" i="34"/>
  <c r="S29" i="35"/>
  <c r="AA29" i="35"/>
  <c r="U32" i="21"/>
  <c r="S32" i="21"/>
  <c r="AB45" i="21"/>
  <c r="S21" i="39"/>
  <c r="F54" i="9"/>
  <c r="F32" i="15"/>
  <c r="F60" i="15" s="1"/>
  <c r="F52" i="9"/>
  <c r="F30" i="68"/>
  <c r="F48" i="68" s="1"/>
  <c r="S20" i="36"/>
  <c r="S15" i="39"/>
  <c r="AC34" i="33"/>
  <c r="AZ304" i="3"/>
  <c r="AZ306" i="3"/>
  <c r="AZ540" i="3"/>
  <c r="AA14" i="40"/>
  <c r="S14" i="40"/>
  <c r="S14" i="37"/>
  <c r="AA14" i="37"/>
  <c r="U45" i="33"/>
  <c r="AB45" i="33"/>
  <c r="AA44" i="34"/>
  <c r="S44" i="34"/>
  <c r="D68" i="9"/>
  <c r="F30" i="69"/>
  <c r="F48" i="69" s="1"/>
  <c r="F31" i="12"/>
  <c r="AB20" i="35"/>
  <c r="S43" i="33"/>
  <c r="AC5" i="3"/>
  <c r="AZ357" i="3"/>
  <c r="AZ313" i="3"/>
  <c r="AZ394" i="3"/>
  <c r="S25" i="21"/>
  <c r="AA25" i="21"/>
  <c r="AZ527" i="3"/>
  <c r="AZ571" i="3"/>
  <c r="AZ579" i="3"/>
  <c r="AZ510" i="3"/>
  <c r="AZ552" i="3"/>
  <c r="AZ584" i="3"/>
  <c r="AA41" i="33"/>
  <c r="S41" i="33"/>
  <c r="BL587" i="3"/>
  <c r="AZ587" i="3" s="1"/>
  <c r="W31" i="35"/>
  <c r="AC31" i="35"/>
  <c r="BA551" i="3"/>
  <c r="AZ551" i="3" s="1"/>
  <c r="BA550" i="3"/>
  <c r="BL548" i="3"/>
  <c r="AZ548" i="3" s="1"/>
  <c r="AZ531" i="3"/>
  <c r="AZ583" i="3"/>
  <c r="AZ568" i="3"/>
  <c r="AZ576" i="3"/>
  <c r="G587" i="3"/>
  <c r="B101" i="43"/>
  <c r="B79" i="43"/>
  <c r="H12" i="33"/>
  <c r="U12" i="33" s="1"/>
  <c r="J12" i="33"/>
  <c r="J39" i="40"/>
  <c r="H39" i="40"/>
  <c r="AZ458" i="3"/>
  <c r="AB23" i="34"/>
  <c r="BL585" i="3"/>
  <c r="AZ539" i="3"/>
  <c r="AZ529" i="3"/>
  <c r="AZ537" i="3"/>
  <c r="AZ518" i="3"/>
  <c r="AZ526" i="3"/>
  <c r="AZ546" i="3"/>
  <c r="AZ564" i="3"/>
  <c r="AZ580" i="3"/>
  <c r="AZ585" i="3"/>
  <c r="AB17" i="34"/>
  <c r="J9" i="33"/>
  <c r="H9" i="33"/>
  <c r="H23" i="36"/>
  <c r="J23" i="36"/>
  <c r="AZ443" i="3"/>
  <c r="AZ451" i="3"/>
  <c r="AZ469" i="3"/>
  <c r="BA401" i="3"/>
  <c r="BA403" i="3"/>
  <c r="BA404" i="3"/>
  <c r="AZ404" i="3" s="1"/>
  <c r="BA405" i="3"/>
  <c r="BL410" i="3"/>
  <c r="G412" i="3"/>
  <c r="G418" i="3"/>
  <c r="BA422" i="3"/>
  <c r="BL449" i="3"/>
  <c r="BL450" i="3"/>
  <c r="BL452" i="3"/>
  <c r="BL456" i="3"/>
  <c r="AZ464" i="3"/>
  <c r="BL467" i="3"/>
  <c r="BL468" i="3"/>
  <c r="BL470" i="3"/>
  <c r="G472" i="3"/>
  <c r="G473" i="3"/>
  <c r="BL473" i="3"/>
  <c r="AZ473" i="3" s="1"/>
  <c r="BL474" i="3"/>
  <c r="BA482" i="3"/>
  <c r="BA484" i="3"/>
  <c r="AZ484" i="3" s="1"/>
  <c r="G491" i="3"/>
  <c r="BA303" i="3"/>
  <c r="AZ303" i="3" s="1"/>
  <c r="BA307" i="3"/>
  <c r="AZ307" i="3" s="1"/>
  <c r="G311" i="3"/>
  <c r="BL314" i="3"/>
  <c r="AZ314" i="3" s="1"/>
  <c r="G315" i="3"/>
  <c r="BA332" i="3"/>
  <c r="AZ332" i="3" s="1"/>
  <c r="BL332" i="3"/>
  <c r="G339" i="3"/>
  <c r="G364" i="3"/>
  <c r="BA367" i="3"/>
  <c r="AZ367" i="3" s="1"/>
  <c r="BA370" i="3"/>
  <c r="AZ370" i="3" s="1"/>
  <c r="G427" i="3"/>
  <c r="BL428" i="3"/>
  <c r="BL429" i="3"/>
  <c r="BL432" i="3"/>
  <c r="BL435" i="3"/>
  <c r="BL436" i="3"/>
  <c r="BA439" i="3"/>
  <c r="BA440" i="3"/>
  <c r="AZ440" i="3" s="1"/>
  <c r="BA442" i="3"/>
  <c r="BA445" i="3"/>
  <c r="BA447" i="3"/>
  <c r="AZ447" i="3" s="1"/>
  <c r="BL454" i="3"/>
  <c r="G458" i="3"/>
  <c r="BL459" i="3"/>
  <c r="G462" i="3"/>
  <c r="BA465" i="3"/>
  <c r="AZ465"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A396" i="3"/>
  <c r="BA208" i="3"/>
  <c r="AZ208" i="3" s="1"/>
  <c r="G223" i="3"/>
  <c r="BA228" i="3"/>
  <c r="AZ228" i="3" s="1"/>
  <c r="BA230" i="3"/>
  <c r="AZ230" i="3" s="1"/>
  <c r="B75" i="4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AZ487" i="3"/>
  <c r="BA388" i="3"/>
  <c r="AZ388" i="3" s="1"/>
  <c r="BA210" i="3"/>
  <c r="BL210" i="3"/>
  <c r="BL213" i="3"/>
  <c r="BL215" i="3"/>
  <c r="BL234" i="3"/>
  <c r="AZ125" i="3"/>
  <c r="AZ177" i="3"/>
  <c r="H23" i="35"/>
  <c r="G551" i="3"/>
  <c r="BL550" i="3"/>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AZ454" i="3" s="1"/>
  <c r="BA457" i="3"/>
  <c r="BA459" i="3"/>
  <c r="BA460" i="3"/>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9" i="3"/>
  <c r="BA211" i="3"/>
  <c r="AZ211" i="3" s="1"/>
  <c r="BL216" i="3"/>
  <c r="BA221" i="3"/>
  <c r="G225" i="3"/>
  <c r="BL225" i="3"/>
  <c r="BL226" i="3"/>
  <c r="G227" i="3"/>
  <c r="BL232" i="3"/>
  <c r="AZ301" i="3"/>
  <c r="BA268" i="3"/>
  <c r="BL273" i="3"/>
  <c r="G274" i="3"/>
  <c r="BA277" i="3"/>
  <c r="AZ277" i="3" s="1"/>
  <c r="BL277" i="3"/>
  <c r="BA282" i="3"/>
  <c r="AZ282" i="3" s="1"/>
  <c r="BL282" i="3"/>
  <c r="BA284" i="3"/>
  <c r="BL290" i="3"/>
  <c r="BL291" i="3"/>
  <c r="AZ291" i="3" s="1"/>
  <c r="BL293" i="3"/>
  <c r="BL294" i="3"/>
  <c r="BA297" i="3"/>
  <c r="AZ297" i="3" s="1"/>
  <c r="BL297" i="3"/>
  <c r="BL300" i="3"/>
  <c r="BA302" i="3"/>
  <c r="G115" i="3"/>
  <c r="BA117" i="3"/>
  <c r="BA130" i="3"/>
  <c r="BL130" i="3"/>
  <c r="BA137" i="3"/>
  <c r="BL138" i="3"/>
  <c r="BA140" i="3"/>
  <c r="AZ140" i="3" s="1"/>
  <c r="BA142" i="3"/>
  <c r="BL149" i="3"/>
  <c r="AZ149" i="3" s="1"/>
  <c r="BL150" i="3"/>
  <c r="G151" i="3"/>
  <c r="BA152" i="3"/>
  <c r="AZ152" i="3" s="1"/>
  <c r="BA154" i="3"/>
  <c r="AZ154" i="3" s="1"/>
  <c r="BA27" i="3"/>
  <c r="BL30" i="3"/>
  <c r="BL31" i="3"/>
  <c r="G37" i="3"/>
  <c r="BL40" i="3"/>
  <c r="BL41" i="3"/>
  <c r="BL45" i="3"/>
  <c r="BA48" i="3"/>
  <c r="BA49" i="3"/>
  <c r="BA51" i="3"/>
  <c r="G55" i="3"/>
  <c r="BL56" i="3"/>
  <c r="BA58" i="3"/>
  <c r="BL59" i="3"/>
  <c r="BL60" i="3"/>
  <c r="BA61" i="3"/>
  <c r="BL65" i="3"/>
  <c r="BL66" i="3"/>
  <c r="BL72" i="3"/>
  <c r="AZ72" i="3" s="1"/>
  <c r="BL79" i="3"/>
  <c r="BL81" i="3"/>
  <c r="BA82" i="3"/>
  <c r="AZ82" i="3" s="1"/>
  <c r="D31" i="71"/>
  <c r="C32" i="71"/>
  <c r="C60" i="71"/>
  <c r="D59" i="71"/>
  <c r="N67" i="71"/>
  <c r="B66" i="71"/>
  <c r="F66" i="71"/>
  <c r="Q67" i="71"/>
  <c r="V24" i="71"/>
  <c r="E23" i="71"/>
  <c r="E22" i="71" s="1"/>
  <c r="E21" i="71" s="1"/>
  <c r="E20" i="71" s="1"/>
  <c r="BA236" i="3"/>
  <c r="BA238" i="3"/>
  <c r="BA243" i="3"/>
  <c r="AZ243" i="3" s="1"/>
  <c r="BL248" i="3"/>
  <c r="AZ248" i="3" s="1"/>
  <c r="BL250" i="3"/>
  <c r="AZ250" i="3" s="1"/>
  <c r="BA259" i="3"/>
  <c r="AZ259" i="3" s="1"/>
  <c r="BL261" i="3"/>
  <c r="BA263" i="3"/>
  <c r="BA267" i="3"/>
  <c r="AZ267" i="3" s="1"/>
  <c r="BA296" i="3"/>
  <c r="BL157" i="3"/>
  <c r="AZ157" i="3" s="1"/>
  <c r="BL159" i="3"/>
  <c r="AZ159" i="3" s="1"/>
  <c r="BL177" i="3"/>
  <c r="BL183" i="3"/>
  <c r="AZ183" i="3" s="1"/>
  <c r="BA186" i="3"/>
  <c r="AZ186" i="3" s="1"/>
  <c r="BA190" i="3"/>
  <c r="BA197" i="3"/>
  <c r="BL201" i="3"/>
  <c r="AZ201" i="3" s="1"/>
  <c r="BL203" i="3"/>
  <c r="AZ203" i="3" s="1"/>
  <c r="BA204" i="3"/>
  <c r="AZ204" i="3" s="1"/>
  <c r="BA18" i="3"/>
  <c r="BL21" i="3"/>
  <c r="G23" i="3"/>
  <c r="G29" i="3"/>
  <c r="BL29" i="3"/>
  <c r="AZ29" i="3" s="1"/>
  <c r="G33" i="3"/>
  <c r="G34" i="3"/>
  <c r="BA37" i="3"/>
  <c r="G39" i="3"/>
  <c r="BL39" i="3"/>
  <c r="AZ39" i="3" s="1"/>
  <c r="G43" i="3"/>
  <c r="G44" i="3"/>
  <c r="BA45" i="3"/>
  <c r="BA46" i="3"/>
  <c r="BL49" i="3"/>
  <c r="BL50" i="3"/>
  <c r="AZ50" i="3" s="1"/>
  <c r="BL51" i="3"/>
  <c r="BL64" i="3"/>
  <c r="G65" i="3"/>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BL302" i="3"/>
  <c r="BA114" i="3"/>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5" i="3"/>
  <c r="AZ25" i="3" s="1"/>
  <c r="AZ52" i="3"/>
  <c r="AZ65" i="3"/>
  <c r="BA80" i="3"/>
  <c r="C44" i="71"/>
  <c r="D43" i="7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BA32" i="3"/>
  <c r="G38" i="3"/>
  <c r="BA38" i="3"/>
  <c r="AZ38" i="3" s="1"/>
  <c r="BA41" i="3"/>
  <c r="AZ41" i="3" s="1"/>
  <c r="BA42" i="3"/>
  <c r="G47" i="3"/>
  <c r="BL48" i="3"/>
  <c r="BL54" i="3"/>
  <c r="BL55" i="3"/>
  <c r="AZ55" i="3" s="1"/>
  <c r="G58" i="3"/>
  <c r="BA59" i="3"/>
  <c r="AZ59" i="3" s="1"/>
  <c r="BL61" i="3"/>
  <c r="G64" i="3"/>
  <c r="BA64" i="3"/>
  <c r="AZ64" i="3" s="1"/>
  <c r="BL67" i="3"/>
  <c r="AZ67" i="3" s="1"/>
  <c r="BA70" i="3"/>
  <c r="AZ70" i="3" s="1"/>
  <c r="BL74" i="3"/>
  <c r="BL75" i="3"/>
  <c r="BA78" i="3"/>
  <c r="BL86" i="3"/>
  <c r="C47" i="71"/>
  <c r="D47" i="71" s="1"/>
  <c r="D46" i="71"/>
  <c r="C52" i="71"/>
  <c r="D51" i="71"/>
  <c r="C55" i="71"/>
  <c r="D54" i="7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AZ103"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L19" i="6"/>
  <c r="L27" i="6" s="1"/>
  <c r="M6" i="1"/>
  <c r="O6" i="1" s="1"/>
  <c r="T13" i="1"/>
  <c r="C58" i="21"/>
  <c r="D58" i="21" s="1"/>
  <c r="C58" i="33"/>
  <c r="C28" i="15"/>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I1" i="73"/>
  <c r="B39" i="1" s="1"/>
  <c r="F51" i="67"/>
  <c r="F65" i="67"/>
  <c r="I54" i="67"/>
  <c r="M7" i="15"/>
  <c r="J6" i="15" s="1"/>
  <c r="F50" i="15"/>
  <c r="F51" i="15"/>
  <c r="F71" i="15"/>
  <c r="C6" i="15"/>
  <c r="F66" i="67"/>
  <c r="L59" i="15"/>
  <c r="N59" i="15"/>
  <c r="L58" i="15"/>
  <c r="M59" i="15"/>
  <c r="F66" i="15"/>
  <c r="Q71" i="67"/>
  <c r="F64" i="15"/>
  <c r="C27" i="67"/>
  <c r="F71" i="67"/>
  <c r="C27" i="15"/>
  <c r="F65" i="15"/>
  <c r="L58" i="67"/>
  <c r="B13" i="70"/>
  <c r="M7" i="67"/>
  <c r="J6" i="67" s="1"/>
  <c r="F50" i="67"/>
  <c r="F68" i="67"/>
  <c r="F64" i="67"/>
  <c r="F68" i="15"/>
  <c r="D9" i="69"/>
  <c r="C36" i="69"/>
  <c r="D3" i="73"/>
  <c r="D9" i="68"/>
  <c r="D7" i="73"/>
  <c r="D5" i="73"/>
  <c r="D4" i="73"/>
  <c r="C16" i="15"/>
  <c r="C16" i="67"/>
  <c r="C36" i="68"/>
  <c r="S42" i="39" l="1"/>
  <c r="AB42" i="39"/>
  <c r="U42" i="39"/>
  <c r="Q16" i="1"/>
  <c r="F27" i="69" s="1"/>
  <c r="C47" i="69" s="1"/>
  <c r="D45" i="69" s="1"/>
  <c r="L59" i="67"/>
  <c r="Q74" i="67" s="1"/>
  <c r="L56" i="67"/>
  <c r="N59" i="67"/>
  <c r="J57" i="67"/>
  <c r="J55" i="67" s="1"/>
  <c r="J58" i="67" s="1"/>
  <c r="Q50" i="67" s="1"/>
  <c r="C77" i="9"/>
  <c r="C74" i="9" s="1"/>
  <c r="C30" i="69"/>
  <c r="C48" i="69"/>
  <c r="C28" i="67"/>
  <c r="M59" i="67"/>
  <c r="C30" i="68"/>
  <c r="C31" i="12"/>
  <c r="O23" i="43"/>
  <c r="J7" i="36"/>
  <c r="P26" i="43"/>
  <c r="A1" i="79"/>
  <c r="N94" i="46"/>
  <c r="F26" i="43"/>
  <c r="N370" i="46"/>
  <c r="J26" i="43"/>
  <c r="C30" i="11"/>
  <c r="E59" i="40"/>
  <c r="P6" i="1"/>
  <c r="C13" i="12" s="1"/>
  <c r="H16" i="1"/>
  <c r="K16" i="1"/>
  <c r="B29" i="1" s="1"/>
  <c r="E26" i="43"/>
  <c r="H26" i="43"/>
  <c r="D26" i="43" s="1"/>
  <c r="G16" i="1"/>
  <c r="F10" i="39" s="1"/>
  <c r="AA10" i="39" s="1"/>
  <c r="T28" i="71"/>
  <c r="D28" i="71"/>
  <c r="U28" i="71" s="1"/>
  <c r="C27" i="71"/>
  <c r="D79" i="71"/>
  <c r="C78" i="71"/>
  <c r="D78" i="71" s="1"/>
  <c r="AZ31" i="3"/>
  <c r="AZ190" i="3"/>
  <c r="D60" i="71"/>
  <c r="T60" i="71"/>
  <c r="AZ58" i="3"/>
  <c r="AZ49" i="3"/>
  <c r="AZ5" i="3" s="1"/>
  <c r="AZ459" i="3"/>
  <c r="AZ421" i="3"/>
  <c r="AZ414" i="3"/>
  <c r="U23" i="35"/>
  <c r="AB23" i="35"/>
  <c r="AZ422" i="3"/>
  <c r="AZ405" i="3"/>
  <c r="AB23" i="36"/>
  <c r="U23" i="36"/>
  <c r="D83" i="71"/>
  <c r="C82" i="71"/>
  <c r="D82" i="71" s="1"/>
  <c r="O65" i="71"/>
  <c r="D66" i="71"/>
  <c r="O66" i="71"/>
  <c r="T52" i="71"/>
  <c r="D52" i="71"/>
  <c r="D44" i="71"/>
  <c r="T44" i="71"/>
  <c r="AZ263" i="3"/>
  <c r="N65" i="71"/>
  <c r="N66" i="71"/>
  <c r="T32" i="71"/>
  <c r="D32" i="71"/>
  <c r="AZ61" i="3"/>
  <c r="AZ137" i="3"/>
  <c r="AZ483" i="3"/>
  <c r="AZ457" i="3"/>
  <c r="AZ491" i="3"/>
  <c r="AB9" i="33"/>
  <c r="U9" i="33"/>
  <c r="U39" i="40"/>
  <c r="AB39" i="40"/>
  <c r="AZ550" i="3"/>
  <c r="C40" i="71"/>
  <c r="D39" i="71"/>
  <c r="AZ302" i="3"/>
  <c r="AZ284" i="3"/>
  <c r="AZ403" i="3"/>
  <c r="AC9" i="33"/>
  <c r="W9" i="33"/>
  <c r="AC39" i="40"/>
  <c r="W39" i="40"/>
  <c r="G5" i="3"/>
  <c r="B3" i="3" s="1"/>
  <c r="E539" i="3" s="1"/>
  <c r="C70" i="71"/>
  <c r="D70" i="71" s="1"/>
  <c r="D71" i="71"/>
  <c r="C36" i="71"/>
  <c r="D35" i="71"/>
  <c r="AZ75" i="3"/>
  <c r="C56" i="71"/>
  <c r="D55" i="71"/>
  <c r="AZ251" i="3"/>
  <c r="AZ247" i="3"/>
  <c r="AZ21" i="3"/>
  <c r="AZ45" i="3"/>
  <c r="AZ197" i="3"/>
  <c r="AZ238" i="3"/>
  <c r="AZ51" i="3"/>
  <c r="AZ130" i="3"/>
  <c r="AZ460" i="3"/>
  <c r="AZ210" i="3"/>
  <c r="AZ401" i="3"/>
  <c r="AC23" i="36"/>
  <c r="W23" i="36"/>
  <c r="W12" i="33"/>
  <c r="AC12" i="33"/>
  <c r="J7" i="37"/>
  <c r="AC7" i="37" s="1"/>
  <c r="K1" i="73"/>
  <c r="E510" i="3"/>
  <c r="E425" i="3"/>
  <c r="E81" i="3"/>
  <c r="E96" i="3"/>
  <c r="E140" i="3"/>
  <c r="E243" i="3"/>
  <c r="E324" i="3"/>
  <c r="E493" i="3"/>
  <c r="E490" i="3"/>
  <c r="E40" i="3"/>
  <c r="E339" i="3"/>
  <c r="E123" i="3"/>
  <c r="E552" i="3"/>
  <c r="E65" i="3"/>
  <c r="E209" i="3"/>
  <c r="E464" i="3"/>
  <c r="E373" i="3"/>
  <c r="E66" i="3"/>
  <c r="Y6" i="3"/>
  <c r="E98" i="3"/>
  <c r="E82" i="3"/>
  <c r="E313" i="3"/>
  <c r="E471" i="3"/>
  <c r="E475" i="3"/>
  <c r="E257" i="3"/>
  <c r="E379" i="3"/>
  <c r="E548" i="3"/>
  <c r="E546" i="3"/>
  <c r="E126" i="3"/>
  <c r="E272" i="3"/>
  <c r="E501" i="3"/>
  <c r="E153" i="3"/>
  <c r="E574" i="3"/>
  <c r="E390" i="3"/>
  <c r="E418" i="3"/>
  <c r="E298" i="3"/>
  <c r="E169" i="3"/>
  <c r="E213" i="3"/>
  <c r="E221" i="3"/>
  <c r="E254" i="3"/>
  <c r="AN6" i="3"/>
  <c r="AA6" i="3"/>
  <c r="E156" i="3"/>
  <c r="E262" i="3"/>
  <c r="E330" i="3"/>
  <c r="Q6" i="3"/>
  <c r="E344" i="3"/>
  <c r="E496" i="3"/>
  <c r="E55" i="3"/>
  <c r="E274" i="3"/>
  <c r="E32" i="3"/>
  <c r="I6" i="3"/>
  <c r="E576" i="3"/>
  <c r="P6" i="3"/>
  <c r="E443" i="3"/>
  <c r="E404" i="3"/>
  <c r="E166" i="3"/>
  <c r="E295" i="3"/>
  <c r="E480" i="3"/>
  <c r="E553" i="3"/>
  <c r="E282" i="3"/>
  <c r="E569" i="3"/>
  <c r="E151" i="3"/>
  <c r="E358" i="3"/>
  <c r="E407" i="3"/>
  <c r="E230" i="3"/>
  <c r="E130" i="3"/>
  <c r="E260" i="3"/>
  <c r="E290" i="3"/>
  <c r="E61" i="3"/>
  <c r="E518" i="3"/>
  <c r="E583" i="3"/>
  <c r="E253" i="3"/>
  <c r="E511" i="3"/>
  <c r="E193" i="3"/>
  <c r="E519" i="3"/>
  <c r="E457" i="3"/>
  <c r="E450" i="3"/>
  <c r="E433" i="3"/>
  <c r="E279" i="3"/>
  <c r="E31" i="3"/>
  <c r="E567" i="3"/>
  <c r="E107" i="3"/>
  <c r="E478" i="3"/>
  <c r="E414" i="3"/>
  <c r="E476" i="3"/>
  <c r="E162" i="3"/>
  <c r="E186" i="3"/>
  <c r="E44" i="3"/>
  <c r="E530" i="3"/>
  <c r="E343" i="3"/>
  <c r="E555" i="3"/>
  <c r="E143" i="3"/>
  <c r="E270" i="3"/>
  <c r="E538" i="3"/>
  <c r="E231" i="3"/>
  <c r="E216" i="3"/>
  <c r="E183" i="3"/>
  <c r="E180" i="3"/>
  <c r="E91" i="3"/>
  <c r="E586" i="3"/>
  <c r="E399" i="3"/>
  <c r="E347" i="3"/>
  <c r="E545" i="3"/>
  <c r="E277" i="3"/>
  <c r="E133" i="3"/>
  <c r="E406" i="3"/>
  <c r="E577" i="3"/>
  <c r="E468" i="3"/>
  <c r="E171" i="3"/>
  <c r="E362" i="3"/>
  <c r="E74" i="3"/>
  <c r="E204" i="3"/>
  <c r="AO6" i="3"/>
  <c r="E485" i="3"/>
  <c r="E345" i="3"/>
  <c r="E557" i="3"/>
  <c r="E531" i="3"/>
  <c r="E28" i="3"/>
  <c r="E70" i="3"/>
  <c r="E182" i="3"/>
  <c r="E273" i="3"/>
  <c r="E377" i="3"/>
  <c r="E572" i="3"/>
  <c r="E217" i="3"/>
  <c r="E526" i="3"/>
  <c r="E268" i="3"/>
  <c r="AJ6" i="3"/>
  <c r="E509" i="3"/>
  <c r="E579" i="3"/>
  <c r="E247" i="3"/>
  <c r="E201" i="3"/>
  <c r="E311" i="3"/>
  <c r="E570" i="3"/>
  <c r="M6" i="3"/>
  <c r="AB6" i="3"/>
  <c r="E335" i="3"/>
  <c r="E215" i="3"/>
  <c r="E189" i="3"/>
  <c r="E278" i="3"/>
  <c r="E563" i="3"/>
  <c r="E172" i="3"/>
  <c r="E535" i="3"/>
  <c r="E161" i="3"/>
  <c r="E135" i="3"/>
  <c r="E263" i="3"/>
  <c r="E423" i="3"/>
  <c r="AI6" i="3"/>
  <c r="E246" i="3"/>
  <c r="X6" i="3"/>
  <c r="E100" i="3"/>
  <c r="E148" i="3"/>
  <c r="E119" i="3"/>
  <c r="E132" i="3"/>
  <c r="E275" i="3"/>
  <c r="E242" i="3"/>
  <c r="E483" i="3"/>
  <c r="AA26" i="37"/>
  <c r="S26" i="37"/>
  <c r="BA5" i="3"/>
  <c r="E27" i="6" s="1"/>
  <c r="K26" i="6" s="1"/>
  <c r="M26" i="6" s="1"/>
  <c r="I26" i="6" s="1"/>
  <c r="S26" i="6" s="1"/>
  <c r="C19" i="71"/>
  <c r="T20" i="71"/>
  <c r="D20" i="71"/>
  <c r="U20" i="71" s="1"/>
  <c r="E240" i="3"/>
  <c r="E487"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131" i="3"/>
  <c r="E142" i="3"/>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74" i="15"/>
  <c r="Q61" i="15"/>
  <c r="AE11" i="1"/>
  <c r="AE9" i="1"/>
  <c r="AE7" i="1"/>
  <c r="AE8" i="1"/>
  <c r="AE12" i="1"/>
  <c r="AE10" i="1"/>
  <c r="AE6" i="1"/>
  <c r="F27" i="68"/>
  <c r="G1" i="73"/>
  <c r="E397" i="3" l="1"/>
  <c r="E532" i="3"/>
  <c r="E167" i="3"/>
  <c r="E47" i="3"/>
  <c r="E398" i="3"/>
  <c r="E15" i="3"/>
  <c r="E342" i="3"/>
  <c r="E251" i="3"/>
  <c r="E363" i="3"/>
  <c r="E306" i="3"/>
  <c r="E488" i="3"/>
  <c r="E341" i="3"/>
  <c r="E421" i="3"/>
  <c r="E147" i="3"/>
  <c r="E333" i="3"/>
  <c r="E393" i="3"/>
  <c r="E469" i="3"/>
  <c r="E264" i="3"/>
  <c r="E56" i="3"/>
  <c r="E13" i="3"/>
  <c r="E129" i="3"/>
  <c r="E144" i="3"/>
  <c r="E255" i="3"/>
  <c r="C25" i="43"/>
  <c r="C33" i="43" s="1"/>
  <c r="F28" i="12"/>
  <c r="C29" i="12" s="1"/>
  <c r="D28" i="12" s="1"/>
  <c r="Q61" i="67"/>
  <c r="F45" i="69"/>
  <c r="C29" i="69"/>
  <c r="D27" i="69" s="1"/>
  <c r="E97" i="3"/>
  <c r="E29" i="3"/>
  <c r="E432" i="3"/>
  <c r="E93" i="3"/>
  <c r="E288" i="3"/>
  <c r="E122" i="3"/>
  <c r="E154" i="3"/>
  <c r="E259" i="3"/>
  <c r="E582" i="3"/>
  <c r="E312" i="3"/>
  <c r="E218" i="3"/>
  <c r="E455" i="3"/>
  <c r="E463" i="3"/>
  <c r="E83" i="3"/>
  <c r="E452" i="3"/>
  <c r="E205" i="3"/>
  <c r="E332" i="3"/>
  <c r="E249" i="3"/>
  <c r="I3" i="6"/>
  <c r="E139" i="3"/>
  <c r="E369" i="3"/>
  <c r="E94" i="3"/>
  <c r="E219" i="3"/>
  <c r="E296" i="3"/>
  <c r="E200" i="3"/>
  <c r="E385" i="3"/>
  <c r="E191" i="3"/>
  <c r="E445" i="3"/>
  <c r="E69" i="3"/>
  <c r="E387" i="3"/>
  <c r="E514" i="3"/>
  <c r="E431" i="3"/>
  <c r="E322" i="3"/>
  <c r="E109" i="3"/>
  <c r="E211" i="3"/>
  <c r="E489" i="3"/>
  <c r="E400" i="3"/>
  <c r="E89" i="3"/>
  <c r="E146" i="3"/>
  <c r="E472" i="3"/>
  <c r="E181" i="3"/>
  <c r="E350" i="3"/>
  <c r="E528" i="3"/>
  <c r="E561" i="3"/>
  <c r="E388" i="3"/>
  <c r="E384" i="3"/>
  <c r="AS6" i="3"/>
  <c r="E271" i="3"/>
  <c r="E150" i="3"/>
  <c r="E527" i="3"/>
  <c r="E314" i="3"/>
  <c r="E578" i="3"/>
  <c r="E395" i="3"/>
  <c r="V6" i="3"/>
  <c r="E516" i="3"/>
  <c r="E30" i="3"/>
  <c r="E444" i="3"/>
  <c r="E164" i="3"/>
  <c r="E256" i="3"/>
  <c r="E424" i="3"/>
  <c r="E128" i="3"/>
  <c r="E402" i="3"/>
  <c r="E565" i="3"/>
  <c r="E506" i="3"/>
  <c r="O6" i="3"/>
  <c r="AM6" i="3"/>
  <c r="E403" i="3"/>
  <c r="E145" i="3"/>
  <c r="E208" i="3"/>
  <c r="E438" i="3"/>
  <c r="E352" i="3"/>
  <c r="E504" i="3"/>
  <c r="E459" i="3"/>
  <c r="E39" i="3"/>
  <c r="E375" i="3"/>
  <c r="E138" i="3"/>
  <c r="E521" i="3"/>
  <c r="E176" i="3"/>
  <c r="E299" i="3"/>
  <c r="E346" i="3"/>
  <c r="E440" i="3"/>
  <c r="E326" i="3"/>
  <c r="E225" i="3"/>
  <c r="E456" i="3"/>
  <c r="E206" i="3"/>
  <c r="E281" i="3"/>
  <c r="E300" i="3"/>
  <c r="E292" i="3"/>
  <c r="R6" i="3"/>
  <c r="W7" i="37"/>
  <c r="F67" i="39"/>
  <c r="S10" i="39"/>
  <c r="H10" i="39"/>
  <c r="U10" i="39" s="1"/>
  <c r="E33" i="3"/>
  <c r="E484" i="3"/>
  <c r="E479" i="3"/>
  <c r="E499" i="3"/>
  <c r="E284" i="3"/>
  <c r="E520" i="3"/>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E199" i="3"/>
  <c r="J10" i="40"/>
  <c r="J10" i="39"/>
  <c r="W10" i="39" s="1"/>
  <c r="H10" i="40"/>
  <c r="AB10" i="40" s="1"/>
  <c r="F10" i="40"/>
  <c r="S10" i="40" s="1"/>
  <c r="AY6" i="3"/>
  <c r="AY124" i="3" s="1"/>
  <c r="E3" i="6"/>
  <c r="D3" i="34" s="1"/>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36" i="71"/>
  <c r="T36" i="71"/>
  <c r="T40" i="71"/>
  <c r="D40" i="71"/>
  <c r="C26" i="71"/>
  <c r="D26" i="71" s="1"/>
  <c r="D27" i="71"/>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123" i="3"/>
  <c r="AY261" i="3"/>
  <c r="AY541" i="3"/>
  <c r="AY553" i="3"/>
  <c r="AY360" i="3"/>
  <c r="AY554" i="3"/>
  <c r="AY581" i="3"/>
  <c r="BQ6" i="3"/>
  <c r="AY89" i="3"/>
  <c r="AY85" i="3"/>
  <c r="AY279" i="3"/>
  <c r="AY243" i="3"/>
  <c r="AY49" i="3"/>
  <c r="AY132" i="3"/>
  <c r="AY69" i="3"/>
  <c r="AY52" i="3"/>
  <c r="AY258" i="3"/>
  <c r="AY370" i="3"/>
  <c r="AY96" i="3"/>
  <c r="AY80" i="3"/>
  <c r="AY313" i="3"/>
  <c r="AY344" i="3"/>
  <c r="AY524" i="3"/>
  <c r="AY502" i="3"/>
  <c r="AY127" i="3"/>
  <c r="AY280" i="3"/>
  <c r="AY512" i="3"/>
  <c r="BL6" i="3"/>
  <c r="AY391" i="3"/>
  <c r="AY367" i="3"/>
  <c r="AY122" i="3"/>
  <c r="AY235" i="3"/>
  <c r="AY110" i="3"/>
  <c r="AY47" i="3"/>
  <c r="AY195" i="3"/>
  <c r="AY175" i="3"/>
  <c r="AY250" i="3"/>
  <c r="AY361" i="3"/>
  <c r="AY19" i="3"/>
  <c r="AY172" i="3"/>
  <c r="AY293" i="3"/>
  <c r="AY257" i="3"/>
  <c r="D3" i="21"/>
  <c r="M18" i="9"/>
  <c r="B118" i="9"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M27" i="15"/>
  <c r="M27" i="67"/>
  <c r="F41" i="67"/>
  <c r="AB10" i="39" l="1"/>
  <c r="AY500" i="3"/>
  <c r="AY505" i="3"/>
  <c r="AY15" i="3"/>
  <c r="AY482" i="3"/>
  <c r="AY418" i="3"/>
  <c r="BD6" i="3"/>
  <c r="AY159" i="3"/>
  <c r="AY314" i="3"/>
  <c r="AY63" i="3"/>
  <c r="AY410" i="3"/>
  <c r="AY282" i="3"/>
  <c r="AY520" i="3"/>
  <c r="AY384" i="3"/>
  <c r="AY212" i="3"/>
  <c r="BN6" i="3"/>
  <c r="AY222" i="3"/>
  <c r="AY334" i="3"/>
  <c r="AY377" i="3"/>
  <c r="AY133" i="3"/>
  <c r="AY228" i="3"/>
  <c r="AY168" i="3"/>
  <c r="BT6" i="3"/>
  <c r="AY451" i="3"/>
  <c r="AY415" i="3"/>
  <c r="AY413" i="3"/>
  <c r="AY347" i="3"/>
  <c r="AY450" i="3"/>
  <c r="AY550" i="3"/>
  <c r="AY179" i="3"/>
  <c r="AY346" i="3"/>
  <c r="AY94" i="3"/>
  <c r="AY442" i="3"/>
  <c r="AY287" i="3"/>
  <c r="AY536" i="3"/>
  <c r="AY238" i="3"/>
  <c r="AY229" i="3"/>
  <c r="AY516" i="3"/>
  <c r="AY271" i="3"/>
  <c r="AY387" i="3"/>
  <c r="AY210" i="3"/>
  <c r="AY149" i="3"/>
  <c r="AY260" i="3"/>
  <c r="AY111" i="3"/>
  <c r="AY443" i="3"/>
  <c r="AY54" i="3"/>
  <c r="AY394" i="3"/>
  <c r="BP6" i="3"/>
  <c r="AY476" i="3"/>
  <c r="AY174" i="3"/>
  <c r="AY339" i="3"/>
  <c r="AY576" i="3"/>
  <c r="AY296" i="3"/>
  <c r="AY537" i="3"/>
  <c r="AY336" i="3"/>
  <c r="AY498" i="3"/>
  <c r="AY459" i="3"/>
  <c r="AY241" i="3"/>
  <c r="AY70" i="3"/>
  <c r="AY405" i="3"/>
  <c r="AY378" i="3"/>
  <c r="AY187" i="3"/>
  <c r="AY531" i="3"/>
  <c r="AY506" i="3"/>
  <c r="AY484" i="3"/>
  <c r="AY369" i="3"/>
  <c r="AY158" i="3"/>
  <c r="AY514" i="3"/>
  <c r="AY406" i="3"/>
  <c r="AY29" i="3"/>
  <c r="AY141" i="3"/>
  <c r="AY573" i="3"/>
  <c r="AY489" i="3"/>
  <c r="AY496" i="3"/>
  <c r="AY464" i="3"/>
  <c r="AY57" i="3"/>
  <c r="AY146" i="3"/>
  <c r="AY481" i="3"/>
  <c r="AY16" i="3"/>
  <c r="AY488" i="3"/>
  <c r="AY166" i="3"/>
  <c r="AY246" i="3"/>
  <c r="AY28" i="3"/>
  <c r="AY420" i="3"/>
  <c r="AY428" i="3"/>
  <c r="AY303" i="3"/>
  <c r="AY115" i="3"/>
  <c r="AY307" i="3"/>
  <c r="AY71" i="3"/>
  <c r="AY248" i="3"/>
  <c r="AY551" i="3"/>
  <c r="AY479" i="3"/>
  <c r="AY21" i="3"/>
  <c r="AY208" i="3"/>
  <c r="AY528" i="3"/>
  <c r="AY120" i="3"/>
  <c r="AY564" i="3"/>
  <c r="AY321" i="3"/>
  <c r="AY586" i="3"/>
  <c r="AY306" i="3"/>
  <c r="AY273" i="3"/>
  <c r="AY55" i="3"/>
  <c r="AY424" i="3"/>
  <c r="AY221" i="3"/>
  <c r="AY192" i="3"/>
  <c r="BR6" i="3"/>
  <c r="AY579" i="3"/>
  <c r="AY471" i="3"/>
  <c r="AY223" i="3"/>
  <c r="AY189" i="3"/>
  <c r="AY494" i="3"/>
  <c r="AY480" i="3"/>
  <c r="AY72" i="3"/>
  <c r="AY173" i="3"/>
  <c r="AY436" i="3"/>
  <c r="AY350" i="3"/>
  <c r="AY532" i="3"/>
  <c r="AY308" i="3"/>
  <c r="BI6" i="3"/>
  <c r="AY178" i="3"/>
  <c r="AY311" i="3"/>
  <c r="AY510" i="3"/>
  <c r="AY475" i="3"/>
  <c r="AY197" i="3"/>
  <c r="AY231" i="3"/>
  <c r="AY44" i="3"/>
  <c r="AY452" i="3"/>
  <c r="AY470" i="3"/>
  <c r="AY335" i="3"/>
  <c r="D37" i="11"/>
  <c r="D19" i="11"/>
  <c r="C19" i="11" s="1"/>
  <c r="D3" i="37"/>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176" i="3"/>
  <c r="AY95" i="3"/>
  <c r="AY281" i="3"/>
  <c r="AY297" i="3"/>
  <c r="AY382" i="3"/>
  <c r="AY67" i="3"/>
  <c r="AY289" i="3"/>
  <c r="AY204" i="3"/>
  <c r="AY318" i="3"/>
  <c r="AY441" i="3"/>
  <c r="AY180" i="3"/>
  <c r="AY395" i="3"/>
  <c r="AY310" i="3"/>
  <c r="AY433" i="3"/>
  <c r="AY569" i="3"/>
  <c r="AY97" i="3"/>
  <c r="AY45" i="3"/>
  <c r="AY206" i="3"/>
  <c r="AY154" i="3"/>
  <c r="AY118" i="3"/>
  <c r="AY263" i="3"/>
  <c r="AY230" i="3"/>
  <c r="AY381" i="3"/>
  <c r="BJ6" i="3"/>
  <c r="AY56" i="3"/>
  <c r="AY177" i="3"/>
  <c r="AY274" i="3"/>
  <c r="AY353" i="3"/>
  <c r="AY332" i="3"/>
  <c r="AY457" i="3"/>
  <c r="AY398" i="3"/>
  <c r="BM6" i="3"/>
  <c r="AY546" i="3"/>
  <c r="AY501" i="3"/>
  <c r="AY163" i="3"/>
  <c r="AY444" i="3"/>
  <c r="AY244" i="3"/>
  <c r="AY447" i="3"/>
  <c r="AY555" i="3"/>
  <c r="AY36" i="3"/>
  <c r="AY157" i="3"/>
  <c r="AY254" i="3"/>
  <c r="BS6" i="3"/>
  <c r="AY186" i="3"/>
  <c r="AY393" i="3"/>
  <c r="AY467" i="3"/>
  <c r="AY403" i="3"/>
  <c r="AY559" i="3"/>
  <c r="AY577" i="3"/>
  <c r="AY82" i="3"/>
  <c r="AY220" i="3"/>
  <c r="AY497" i="3"/>
  <c r="AY379" i="3"/>
  <c r="AY557" i="3"/>
  <c r="AY100" i="3"/>
  <c r="AY198" i="3"/>
  <c r="AY291" i="3"/>
  <c r="AY227" i="3"/>
  <c r="BB6" i="3"/>
  <c r="AY121" i="3"/>
  <c r="AY341" i="3"/>
  <c r="AY449"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66" i="3"/>
  <c r="AY144" i="3"/>
  <c r="AY42" i="3"/>
  <c r="AY276" i="3"/>
  <c r="AY253" i="3"/>
  <c r="AY366" i="3"/>
  <c r="AY50" i="3"/>
  <c r="AY74" i="3"/>
  <c r="AY252" i="3"/>
  <c r="AY473" i="3"/>
  <c r="AY409" i="3"/>
  <c r="AY245" i="3"/>
  <c r="AY372" i="3"/>
  <c r="AY465" i="3"/>
  <c r="AY513" i="3"/>
  <c r="AY533" i="3"/>
  <c r="AY108" i="3"/>
  <c r="AY60" i="3"/>
  <c r="AY190" i="3"/>
  <c r="AY138" i="3"/>
  <c r="AY299" i="3"/>
  <c r="AY247" i="3"/>
  <c r="AY214" i="3"/>
  <c r="AY357" i="3"/>
  <c r="AY109" i="3"/>
  <c r="AY24" i="3"/>
  <c r="AY114" i="3"/>
  <c r="AY242" i="3"/>
  <c r="AY349" i="3"/>
  <c r="AY491" i="3"/>
  <c r="AY462" i="3"/>
  <c r="AY427" i="3"/>
  <c r="AY561" i="3"/>
  <c r="AY495" i="3"/>
  <c r="AY98" i="3"/>
  <c r="AY237" i="3"/>
  <c r="AY425" i="3"/>
  <c r="AY390" i="3"/>
  <c r="AY535" i="3"/>
  <c r="AC10" i="40"/>
  <c r="W10" i="40"/>
  <c r="D3" i="33"/>
  <c r="D14" i="12"/>
  <c r="AY521" i="3"/>
  <c r="AY351" i="3"/>
  <c r="AY143" i="3"/>
  <c r="AY568" i="3"/>
  <c r="AY485" i="3"/>
  <c r="AY265" i="3"/>
  <c r="AY79" i="3"/>
  <c r="AY515" i="3"/>
  <c r="AY402" i="3"/>
  <c r="AY305" i="3"/>
  <c r="AY267" i="3"/>
  <c r="AY64" i="3"/>
  <c r="AY474" i="3"/>
  <c r="AY272" i="3"/>
  <c r="AY22" i="3"/>
  <c r="AY421" i="3"/>
  <c r="AY383" i="3"/>
  <c r="AY140" i="3"/>
  <c r="AY548" i="3"/>
  <c r="AY17" i="3"/>
  <c r="AY461" i="3"/>
  <c r="AY385" i="3"/>
  <c r="AY142" i="3"/>
  <c r="AY504" i="3"/>
  <c r="AY416" i="3"/>
  <c r="AY338" i="3"/>
  <c r="AY213" i="3"/>
  <c r="AY119" i="3"/>
  <c r="AY184" i="3"/>
  <c r="AY86" i="3"/>
  <c r="AY517" i="3"/>
  <c r="AY456" i="3"/>
  <c r="AY331" i="3"/>
  <c r="AY264" i="3"/>
  <c r="AY135" i="3"/>
  <c r="AY35" i="3"/>
  <c r="BA6" i="3"/>
  <c r="AY542" i="3"/>
  <c r="D3" i="6"/>
  <c r="D21" i="6" s="1"/>
  <c r="AY423" i="3"/>
  <c r="AY458" i="3"/>
  <c r="AY487" i="3"/>
  <c r="AY345" i="3"/>
  <c r="AY234" i="3"/>
  <c r="AY129" i="3"/>
  <c r="AY37" i="3"/>
  <c r="AY101" i="3"/>
  <c r="AY584" i="3"/>
  <c r="AY503" i="3"/>
  <c r="AY483" i="3"/>
  <c r="AY275" i="3"/>
  <c r="AY507" i="3"/>
  <c r="AY255" i="3"/>
  <c r="AY162" i="3"/>
  <c r="AY105" i="3"/>
  <c r="AY478" i="3"/>
  <c r="AY43" i="3"/>
  <c r="AY292" i="3"/>
  <c r="AY81" i="3"/>
  <c r="AY508" i="3"/>
  <c r="AY435" i="3"/>
  <c r="AY325" i="3"/>
  <c r="AY130" i="3"/>
  <c r="AY365" i="3"/>
  <c r="AY302" i="3"/>
  <c r="AY25" i="3"/>
  <c r="AY574" i="3"/>
  <c r="AY269" i="3"/>
  <c r="AY90" i="3"/>
  <c r="BF6" i="3"/>
  <c r="AY414" i="3"/>
  <c r="AY348" i="3"/>
  <c r="AY290" i="3"/>
  <c r="AY41" i="3"/>
  <c r="AY397" i="3"/>
  <c r="AY294" i="3"/>
  <c r="AY170" i="3"/>
  <c r="AY61" i="3"/>
  <c r="BK6" i="3"/>
  <c r="AY342" i="3"/>
  <c r="AY26" i="3"/>
  <c r="AY363" i="3"/>
  <c r="AY139" i="3"/>
  <c r="AY225" i="3"/>
  <c r="AY152" i="3"/>
  <c r="AY207" i="3"/>
  <c r="C17" i="4"/>
  <c r="B4" i="52" s="1"/>
  <c r="B43" i="72" s="1"/>
  <c r="E6" i="6"/>
  <c r="D20" i="12" s="1"/>
  <c r="C20" i="12" s="1"/>
  <c r="C18" i="12" s="1"/>
  <c r="AY400" i="3"/>
  <c r="AY386" i="3"/>
  <c r="AY200" i="3"/>
  <c r="AY547" i="3"/>
  <c r="AY315" i="3"/>
  <c r="AY151" i="3"/>
  <c r="AY493" i="3"/>
  <c r="AY522" i="3"/>
  <c r="AY445" i="3"/>
  <c r="AY337" i="3"/>
  <c r="AY113" i="3"/>
  <c r="AY583" i="3"/>
  <c r="AY322" i="3"/>
  <c r="AY288" i="3"/>
  <c r="AY102" i="3"/>
  <c r="AY440" i="3"/>
  <c r="AY216" i="3"/>
  <c r="AY30" i="3"/>
  <c r="AY530" i="3"/>
  <c r="AY399" i="3"/>
  <c r="AY304" i="3"/>
  <c r="AY218" i="3"/>
  <c r="AY205" i="3"/>
  <c r="BC6" i="3"/>
  <c r="AY448" i="3"/>
  <c r="AY323" i="3"/>
  <c r="AY256" i="3"/>
  <c r="AY128" i="3"/>
  <c r="AY27" i="3"/>
  <c r="AY587" i="3"/>
  <c r="AY558" i="3"/>
  <c r="AY466" i="3"/>
  <c r="AY376" i="3"/>
  <c r="AY249" i="3"/>
  <c r="AY167" i="3"/>
  <c r="AY78" i="3"/>
  <c r="AY578" i="3"/>
  <c r="AY509" i="3"/>
  <c r="AY499" i="3"/>
  <c r="AY439" i="3"/>
  <c r="AY453" i="3"/>
  <c r="AY328" i="3"/>
  <c r="AY364" i="3"/>
  <c r="AY266" i="3"/>
  <c r="AY169" i="3"/>
  <c r="AY48" i="3"/>
  <c r="AY519" i="3"/>
  <c r="AY552" i="3"/>
  <c r="AY419" i="3"/>
  <c r="AY309" i="3"/>
  <c r="AY181" i="3"/>
  <c r="AY368" i="3"/>
  <c r="AY286" i="3"/>
  <c r="AY20" i="3"/>
  <c r="AY540" i="3"/>
  <c r="AY326" i="3"/>
  <c r="AY412" i="3"/>
  <c r="AY31" i="3"/>
  <c r="AY523" i="3"/>
  <c r="AY527" i="3"/>
  <c r="AY422" i="3"/>
  <c r="AY356" i="3"/>
  <c r="AY40" i="3"/>
  <c r="AY211" i="3"/>
  <c r="AY117" i="3"/>
  <c r="AY68" i="3"/>
  <c r="AY562" i="3"/>
  <c r="AY526" i="3"/>
  <c r="AY171" i="3"/>
  <c r="AY534" i="3"/>
  <c r="AY446" i="3"/>
  <c r="AY317" i="3"/>
  <c r="AY295" i="3"/>
  <c r="AY104" i="3"/>
  <c r="AY392" i="3"/>
  <c r="AY283" i="3"/>
  <c r="AY201" i="3"/>
  <c r="AY77" i="3"/>
  <c r="AY549" i="3"/>
  <c r="AY358" i="3"/>
  <c r="AY106" i="3"/>
  <c r="AY209" i="3"/>
  <c r="AY196" i="3"/>
  <c r="AY236" i="3"/>
  <c r="AY188" i="3"/>
  <c r="AY34" i="3"/>
  <c r="B1" i="74"/>
  <c r="I46" i="37"/>
  <c r="J46" i="37" s="1"/>
  <c r="F69" i="67"/>
  <c r="F22" i="68"/>
  <c r="C44" i="68" s="1"/>
  <c r="D41" i="68" s="1"/>
  <c r="F25" i="12"/>
  <c r="C26" i="12" s="1"/>
  <c r="D25" i="12" s="1"/>
  <c r="AC10" i="39"/>
  <c r="G54" i="34"/>
  <c r="H54" i="34" s="1"/>
  <c r="U10" i="40"/>
  <c r="H6" i="3"/>
  <c r="AC6" i="3"/>
  <c r="AA10" i="40"/>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0" i="6"/>
  <c r="D26" i="6"/>
  <c r="H22" i="6"/>
  <c r="D23" i="6"/>
  <c r="D28"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34" i="69"/>
  <c r="C17" i="15"/>
  <c r="C17" i="67"/>
  <c r="C14" i="67"/>
  <c r="D10" i="68"/>
  <c r="D13" i="6" l="1"/>
  <c r="H25" i="6"/>
  <c r="D22" i="6"/>
  <c r="D5" i="6"/>
  <c r="D9" i="6"/>
  <c r="D15" i="6"/>
  <c r="D10" i="69"/>
  <c r="C10" i="69" s="1"/>
  <c r="C8" i="69" s="1"/>
  <c r="D6" i="6"/>
  <c r="H26" i="6"/>
  <c r="R26" i="6" s="1"/>
  <c r="D11" i="6"/>
  <c r="C18" i="4"/>
  <c r="C4" i="52" s="1"/>
  <c r="B45" i="72" s="1"/>
  <c r="D29" i="6"/>
  <c r="D30" i="6" s="1"/>
  <c r="D14" i="6"/>
  <c r="D24" i="6"/>
  <c r="D25" i="6"/>
  <c r="R25" i="6" s="1"/>
  <c r="R12" i="1" s="1"/>
  <c r="E61" i="40"/>
  <c r="D12" i="6"/>
  <c r="D19" i="6"/>
  <c r="M19" i="9" s="1"/>
  <c r="C118" i="9" s="1"/>
  <c r="B2" i="74" s="1"/>
  <c r="D7" i="74" s="1"/>
  <c r="D10" i="6"/>
  <c r="D8" i="6"/>
  <c r="D10" i="11"/>
  <c r="C10" i="11" s="1"/>
  <c r="H21" i="6"/>
  <c r="R21" i="6" s="1"/>
  <c r="R8" i="1" s="1"/>
  <c r="H24" i="6"/>
  <c r="E6" i="3"/>
  <c r="I54" i="34"/>
  <c r="J54" i="34" s="1"/>
  <c r="E54" i="34"/>
  <c r="F54"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2" i="6"/>
  <c r="R9" i="1" s="1"/>
  <c r="C15" i="12"/>
  <c r="C12" i="12"/>
  <c r="F50" i="69"/>
  <c r="F50" i="11"/>
  <c r="F50" i="68"/>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C34" i="68"/>
  <c r="D16" i="6" l="1"/>
  <c r="R24" i="6"/>
  <c r="R11" i="1" s="1"/>
  <c r="D19" i="69"/>
  <c r="D37" i="69" s="1"/>
  <c r="C37" i="69" s="1"/>
  <c r="C33" i="69" s="1"/>
  <c r="A10" i="51"/>
  <c r="B9" i="72" s="1"/>
  <c r="D27" i="6"/>
  <c r="D31" i="6" s="1"/>
  <c r="I5" i="6" s="1"/>
  <c r="A7" i="51"/>
  <c r="B7" i="72"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E2" i="76"/>
  <c r="B2" i="76"/>
  <c r="I69" i="39"/>
  <c r="J67" i="39"/>
  <c r="I63" i="40"/>
  <c r="H65" i="40"/>
  <c r="I58" i="21"/>
  <c r="J58" i="21" s="1"/>
  <c r="K58" i="21" s="1"/>
  <c r="L58" i="21" s="1"/>
  <c r="M58" i="21" s="1"/>
  <c r="N58" i="21" s="1"/>
  <c r="O58" i="21" s="1"/>
  <c r="H7" i="21" s="1"/>
  <c r="J48" i="35"/>
  <c r="I6" i="6" l="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3" i="68"/>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M69" i="39"/>
  <c r="N67" i="39"/>
  <c r="R39" i="35"/>
  <c r="E38" i="35"/>
  <c r="M63" i="40"/>
  <c r="L65" i="40"/>
  <c r="D2" i="21"/>
  <c r="D35" i="9"/>
  <c r="C56" i="68" l="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34" i="9"/>
  <c r="C19" i="9"/>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4"/>
  <c r="D2" i="37"/>
  <c r="D2" i="35"/>
  <c r="D2" i="36"/>
  <c r="L51" i="15"/>
  <c r="C103" i="9"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1" i="1"/>
  <c r="AO8" i="1"/>
  <c r="AO10" i="1"/>
  <c r="AO12" i="1"/>
  <c r="AO7" i="1"/>
  <c r="R48" i="39" l="1"/>
  <c r="C47" i="39" s="1"/>
  <c r="C7" i="71"/>
  <c r="D8" i="71"/>
  <c r="L46" i="15"/>
  <c r="B2"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B6" i="70" l="1"/>
  <c r="B2" i="70" s="1"/>
  <c r="B3" i="70" s="1"/>
  <c r="B3" i="15"/>
  <c r="D7" i="71"/>
  <c r="C6" i="71"/>
  <c r="B56" i="39"/>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56" i="39" l="1"/>
  <c r="C6" i="69"/>
  <c r="F65" i="39"/>
  <c r="B2" i="39" s="1"/>
  <c r="B3" i="39" s="1"/>
  <c r="D6" i="71"/>
  <c r="C5" i="71"/>
  <c r="D5" i="71" s="1"/>
  <c r="M24" i="43" s="1"/>
  <c r="C42" i="40"/>
  <c r="C43" i="40"/>
  <c r="E47" i="40"/>
  <c r="F47" i="40" s="1"/>
  <c r="E46" i="40"/>
  <c r="F46" i="40" s="1"/>
  <c r="I47" i="40"/>
  <c r="J47" i="40" s="1"/>
  <c r="C7" i="69" l="1"/>
  <c r="C5" i="69" s="1"/>
  <c r="B58" i="40"/>
  <c r="F58" i="40" s="1"/>
  <c r="B54" i="40"/>
  <c r="F54" i="40" s="1"/>
  <c r="B53" i="40"/>
  <c r="F53" i="40" s="1"/>
  <c r="B59" i="40"/>
  <c r="F59" i="40" s="1"/>
  <c r="B52" i="40"/>
  <c r="F52" i="40" s="1"/>
  <c r="B56" i="40"/>
  <c r="F56" i="40" s="1"/>
  <c r="B60" i="40"/>
  <c r="F60" i="40" s="1"/>
  <c r="B57" i="40"/>
  <c r="F57" i="40" s="1"/>
  <c r="B51" i="40"/>
  <c r="F51" i="40" s="1"/>
  <c r="F61" i="40"/>
  <c r="B2" i="40" s="1"/>
  <c r="B3" i="40" s="1"/>
  <c r="C23" i="69" l="1"/>
  <c r="C20" i="69"/>
  <c r="C28" i="69" l="1"/>
  <c r="C27" i="69" s="1"/>
  <c r="C25" i="69"/>
  <c r="C22" i="69" s="1"/>
  <c r="C31" i="69" l="1"/>
  <c r="C52" i="69" s="1"/>
  <c r="B2" i="69" s="1"/>
  <c r="D19" i="9"/>
  <c r="D102" i="9" l="1"/>
  <c r="D21" i="9"/>
  <c r="G19" i="9"/>
  <c r="D22" i="9"/>
  <c r="B3" i="69"/>
  <c r="C57" i="69"/>
  <c r="C56" i="69" s="1"/>
  <c r="D20" i="9"/>
  <c r="G20" i="9" l="1"/>
  <c r="D103" i="9"/>
  <c r="E32" i="1"/>
  <c r="G21" i="9"/>
  <c r="D59" i="9"/>
  <c r="M55" i="9" s="1"/>
  <c r="C32" i="9" l="1"/>
  <c r="C35" i="9" s="1"/>
  <c r="R24" i="31"/>
  <c r="H118" i="9" l="1"/>
  <c r="H4" i="52" s="1"/>
  <c r="R28" i="31"/>
  <c r="S28" i="31" s="1"/>
  <c r="R32" i="31"/>
  <c r="S32" i="31" s="1"/>
  <c r="R36" i="31"/>
  <c r="S36" i="31" s="1"/>
  <c r="R40" i="31"/>
  <c r="S40" i="31" s="1"/>
  <c r="R44" i="31"/>
  <c r="S44" i="31" s="1"/>
  <c r="R48" i="31"/>
  <c r="S48" i="31" s="1"/>
  <c r="R52" i="31"/>
  <c r="S52" i="31" s="1"/>
  <c r="R56" i="31"/>
  <c r="S56" i="31" s="1"/>
  <c r="R60" i="31"/>
  <c r="S60" i="31" s="1"/>
  <c r="R64" i="31"/>
  <c r="S64" i="31" s="1"/>
  <c r="R68" i="31"/>
  <c r="S68" i="31" s="1"/>
  <c r="R72" i="31"/>
  <c r="S72" i="31" s="1"/>
  <c r="R76" i="31"/>
  <c r="S76" i="31" s="1"/>
  <c r="R80" i="31"/>
  <c r="S80" i="31" s="1"/>
  <c r="R84" i="31"/>
  <c r="S84" i="31" s="1"/>
  <c r="R88" i="31"/>
  <c r="S88" i="31" s="1"/>
  <c r="R92" i="31"/>
  <c r="S92" i="31" s="1"/>
  <c r="R29" i="31"/>
  <c r="S29" i="31" s="1"/>
  <c r="R33" i="31"/>
  <c r="S33" i="31" s="1"/>
  <c r="R37" i="31"/>
  <c r="S37" i="31" s="1"/>
  <c r="R41" i="31"/>
  <c r="S41" i="31" s="1"/>
  <c r="R45" i="31"/>
  <c r="S45" i="31" s="1"/>
  <c r="R49" i="31"/>
  <c r="S49" i="31" s="1"/>
  <c r="R53" i="31"/>
  <c r="S53" i="31" s="1"/>
  <c r="R57" i="31"/>
  <c r="S57" i="31" s="1"/>
  <c r="R61" i="31"/>
  <c r="S61" i="31" s="1"/>
  <c r="R65" i="31"/>
  <c r="S65" i="31" s="1"/>
  <c r="R69" i="31"/>
  <c r="S69" i="31" s="1"/>
  <c r="R73" i="31"/>
  <c r="S73" i="31" s="1"/>
  <c r="R77" i="31"/>
  <c r="S77" i="31" s="1"/>
  <c r="R81" i="31"/>
  <c r="S81" i="31" s="1"/>
  <c r="R85" i="31"/>
  <c r="S85" i="31" s="1"/>
  <c r="R89" i="31"/>
  <c r="S89" i="31" s="1"/>
  <c r="R26" i="31"/>
  <c r="S26" i="31" s="1"/>
  <c r="R30" i="31"/>
  <c r="S30" i="31" s="1"/>
  <c r="R34" i="31"/>
  <c r="S34" i="31" s="1"/>
  <c r="R38" i="31"/>
  <c r="S38" i="31" s="1"/>
  <c r="R42" i="31"/>
  <c r="S42" i="31" s="1"/>
  <c r="R46" i="31"/>
  <c r="S46" i="31" s="1"/>
  <c r="R50" i="31"/>
  <c r="S50" i="31" s="1"/>
  <c r="R54" i="31"/>
  <c r="S54" i="31" s="1"/>
  <c r="R58" i="31"/>
  <c r="S58" i="31" s="1"/>
  <c r="R62" i="31"/>
  <c r="S62" i="31" s="1"/>
  <c r="R66" i="31"/>
  <c r="S66" i="31" s="1"/>
  <c r="R70" i="31"/>
  <c r="S70" i="31" s="1"/>
  <c r="R74" i="31"/>
  <c r="S74" i="31" s="1"/>
  <c r="R78" i="31"/>
  <c r="S78" i="31" s="1"/>
  <c r="R82" i="31"/>
  <c r="S82" i="31" s="1"/>
  <c r="R86" i="31"/>
  <c r="S86" i="31" s="1"/>
  <c r="R90" i="31"/>
  <c r="S90" i="31" s="1"/>
  <c r="R27" i="31"/>
  <c r="S27" i="31" s="1"/>
  <c r="R31" i="31"/>
  <c r="S31" i="31" s="1"/>
  <c r="R35" i="31"/>
  <c r="S35" i="31" s="1"/>
  <c r="R39" i="31"/>
  <c r="S39" i="31" s="1"/>
  <c r="R43" i="31"/>
  <c r="S43" i="31" s="1"/>
  <c r="R47" i="31"/>
  <c r="S47" i="31" s="1"/>
  <c r="R51" i="31"/>
  <c r="S51" i="31" s="1"/>
  <c r="R55" i="31"/>
  <c r="S55" i="31" s="1"/>
  <c r="R59" i="31"/>
  <c r="S59" i="31" s="1"/>
  <c r="R63" i="31"/>
  <c r="S63" i="31" s="1"/>
  <c r="R67" i="31"/>
  <c r="S67" i="31" s="1"/>
  <c r="R71" i="31"/>
  <c r="S71" i="31" s="1"/>
  <c r="R75" i="31"/>
  <c r="S75" i="31" s="1"/>
  <c r="R79" i="31"/>
  <c r="S79" i="31" s="1"/>
  <c r="R83" i="31"/>
  <c r="S83" i="31" s="1"/>
  <c r="R87" i="31"/>
  <c r="S87" i="31" s="1"/>
  <c r="R91" i="31"/>
  <c r="S91" i="31" s="1"/>
  <c r="S24" i="31"/>
  <c r="R25" i="31"/>
  <c r="S25" i="31" s="1"/>
  <c r="C34" i="9"/>
  <c r="D118" i="9" s="1"/>
  <c r="F118" i="9"/>
  <c r="H101" i="9" l="1"/>
  <c r="M48" i="9" s="1"/>
  <c r="C104" i="9"/>
  <c r="H119" i="9"/>
  <c r="H5" i="52" s="1"/>
  <c r="I118" i="9"/>
  <c r="C105" i="9" s="1"/>
  <c r="S22" i="31"/>
  <c r="D14" i="74" s="1"/>
  <c r="B5" i="74" s="1"/>
  <c r="G118" i="9"/>
  <c r="G4" i="52" s="1"/>
  <c r="B52" i="72" s="1"/>
  <c r="F119" i="9"/>
  <c r="F5" i="52" s="1"/>
  <c r="B53" i="72" s="1"/>
  <c r="F4" i="52"/>
  <c r="B51" i="72" s="1"/>
  <c r="D119" i="9"/>
  <c r="D5" i="52" s="1"/>
  <c r="B49" i="72" s="1"/>
  <c r="D4" i="52"/>
  <c r="B47" i="72" s="1"/>
  <c r="D45" i="9"/>
  <c r="D5" i="53" l="1"/>
  <c r="B20" i="72" s="1"/>
  <c r="H107" i="9"/>
  <c r="M49" i="9" s="1"/>
  <c r="G14" i="74"/>
  <c r="B6" i="74" s="1"/>
  <c r="D6" i="74" s="1"/>
  <c r="F14" i="74"/>
  <c r="E14" i="74"/>
  <c r="I4" i="52"/>
  <c r="H102" i="9"/>
  <c r="D7" i="53" s="1"/>
  <c r="B21" i="72" s="1"/>
  <c r="R22" i="31"/>
  <c r="B20" i="31"/>
  <c r="B21" i="31" s="1"/>
  <c r="E118" i="9"/>
  <c r="E4" i="52" s="1"/>
  <c r="B48" i="72" s="1"/>
  <c r="D52" i="9"/>
  <c r="C64" i="9"/>
  <c r="C63" i="9" s="1"/>
  <c r="C67" i="9" s="1"/>
  <c r="C68" i="9" s="1"/>
  <c r="D54" i="9" s="1"/>
  <c r="C93" i="9"/>
  <c r="C86" i="9" s="1"/>
  <c r="D55" i="9"/>
  <c r="M53" i="9" s="1"/>
  <c r="C85" i="9"/>
  <c r="C78" i="9"/>
  <c r="C73" i="9" s="1"/>
  <c r="C72" i="9"/>
  <c r="D53" i="9"/>
  <c r="D48" i="9" s="1"/>
  <c r="M52" i="9" s="1"/>
  <c r="D5" i="74"/>
  <c r="D6" i="53" l="1"/>
  <c r="B22" i="72" s="1"/>
  <c r="D122" i="9"/>
  <c r="D8" i="52" s="1"/>
  <c r="D13" i="53"/>
  <c r="D14" i="53" s="1"/>
  <c r="B32" i="72" s="1"/>
  <c r="C5" i="74"/>
  <c r="H108" i="9"/>
  <c r="D15" i="53" s="1"/>
  <c r="B31" i="72" s="1"/>
  <c r="C79" i="9"/>
  <c r="C80" i="9" s="1"/>
  <c r="E80" i="9" s="1"/>
  <c r="E81" i="9" s="1"/>
  <c r="L67" i="9"/>
  <c r="M67" i="9" s="1"/>
  <c r="L65" i="9"/>
  <c r="M65" i="9" s="1"/>
  <c r="L66" i="9"/>
  <c r="M66" i="9" s="1"/>
  <c r="L63" i="9"/>
  <c r="M63" i="9" s="1"/>
  <c r="L64" i="9"/>
  <c r="M64" i="9" s="1"/>
  <c r="L68" i="9"/>
  <c r="M68" i="9" s="1"/>
  <c r="D123" i="9"/>
  <c r="D9" i="52" s="1"/>
  <c r="B30" i="72"/>
  <c r="C95" i="9"/>
  <c r="C6" i="74" l="1"/>
  <c r="C81" i="9"/>
  <c r="M69" i="9"/>
  <c r="N69" i="9" s="1"/>
  <c r="C96" i="9"/>
  <c r="E96" i="9" s="1"/>
  <c r="E97" i="9" s="1"/>
  <c r="H10" i="21"/>
  <c r="AB10" i="21" s="1"/>
  <c r="J10" i="21"/>
  <c r="W10" i="21" s="1"/>
  <c r="F10" i="21"/>
  <c r="S10" i="21" s="1"/>
  <c r="C97" i="9" l="1"/>
  <c r="D58" i="9" s="1"/>
  <c r="D56" i="9" s="1"/>
  <c r="M54" i="9" s="1"/>
  <c r="N57" i="9" s="1"/>
  <c r="P57" i="9" s="1"/>
  <c r="AA10" i="21"/>
  <c r="U10" i="21"/>
  <c r="AC10" i="21"/>
  <c r="N58" i="9" l="1"/>
  <c r="N59" i="9"/>
  <c r="H111" i="9" s="1"/>
  <c r="B8" i="74" l="1"/>
  <c r="D8" i="74" s="1"/>
  <c r="N60" i="9"/>
  <c r="N61" i="9"/>
  <c r="H112" i="9" s="1"/>
  <c r="D21" i="53" s="1"/>
  <c r="B39" i="72" s="1"/>
  <c r="D126" i="9"/>
  <c r="D19" i="53"/>
  <c r="C8" i="74" l="1"/>
  <c r="B38" i="72"/>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FB222356-ECD6-4690-BB38-A51F68AF0EF9}">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<sst xmlns="http://schemas.openxmlformats.org/spreadsheetml/2006/main" count="9757" uniqueCount="4084">
  <si>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</si>
  <si>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</si>
  <si>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</si>
  <si>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</si>
  <si>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</si>
  <si>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</si>
  <si>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</si>
  <si>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</si>
  <si>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</si>
  <si>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</si>
  <si>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</si>
  <si>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</si>
  <si>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</si>
  <si>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</si>
  <si>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</si>
  <si>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</si>
  <si>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</si>
  <si>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</si>
  <si>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</si>
  <si>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</si>
  <si>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</si>
  <si>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</si>
  <si>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</si>
  <si>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</si>
  <si>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</si>
  <si>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</si>
  <si>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</si>
  <si>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</si>
  <si>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</si>
  <si>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</si>
  <si>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</si>
  <si>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</si>
  <si>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</si>
  <si>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</si>
  <si>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</si>
  <si>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</si>
  <si>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</si>
  <si>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</si>
  <si>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</si>
  <si>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</si>
  <si>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</si>
  <si>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</si>
  <si>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</si>
  <si>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</si>
  <si>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</si>
  <si>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</si>
  <si>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</si>
  <si>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</si>
  <si>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</si>
  <si>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</si>
  <si>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</si>
  <si>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</si>
  <si>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</si>
  <si>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</si>
  <si>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</si>
  <si>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</si>
  <si>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</si>
  <si>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</si>
  <si>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</si>
  <si>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</si>
  <si>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</si>
  <si>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</si>
  <si>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</si>
  <si>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</si>
  <si>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</si>
  <si>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</si>
  <si>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</si>
  <si>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</si>
  <si>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</si>
  <si>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</si>
  <si>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</si>
  <si>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</si>
  <si>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</si>
  <si>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</si>
  <si>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</si>
  <si>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</si>
  <si>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</si>
  <si>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</si>
  <si>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</si>
  <si>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</si>
  <si>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</si>
  <si>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</si>
  <si>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</si>
  <si>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</si>
  <si>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</si>
  <si>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</si>
  <si>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</si>
  <si>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</si>
  <si>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</si>
  <si>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</si>
  <si>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</si>
  <si>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</si>
  <si>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</si>
  <si>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</si>
  <si>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</si>
  <si>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</si>
  <si>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</si>
  <si>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</si>
  <si>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</si>
  <si>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</si>
  <si>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</si>
  <si>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</si>
  <si>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</si>
  <si>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</si>
  <si>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</si>
  <si>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</si>
  <si>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</si>
  <si>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</si>
  <si>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</si>
  <si>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</si>
  <si>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</si>
  <si>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</si>
  <si>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</si>
  <si>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</si>
  <si>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</si>
  <si>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</si>
  <si>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</si>
  <si>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</si>
  <si>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</si>
  <si>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</si>
  <si>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</si>
  <si>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</si>
  <si>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</si>
  <si>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</si>
  <si>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</si>
  <si>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</si>
  <si>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</si>
  <si>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</si>
  <si>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</si>
  <si>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</si>
  <si>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</si>
  <si>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</si>
  <si>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</si>
  <si>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</si>
  <si>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</si>
  <si>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</si>
  <si>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</si>
  <si>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</si>
  <si>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</si>
  <si>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</si>
  <si>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</si>
  <si>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</si>
  <si>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</si>
  <si>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</si>
  <si>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</si>
  <si>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</si>
  <si>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</si>
  <si>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</si>
  <si>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</si>
  <si>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</si>
  <si>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</si>
  <si>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</si>
  <si>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</si>
  <si>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</si>
  <si>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</si>
  <si>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</si>
  <si>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</si>
  <si>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</si>
  <si>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</si>
  <si>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</si>
  <si>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</si>
  <si>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</si>
  <si>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</si>
  <si>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</si>
  <si>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</si>
  <si>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</si>
  <si>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</si>
  <si>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</si>
  <si>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</si>
  <si>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</si>
  <si>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</si>
  <si>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</si>
  <si>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</si>
  <si>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</si>
  <si>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</si>
  <si>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</si>
  <si>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</si>
  <si>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</si>
  <si>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</si>
  <si>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</si>
  <si>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</si>
  <si>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</si>
  <si>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</si>
  <si>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</si>
  <si>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</si>
  <si>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</si>
  <si>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</si>
  <si>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</si>
  <si>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</si>
  <si>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</si>
  <si>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</si>
  <si>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</si>
  <si>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</si>
  <si>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</si>
  <si>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</si>
  <si>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</si>
  <si>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</si>
  <si>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</si>
  <si>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</si>
  <si>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</si>
  <si>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</si>
  <si>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</si>
  <si>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</si>
  <si>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</si>
  <si>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</si>
  <si>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</si>
  <si>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</si>
  <si>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</si>
  <si>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</si>
  <si>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</si>
  <si>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</si>
  <si>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</si>
  <si>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</si>
  <si>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</si>
  <si>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</si>
  <si>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</si>
  <si>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</si>
  <si>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</si>
  <si>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</si>
  <si>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</si>
  <si>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</si>
  <si>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</si>
  <si>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</si>
  <si>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</si>
  <si>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</si>
  <si>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</si>
  <si>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</si>
  <si>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</si>
  <si>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</si>
  <si>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</si>
  <si>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</si>
  <si>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</si>
  <si>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</si>
  <si>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</si>
  <si>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</si>
  <si>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</si>
  <si>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</si>
  <si>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</si>
  <si>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</si>
  <si>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</si>
  <si>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</si>
  <si>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</si>
  <si>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</si>
  <si>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</si>
  <si>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</si>
  <si>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</si>
  <si>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</si>
  <si>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</si>
  <si>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</si>
  <si>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</si>
  <si>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</si>
  <si>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</si>
  <si>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</si>
  <si>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</si>
  <si>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</si>
  <si>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</si>
  <si>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</si>
  <si>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</si>
  <si>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</si>
  <si>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</si>
  <si>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</si>
  <si>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</si>
  <si>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</si>
  <si>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</si>
  <si>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</si>
  <si>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</si>
  <si>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</si>
  <si>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</si>
  <si>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</si>
  <si>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</si>
  <si>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</si>
  <si>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</si>
  <si>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</si>
  <si>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</si>
  <si>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</si>
  <si>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</si>
  <si>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</si>
  <si>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</si>
  <si>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</si>
  <si>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</si>
  <si>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</si>
  <si>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</si>
  <si>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</si>
  <si>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</si>
  <si>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</si>
  <si>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</si>
  <si>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</si>
  <si>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</si>
  <si>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</si>
  <si>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</si>
  <si>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</si>
  <si>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</si>
  <si>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</si>
  <si>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</si>
  <si>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</si>
  <si>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</si>
  <si>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</si>
  <si>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</si>
  <si>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</si>
  <si>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</si>
  <si>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</si>
  <si>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</si>
  <si>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</si>
  <si>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</si>
  <si>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</si>
  <si>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</si>
  <si>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</si>
  <si>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</si>
  <si>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</si>
  <si>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</si>
  <si>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</si>
  <si>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</si>
  <si>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</si>
  <si>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</si>
  <si>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</si>
  <si>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</si>
  <si>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</si>
  <si>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</si>
  <si>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</si>
  <si>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</si>
  <si>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</si>
  <si>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</si>
  <si>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</si>
  <si>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</si>
  <si>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</si>
  <si>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</si>
  <si>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</si>
  <si>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</si>
  <si>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</si>
  <si>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</si>
  <si>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</si>
  <si>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</si>
  <si>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</si>
  <si>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</si>
  <si>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</si>
  <si>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</si>
  <si>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</si>
  <si>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</si>
  <si>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</si>
  <si>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</si>
  <si>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</si>
  <si>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</si>
  <si>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</si>
  <si>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</si>
  <si>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</si>
  <si>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</si>
  <si>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</si>
  <si>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</si>
  <si>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</si>
  <si>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</si>
  <si>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</si>
  <si>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</si>
  <si>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</si>
  <si>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</si>
  <si>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</si>
  <si>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</si>
  <si>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</si>
  <si>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</si>
  <si>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</si>
  <si>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</si>
  <si>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</si>
  <si>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</si>
  <si>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</si>
  <si>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</si>
  <si>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</si>
  <si>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</si>
  <si>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</si>
  <si>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</si>
  <si>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</si>
  <si>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</si>
  <si>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</si>
  <si>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</si>
  <si>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</si>
  <si>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</si>
  <si>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</si>
  <si>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</si>
  <si>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</si>
  <si>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</si>
  <si>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</si>
  <si>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</si>
  <si>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</si>
  <si>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</si>
  <si>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</si>
  <si>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</si>
  <si>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</si>
  <si>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</si>
  <si>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</si>
  <si>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</si>
  <si>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</si>
  <si>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</si>
  <si>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</si>
  <si>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</si>
  <si>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</si>
  <si>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</si>
  <si>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</si>
  <si>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</si>
  <si>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</si>
  <si>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</si>
  <si>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</si>
  <si>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</si>
  <si>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</si>
  <si>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</si>
  <si>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</si>
  <si>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</si>
  <si>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</si>
  <si>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</si>
  <si>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</si>
  <si>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</si>
  <si>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</si>
  <si>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</si>
  <si>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</si>
  <si>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</si>
  <si>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</si>
  <si>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</si>
  <si>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</si>
  <si>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</si>
  <si>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</si>
  <si>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</si>
  <si>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</si>
  <si>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</si>
  <si>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</si>
  <si>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</si>
  <si>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</si>
  <si>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</si>
  <si>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</si>
  <si>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</si>
  <si>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</si>
  <si>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</si>
  <si>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</si>
  <si>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</si>
  <si>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</si>
  <si>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</si>
  <si>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</si>
  <si>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</si>
  <si>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</si>
  <si>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</si>
  <si>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</si>
  <si>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</si>
  <si>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</si>
  <si>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</si>
  <si>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</si>
  <si>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</si>
  <si>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</si>
  <si>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</si>
  <si>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</si>
  <si>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</si>
  <si>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</si>
  <si>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</si>
  <si>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</si>
  <si>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</si>
  <si>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</si>
  <si>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</si>
  <si>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</si>
  <si>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</si>
  <si>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</si>
  <si>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</si>
  <si>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</si>
  <si>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</si>
  <si>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</si>
  <si>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</si>
  <si>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</si>
  <si>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</si>
  <si>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</si>
  <si>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</si>
  <si>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</si>
  <si>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</si>
  <si>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</si>
  <si>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</si>
  <si>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</si>
  <si>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</si>
  <si>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</si>
  <si>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</si>
  <si>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</si>
  <si>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</si>
  <si>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</si>
  <si>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</si>
  <si>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</si>
  <si>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</si>
  <si>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</si>
  <si>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</si>
  <si>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</si>
  <si>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</si>
  <si>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</si>
  <si>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</si>
  <si>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</si>
  <si>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</si>
  <si>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</si>
  <si>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</si>
  <si>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</si>
  <si>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</si>
  <si>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</si>
  <si>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</si>
  <si>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</si>
  <si>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</si>
  <si>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</si>
  <si>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</si>
  <si>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</si>
  <si>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</si>
  <si>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</si>
  <si>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</si>
  <si>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</si>
  <si>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</si>
  <si>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</si>
  <si>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</si>
  <si>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</si>
  <si>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</si>
  <si>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</si>
  <si>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</si>
  <si>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</si>
  <si>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</si>
  <si>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</si>
  <si>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</si>
  <si>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</si>
  <si>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</si>
  <si>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</si>
  <si>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</si>
  <si>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</si>
  <si>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</si>
  <si>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</si>
  <si>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</si>
  <si>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</si>
  <si>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</si>
  <si>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</si>
  <si>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</si>
  <si>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</si>
  <si>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</si>
  <si>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</si>
  <si>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</si>
  <si>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</si>
  <si>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</si>
  <si>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</si>
  <si>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</si>
  <si>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</si>
  <si>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</si>
  <si>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</si>
  <si>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</si>
  <si>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</si>
  <si>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</si>
  <si>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</si>
  <si>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</si>
  <si>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</si>
  <si>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</si>
  <si>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</si>
  <si>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</si>
  <si>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</si>
  <si>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</si>
  <si>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</si>
  <si>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</si>
  <si>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</si>
  <si>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</si>
  <si>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</si>
  <si>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</si>
  <si>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</si>
  <si>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</si>
  <si>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</si>
  <si>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</si>
  <si>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</si>
  <si>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</si>
  <si>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</si>
  <si>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</si>
  <si>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</si>
  <si>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</si>
  <si>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</si>
  <si>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</si>
  <si>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</si>
  <si>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</si>
  <si>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</si>
  <si>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</si>
  <si>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</si>
  <si>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</si>
  <si>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</si>
  <si>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</si>
  <si>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</si>
  <si>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</si>
  <si>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</si>
  <si>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</si>
  <si>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</si>
  <si>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</si>
  <si>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</si>
  <si>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</si>
  <si>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</si>
  <si>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</si>
  <si>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</si>
  <si>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</si>
  <si>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</si>
  <si>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</si>
  <si>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</si>
  <si>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</si>
  <si>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</si>
  <si>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</si>
  <si>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</si>
  <si>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</si>
  <si>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</si>
  <si>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</si>
  <si>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</si>
  <si>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</si>
  <si>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</si>
  <si>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</si>
  <si>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</si>
  <si>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</si>
  <si>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</si>
  <si>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</si>
  <si>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</si>
  <si>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</si>
  <si>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</si>
  <si>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</si>
  <si>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</si>
  <si>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</si>
  <si>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</si>
  <si>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</si>
  <si>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</si>
  <si>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</si>
  <si>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</si>
  <si>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</si>
  <si>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</si>
  <si>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</si>
  <si>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</si>
  <si>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</si>
  <si>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</si>
  <si>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</si>
  <si>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</si>
  <si>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</si>
  <si>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</si>
  <si>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</si>
  <si>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</si>
  <si>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</si>
  <si>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</si>
  <si>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</si>
  <si>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</si>
  <si>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</si>
  <si>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</si>
  <si>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</si>
  <si>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</si>
  <si>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</si>
  <si>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</si>
  <si>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</si>
  <si>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</si>
  <si>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</si>
  <si>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</si>
  <si>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</si>
  <si>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</si>
  <si>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</si>
  <si>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</si>
  <si>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</si>
  <si>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</si>
  <si>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</si>
  <si>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</si>
  <si>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</si>
  <si>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</si>
  <si>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</si>
  <si>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</si>
  <si>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</si>
  <si>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</si>
  <si>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</si>
  <si>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</si>
  <si>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</si>
  <si>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</si>
  <si>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</si>
  <si>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</si>
  <si>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</si>
  <si>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</si>
  <si>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</si>
  <si>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</si>
  <si>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</si>
  <si>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</si>
  <si>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</si>
  <si>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</si>
  <si>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</si>
  <si>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</si>
  <si>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</si>
  <si>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</si>
  <si>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</si>
  <si>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</si>
  <si>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</si>
  <si>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</si>
  <si>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</si>
  <si>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</si>
  <si>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</si>
  <si>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</si>
  <si>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</si>
  <si>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</si>
  <si>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</si>
  <si>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</si>
  <si>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</si>
  <si>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</si>
  <si>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</si>
  <si>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</si>
  <si>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</si>
  <si>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</si>
  <si>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</si>
  <si>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</si>
  <si>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</si>
  <si>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</si>
  <si>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</si>
  <si>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</si>
  <si>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</si>
  <si>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</si>
  <si>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</si>
  <si>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</si>
  <si>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</si>
  <si>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</si>
  <si>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</si>
  <si>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</si>
  <si>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</si>
  <si>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</si>
  <si>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</si>
  <si>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</si>
  <si>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</si>
  <si>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</si>
  <si>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</si>
  <si>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</si>
  <si>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</si>
  <si>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</si>
  <si>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</si>
  <si>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</si>
  <si>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</si>
  <si>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</si>
  <si>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</si>
  <si>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</si>
  <si>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</si>
  <si>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</si>
  <si>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</si>
  <si>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</si>
  <si>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</si>
  <si>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</si>
  <si>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</si>
  <si>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</si>
  <si>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</si>
  <si>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</si>
  <si>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</si>
  <si>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</si>
  <si>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</si>
  <si>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</si>
  <si>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</si>
  <si>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</si>
  <si>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</si>
  <si>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</si>
  <si>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</si>
  <si>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</si>
  <si>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</si>
  <si>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</si>
  <si>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</si>
  <si>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</si>
  <si>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</si>
  <si>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</si>
  <si>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</si>
  <si>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</si>
  <si>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</si>
  <si>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</si>
  <si>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</si>
  <si>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</si>
  <si>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</si>
  <si>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</si>
  <si>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</si>
  <si>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</si>
  <si>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</si>
  <si>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</si>
  <si>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</si>
  <si>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</si>
  <si>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</si>
  <si>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</si>
  <si>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</si>
  <si>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</si>
  <si>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</si>
  <si>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</si>
  <si>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</si>
  <si>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</si>
  <si>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</si>
  <si>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</si>
  <si>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</si>
  <si>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</si>
  <si>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</si>
  <si>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</si>
  <si>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</si>
  <si>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</si>
  <si>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</si>
  <si>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</si>
  <si>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</si>
  <si>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</si>
  <si>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</si>
  <si>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</si>
  <si>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</si>
  <si>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</si>
  <si>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</si>
  <si>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</si>
  <si>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</si>
  <si>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</si>
  <si>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</si>
  <si>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</si>
  <si>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</si>
  <si>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</si>
  <si>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</si>
  <si>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</si>
  <si>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</si>
  <si>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</si>
  <si>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</si>
  <si>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</si>
  <si>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</si>
  <si>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</si>
  <si>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</si>
  <si>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</si>
  <si>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</si>
  <si>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</si>
  <si>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</si>
  <si>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</si>
  <si>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</si>
  <si>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</si>
  <si>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</si>
  <si>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</si>
  <si>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</si>
  <si>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</si>
  <si>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</si>
  <si>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</si>
  <si>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</si>
  <si>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</si>
  <si>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</si>
  <si>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</si>
  <si>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</si>
  <si>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</si>
  <si>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</si>
  <si>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</si>
  <si>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</si>
  <si>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</si>
  <si>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</si>
  <si>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</si>
  <si>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</si>
  <si>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</si>
  <si>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</si>
  <si>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</si>
  <si>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</si>
  <si>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</si>
  <si>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</si>
  <si>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</si>
  <si>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</si>
  <si>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</si>
  <si>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</si>
  <si>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</si>
  <si>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</si>
  <si>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</si>
  <si>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</si>
  <si>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</si>
  <si>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</si>
  <si>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</si>
  <si>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</si>
  <si>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</si>
  <si>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</si>
  <si>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</si>
  <si>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</si>
  <si>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</si>
  <si>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</si>
  <si>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</si>
  <si>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</si>
  <si>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</si>
  <si>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</si>
  <si>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</si>
  <si>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</si>
  <si>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</si>
  <si>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</si>
  <si>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</si>
  <si>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</si>
  <si>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</si>
  <si>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</si>
  <si>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</si>
  <si>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</si>
  <si>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</si>
  <si>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</si>
  <si>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</si>
  <si>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</si>
  <si>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</si>
  <si>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</si>
  <si>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</si>
  <si>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</si>
  <si>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</si>
  <si>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</si>
  <si>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</si>
  <si>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</si>
  <si>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</si>
  <si>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</si>
  <si>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</si>
  <si>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</si>
  <si>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</si>
  <si>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</si>
  <si>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</si>
  <si>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</si>
  <si>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</si>
  <si>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</si>
  <si>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</si>
  <si>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</si>
  <si>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</si>
  <si>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</si>
  <si>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</si>
  <si>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</si>
  <si>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</si>
  <si>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</si>
  <si>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</si>
  <si>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</si>
  <si>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</si>
  <si>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</si>
  <si>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</si>
  <si>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</si>
  <si>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</si>
  <si>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</si>
  <si>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</si>
  <si>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</si>
  <si>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</si>
  <si>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</si>
  <si>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</si>
  <si>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</si>
  <si>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</si>
  <si>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</si>
  <si>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</si>
  <si>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</si>
  <si>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</si>
  <si>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</si>
  <si>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</si>
  <si>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</si>
  <si>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</si>
  <si>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</si>
  <si>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</si>
  <si>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</si>
  <si>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</si>
  <si>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</si>
  <si>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</si>
  <si>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</si>
  <si>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</si>
  <si>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</si>
  <si>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</si>
  <si>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</si>
  <si>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</si>
  <si>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</si>
  <si>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</si>
  <si>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</si>
  <si>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</si>
  <si>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</si>
  <si>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</si>
  <si>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</si>
  <si>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</si>
  <si>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</si>
  <si>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</si>
  <si>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</si>
  <si>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</si>
  <si>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</si>
  <si>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</si>
  <si>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</si>
  <si>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</si>
  <si>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</si>
  <si>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</si>
  <si>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</si>
  <si>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</si>
  <si>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</si>
  <si>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</si>
  <si>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</si>
  <si>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</si>
  <si>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</si>
  <si>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</si>
  <si>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</si>
  <si>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</si>
  <si>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</si>
  <si>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</si>
  <si>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</si>
  <si>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</si>
  <si>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</si>
  <si>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</si>
  <si>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</si>
  <si>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</si>
  <si>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</si>
  <si>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</si>
  <si>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</si>
  <si>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</si>
  <si>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</si>
  <si>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</si>
  <si>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</si>
  <si>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</si>
  <si>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</si>
  <si>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</si>
  <si>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</si>
  <si>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</si>
  <si>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</si>
  <si>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</si>
  <si>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</si>
  <si>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</si>
  <si>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</si>
  <si>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</si>
  <si>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</si>
  <si>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</si>
  <si>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</si>
  <si>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</si>
  <si>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</si>
  <si>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</si>
  <si>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</si>
  <si>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</si>
  <si>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</si>
  <si>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</si>
  <si>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</si>
  <si>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</si>
  <si>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</si>
  <si>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</si>
  <si>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</si>
  <si>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</si>
  <si>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</si>
  <si>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</si>
  <si>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</si>
  <si>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</si>
  <si>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</si>
  <si>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</si>
  <si>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</si>
  <si>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</si>
  <si>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</si>
  <si>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</si>
  <si>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</si>
  <si>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</si>
  <si>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</si>
  <si>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</si>
  <si>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</si>
  <si>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</si>
  <si>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</si>
  <si>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</si>
  <si>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</si>
  <si>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</si>
  <si>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</si>
  <si>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</si>
  <si>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</si>
  <si>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</si>
  <si>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</si>
  <si>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</si>
  <si>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</si>
  <si>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</si>
  <si>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</si>
  <si>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</si>
  <si>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</si>
  <si>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</si>
  <si>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</si>
  <si>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</si>
  <si>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</si>
  <si>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</si>
  <si>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</si>
  <si>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</si>
  <si>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</si>
  <si>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</si>
  <si>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</si>
  <si>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</si>
  <si>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</si>
  <si>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</si>
  <si>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</si>
  <si>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</si>
  <si>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</si>
  <si>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</si>
  <si>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</si>
  <si>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</si>
  <si>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</si>
  <si>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</si>
  <si>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</si>
  <si>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</si>
  <si>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</si>
  <si>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</si>
  <si>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</si>
  <si>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</si>
  <si>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</si>
  <si>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</si>
  <si>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</si>
  <si>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</si>
  <si>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</si>
  <si>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</si>
  <si>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</si>
  <si>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</si>
  <si>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</si>
  <si>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</si>
  <si>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</si>
  <si>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</si>
  <si>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</si>
  <si>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</si>
  <si>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</si>
  <si>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</si>
  <si>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</si>
  <si>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</si>
  <si>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</si>
  <si>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</si>
  <si>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</si>
  <si>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</si>
  <si>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</si>
  <si>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</si>
  <si>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</si>
  <si>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</si>
  <si>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</si>
  <si>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</si>
  <si>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</si>
  <si>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</si>
  <si>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</si>
  <si>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</si>
  <si>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</si>
  <si>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</si>
  <si>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</si>
  <si>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</si>
  <si>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</si>
  <si>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</si>
  <si>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</si>
  <si>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</si>
  <si>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</si>
  <si>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</si>
  <si>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</si>
  <si>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</si>
  <si>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</si>
  <si>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</si>
  <si>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</si>
  <si>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</si>
  <si>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</si>
  <si>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</si>
  <si>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</si>
  <si>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</si>
  <si>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</si>
  <si>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</si>
  <si>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</si>
  <si>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</si>
  <si>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</si>
  <si>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</si>
  <si>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</si>
  <si>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</si>
  <si>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</si>
  <si>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</si>
  <si>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</si>
  <si>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</si>
  <si>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</si>
  <si>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</si>
  <si>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</si>
  <si>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</si>
  <si>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</si>
  <si>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</si>
  <si>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</si>
  <si>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</si>
  <si>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</si>
  <si>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</si>
  <si>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</si>
  <si>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</si>
  <si>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</si>
  <si>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</si>
  <si>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</si>
  <si>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</si>
  <si>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</si>
  <si>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</si>
  <si>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</si>
  <si>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</si>
  <si>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</si>
  <si>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</si>
  <si>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</si>
  <si>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</si>
  <si>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</si>
  <si>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</si>
  <si>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</si>
  <si>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</si>
  <si>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</si>
  <si>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</si>
  <si>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</si>
  <si>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</si>
  <si>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</si>
  <si>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</si>
  <si>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</si>
  <si>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</si>
  <si>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</si>
  <si>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</si>
  <si>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</si>
  <si>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</si>
  <si>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</si>
  <si>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</si>
  <si>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</si>
  <si>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</si>
  <si>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</si>
  <si>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</si>
  <si>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</si>
  <si>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</si>
  <si>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</si>
  <si>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</si>
  <si>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</si>
  <si>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</si>
  <si>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</si>
  <si>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</si>
  <si>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</si>
  <si>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</si>
  <si>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</si>
  <si>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</si>
  <si>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</si>
  <si>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</si>
  <si>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</si>
  <si>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</si>
  <si>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</si>
  <si>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</si>
  <si>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</si>
  <si>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</si>
  <si>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</si>
  <si>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</si>
  <si>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</si>
  <si>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</si>
  <si>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</si>
  <si>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</si>
  <si>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</si>
  <si>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</si>
  <si>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</si>
  <si>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</si>
  <si>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</si>
  <si>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</si>
  <si>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</si>
  <si>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</si>
  <si>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</si>
  <si>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</si>
  <si>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</si>
  <si>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</si>
  <si>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</si>
  <si>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</si>
  <si>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</si>
  <si>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</si>
  <si>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</si>
  <si>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</si>
  <si>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</si>
  <si>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</si>
  <si>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</si>
  <si>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</si>
  <si>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</si>
  <si>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</si>
  <si>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</si>
  <si>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</si>
  <si>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</si>
  <si>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</si>
  <si>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</si>
  <si>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</si>
  <si>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</si>
  <si>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</si>
  <si>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</si>
  <si>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</si>
  <si>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</si>
  <si>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</si>
  <si>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</si>
  <si>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</si>
  <si>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</si>
  <si>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</si>
  <si>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</si>
  <si>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</si>
  <si>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</si>
  <si>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</si>
  <si>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</si>
  <si>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</si>
  <si>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</si>
  <si>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</si>
  <si>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</si>
  <si>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</si>
  <si>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</si>
  <si>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</si>
  <si>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</si>
  <si>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</si>
  <si>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</si>
  <si>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</si>
  <si>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</si>
  <si>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</si>
  <si>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</si>
  <si>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</si>
  <si>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</si>
  <si>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</si>
  <si>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</si>
  <si>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</si>
  <si>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</si>
  <si>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</si>
  <si>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</si>
  <si>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</si>
  <si>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</si>
  <si>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</si>
  <si>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</si>
  <si>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</si>
  <si>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</si>
  <si>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</si>
  <si>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</si>
  <si>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</si>
  <si>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</si>
  <si>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</si>
  <si>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</si>
  <si>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</si>
  <si>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</si>
  <si>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</si>
  <si>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</si>
  <si>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</si>
  <si>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</si>
  <si>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</si>
  <si>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</si>
  <si>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</si>
  <si>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</si>
  <si>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</si>
  <si>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</si>
  <si>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</si>
  <si>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</si>
  <si>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</si>
  <si>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</si>
  <si>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</si>
  <si>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</si>
  <si>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</si>
  <si>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</si>
  <si>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</si>
  <si>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</si>
  <si>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</si>
  <si>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</si>
  <si>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</si>
  <si>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</si>
  <si>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</si>
  <si>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</si>
  <si>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</si>
  <si>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</si>
  <si>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</si>
  <si>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</si>
  <si>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</si>
  <si>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</si>
  <si>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</si>
  <si>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</si>
  <si>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</si>
  <si>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</si>
  <si>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</si>
  <si>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</si>
  <si>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</si>
  <si>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</si>
  <si>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</si>
  <si>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</si>
  <si>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</si>
  <si>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</si>
  <si>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</si>
  <si>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</si>
  <si>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</si>
  <si>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</si>
  <si>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</si>
  <si>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</si>
  <si>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</si>
  <si>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</si>
  <si>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</si>
  <si>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</si>
  <si>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</si>
  <si>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</si>
  <si>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</si>
  <si>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</si>
  <si>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</si>
  <si>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</si>
  <si>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</si>
  <si>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</si>
  <si>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</si>
  <si>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</si>
  <si>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</si>
  <si>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</si>
  <si>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</si>
  <si>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</si>
  <si>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</si>
  <si>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</si>
  <si>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</si>
  <si>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</si>
  <si>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</si>
  <si>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</si>
  <si>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</si>
  <si>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</si>
  <si>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</si>
  <si>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</si>
  <si>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</si>
  <si>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</si>
  <si>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</si>
  <si>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</si>
  <si>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</si>
  <si>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</si>
  <si>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</si>
  <si>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</si>
  <si>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</si>
  <si>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</si>
  <si>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</si>
  <si>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</si>
  <si>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</si>
  <si>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</si>
  <si>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</si>
  <si>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</si>
  <si>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</si>
  <si>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</si>
  <si>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</si>
  <si>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</si>
  <si>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</si>
  <si>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</si>
  <si>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</si>
  <si>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</si>
  <si>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</si>
  <si>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</si>
  <si>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</si>
  <si>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</si>
  <si>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</si>
  <si>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</si>
  <si>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</si>
  <si>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</si>
  <si>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</si>
  <si>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</si>
  <si>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</si>
  <si>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</si>
  <si>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</si>
  <si>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</si>
  <si>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</si>
  <si>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</si>
  <si>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</si>
  <si>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</si>
  <si>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</si>
  <si>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</si>
  <si>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</si>
  <si>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</si>
  <si>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</si>
  <si>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</si>
  <si>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</si>
  <si>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</si>
  <si>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</si>
  <si>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</si>
  <si>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</si>
  <si>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</si>
  <si>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</si>
  <si>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</si>
  <si>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</si>
  <si>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</si>
  <si>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</si>
  <si>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</si>
  <si>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</si>
  <si>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</si>
  <si>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</si>
  <si>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</si>
  <si>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</si>
  <si>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</si>
  <si>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</si>
  <si>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</si>
  <si>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</si>
  <si>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</si>
  <si>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</si>
  <si>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</si>
  <si>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</si>
  <si>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</si>
  <si>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</si>
  <si>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</si>
  <si>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</si>
  <si>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</si>
  <si>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</si>
  <si>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</si>
  <si>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</si>
  <si>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</si>
  <si>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</si>
  <si>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</si>
  <si>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</si>
  <si>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</si>
  <si>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</si>
  <si>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</si>
  <si>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</si>
  <si>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</si>
  <si>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</si>
  <si>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</si>
  <si>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</si>
  <si>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</si>
  <si>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</si>
  <si>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</si>
  <si>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</si>
  <si>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</si>
  <si>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</si>
  <si>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</si>
  <si>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</si>
  <si>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</si>
  <si>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</si>
  <si>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</si>
  <si>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</si>
  <si>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</si>
  <si>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</si>
  <si>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</si>
  <si>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</si>
  <si>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</si>
  <si>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</si>
  <si>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</si>
  <si>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</si>
  <si>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</si>
  <si>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</si>
  <si>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</si>
  <si>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</si>
  <si>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</si>
  <si>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</si>
  <si>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</si>
  <si>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</si>
  <si>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</si>
  <si>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</si>
  <si>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</si>
  <si>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</si>
  <si>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</si>
  <si>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</si>
  <si>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</si>
  <si>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</si>
  <si>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</si>
  <si>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</si>
  <si>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</si>
  <si>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</si>
  <si>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</si>
  <si>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</si>
  <si>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</si>
  <si>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</si>
  <si>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</si>
  <si>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</si>
  <si>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</si>
  <si>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</si>
  <si>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</si>
  <si>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</si>
  <si>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</si>
  <si>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</si>
  <si>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</si>
  <si>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</si>
  <si>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</si>
  <si>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</si>
  <si>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</si>
  <si>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</si>
  <si>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</si>
  <si>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</si>
  <si>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</si>
  <si>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</si>
  <si>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</si>
  <si>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</si>
  <si>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</si>
  <si>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</si>
  <si>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</si>
  <si>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</si>
  <si>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</si>
  <si>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</si>
  <si>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</si>
  <si>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</si>
  <si>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</si>
  <si>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</si>
  <si>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</si>
  <si>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</si>
  <si>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</si>
  <si>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</si>
  <si>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</si>
  <si>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</si>
  <si>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</si>
  <si>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</si>
  <si>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</si>
  <si>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</si>
  <si>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</si>
  <si>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</si>
  <si>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</si>
  <si>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</si>
  <si>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</si>
  <si>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</si>
  <si>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</si>
  <si>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</si>
  <si>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</si>
  <si>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</si>
  <si>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</si>
  <si>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</si>
  <si>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</si>
  <si>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</si>
  <si>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</si>
  <si>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</si>
  <si>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</si>
  <si>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</si>
  <si>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</si>
  <si>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</si>
  <si>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</si>
  <si>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</si>
  <si>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</si>
  <si>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</si>
  <si>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</si>
  <si>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</si>
  <si>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</si>
  <si>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</si>
  <si>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</si>
  <si>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</si>
  <si>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</si>
  <si>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</si>
  <si>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</si>
  <si>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</si>
  <si>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</si>
  <si>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</si>
  <si>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</si>
  <si>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</si>
  <si>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</si>
  <si>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</si>
  <si>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</si>
  <si>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</si>
  <si>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</si>
  <si>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</si>
  <si>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</si>
  <si>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</si>
  <si>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</si>
  <si>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</si>
  <si>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</si>
  <si>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</si>
  <si>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</si>
  <si>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</si>
  <si>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</si>
  <si>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</si>
  <si>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</si>
  <si>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</si>
  <si>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</si>
  <si>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</si>
  <si>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</si>
  <si>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</si>
  <si>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</si>
  <si>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</si>
  <si>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</si>
  <si>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</si>
  <si>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</si>
  <si>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</si>
  <si>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</si>
  <si>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</si>
  <si>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</si>
  <si>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</si>
  <si>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</si>
  <si>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</si>
  <si>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</si>
  <si>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</si>
  <si>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</si>
  <si>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</si>
  <si>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</si>
  <si>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</si>
  <si>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</si>
  <si>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</si>
  <si>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</si>
  <si>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</si>
  <si>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</si>
  <si>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</si>
  <si>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</si>
  <si>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</si>
  <si>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</si>
  <si>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</si>
  <si>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</si>
  <si>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</si>
  <si>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</si>
  <si>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</si>
  <si>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</si>
  <si>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</si>
  <si>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</si>
  <si>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</si>
  <si>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</si>
  <si>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</si>
  <si>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</si>
  <si>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</si>
  <si>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</si>
  <si>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</si>
  <si>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</si>
  <si>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</si>
  <si>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</si>
  <si>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</si>
  <si>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</si>
  <si>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</si>
  <si>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</si>
  <si>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</si>
  <si>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</si>
  <si>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</si>
  <si>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</si>
  <si>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</si>
  <si>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</si>
  <si>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</si>
  <si>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</si>
  <si>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</si>
  <si>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</si>
  <si>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</si>
  <si>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</si>
  <si>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</si>
  <si>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</si>
  <si>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</si>
  <si>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</si>
  <si>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</si>
  <si>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</si>
  <si>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</si>
  <si>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</si>
  <si>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</si>
  <si>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</si>
  <si>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</si>
  <si>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</si>
  <si>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</si>
  <si>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</si>
  <si>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</si>
  <si>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</si>
  <si>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</si>
  <si>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</si>
  <si>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</si>
  <si>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</si>
  <si>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</si>
  <si>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</si>
  <si>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</si>
  <si>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</si>
  <si>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</si>
  <si>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</si>
  <si>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</si>
  <si>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</si>
  <si>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</si>
  <si>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</si>
  <si>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</si>
  <si>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</si>
  <si>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</si>
  <si>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</si>
  <si>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</si>
  <si>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</si>
  <si>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</si>
  <si>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</si>
  <si>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</si>
  <si>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</si>
  <si>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</si>
  <si>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</si>
  <si>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</si>
  <si>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</si>
  <si>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</si>
  <si>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</si>
  <si>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</si>
  <si>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</si>
  <si>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</si>
  <si>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</si>
  <si>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</si>
  <si>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</si>
  <si>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</si>
  <si>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</si>
  <si>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</si>
  <si>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</si>
  <si>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</si>
  <si>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</si>
  <si>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</si>
  <si>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</si>
  <si>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</si>
  <si>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</si>
  <si>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</si>
  <si>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</si>
  <si>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</si>
  <si>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</si>
  <si>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</si>
  <si>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</si>
  <si>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</si>
  <si>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</si>
  <si>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</si>
  <si>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</si>
  <si>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</si>
  <si>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</si>
  <si>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</si>
  <si>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</si>
  <si>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</si>
  <si>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</si>
  <si>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</si>
  <si>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</si>
  <si>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</si>
  <si>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</si>
  <si>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</si>
  <si>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</si>
  <si>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</si>
  <si>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</si>
  <si>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</si>
  <si>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</si>
  <si>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</si>
  <si>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</si>
  <si>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</si>
  <si>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</si>
  <si>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</si>
  <si>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</si>
  <si>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</si>
  <si>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</si>
  <si>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</si>
  <si>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</si>
  <si>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</si>
  <si>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</si>
  <si>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</si>
  <si>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</si>
  <si>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</si>
  <si>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</si>
  <si>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</si>
  <si>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</si>
  <si>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</si>
  <si>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</si>
  <si>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</si>
  <si>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</si>
  <si>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</si>
  <si>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</si>
  <si>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</si>
  <si>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</si>
  <si>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</si>
  <si>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</si>
  <si>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</si>
  <si>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</si>
  <si>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</si>
  <si>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</si>
  <si>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</si>
  <si>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</si>
  <si>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</si>
  <si>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</si>
  <si>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</si>
  <si>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</si>
  <si>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</si>
  <si>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</si>
  <si>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</si>
  <si>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</si>
  <si>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</si>
  <si>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</si>
  <si>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</si>
  <si>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</si>
  <si>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</si>
  <si>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</si>
  <si>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</si>
  <si>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</si>
  <si>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</si>
  <si>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</si>
  <si>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</si>
  <si>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</si>
  <si>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</si>
  <si>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</si>
  <si>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</si>
  <si>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</si>
  <si>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</si>
  <si>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</si>
  <si>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</si>
  <si>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</si>
  <si>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</si>
  <si>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</si>
  <si>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</si>
  <si>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</si>
  <si>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</si>
  <si>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</si>
  <si>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</si>
  <si>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</si>
  <si>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</si>
  <si>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</si>
  <si>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</si>
  <si>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</si>
  <si>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</si>
  <si>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</si>
  <si>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</si>
  <si>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</si>
  <si>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</si>
  <si>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</si>
  <si>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</si>
  <si>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</si>
  <si>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</si>
  <si>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</si>
  <si>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</si>
  <si>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</si>
  <si>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</si>
  <si>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</si>
  <si>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</si>
  <si>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</si>
  <si>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</si>
  <si>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</si>
  <si>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</si>
  <si>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</si>
  <si>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</si>
  <si>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</si>
  <si>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</si>
  <si>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</si>
  <si>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</si>
  <si>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</si>
  <si>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</si>
  <si>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</si>
  <si>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</si>
  <si>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</si>
  <si>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</si>
  <si>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</si>
  <si>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</si>
  <si>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</si>
  <si>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</si>
  <si>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</si>
  <si>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</si>
  <si>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</si>
  <si>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</si>
  <si>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</si>
  <si>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</si>
  <si>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</si>
  <si>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</si>
  <si>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</si>
  <si>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</si>
  <si>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</si>
  <si>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</si>
  <si>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</si>
  <si>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</si>
  <si>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</si>
  <si>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</si>
  <si>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</si>
  <si>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</si>
  <si>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</si>
  <si>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</si>
  <si>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</si>
  <si>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</si>
  <si>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</si>
  <si>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</si>
  <si>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</si>
  <si>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</si>
  <si>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</si>
  <si>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</si>
  <si>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</si>
  <si>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</si>
  <si>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</si>
  <si>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</si>
  <si>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</si>
  <si>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</si>
  <si>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</si>
  <si>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</si>
  <si>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</si>
  <si>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</si>
  <si>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</si>
  <si>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</si>
  <si>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</si>
  <si>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</si>
  <si>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</si>
  <si>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</si>
  <si>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</si>
  <si>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</si>
  <si>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</si>
  <si>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</si>
  <si>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</si>
  <si>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</si>
  <si>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</si>
  <si>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</si>
  <si>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</si>
  <si>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</si>
  <si>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</si>
  <si>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</si>
  <si>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</si>
  <si>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</si>
  <si>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</si>
  <si>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</si>
  <si>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</si>
  <si>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</si>
  <si>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</si>
  <si>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</si>
  <si>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</si>
  <si>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</si>
  <si>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</si>
  <si>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</si>
  <si>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</si>
  <si>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</si>
  <si>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</si>
  <si>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</si>
  <si>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</si>
  <si>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</si>
  <si>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</si>
  <si>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</si>
  <si>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</si>
  <si>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</si>
  <si>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</si>
  <si>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</si>
  <si>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</si>
  <si>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</si>
  <si>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</si>
  <si>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</si>
  <si>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</si>
  <si>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</si>
  <si>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</si>
  <si>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</si>
  <si>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</si>
  <si>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</si>
  <si>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</si>
  <si>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</si>
  <si>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</si>
  <si>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</si>
  <si>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</si>
  <si>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</si>
  <si>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</si>
  <si>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</si>
  <si>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</si>
  <si>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</si>
  <si>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</si>
  <si>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</si>
  <si>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</si>
  <si>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</si>
  <si>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</si>
  <si>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</si>
  <si>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</si>
  <si>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</si>
  <si>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</si>
  <si>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</si>
  <si>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</si>
  <si>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</si>
  <si>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</si>
  <si>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</si>
  <si>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</si>
  <si>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</si>
  <si>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</si>
  <si>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</si>
  <si>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</si>
  <si>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</si>
  <si>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</si>
  <si>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</si>
  <si>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</si>
  <si>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</si>
  <si>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</si>
  <si>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</si>
  <si>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</si>
  <si>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</si>
  <si>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</si>
  <si>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</si>
  <si>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</si>
  <si>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</si>
  <si>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</si>
  <si>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</si>
  <si>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</si>
  <si>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</si>
  <si>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</si>
  <si>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</si>
  <si>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</si>
  <si>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</si>
  <si>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</si>
  <si>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</si>
  <si>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</si>
  <si>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</si>
  <si>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</si>
  <si>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</si>
  <si>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</si>
  <si>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</si>
  <si>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</si>
  <si>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</si>
  <si>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</si>
  <si>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</si>
  <si>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</si>
  <si>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</si>
  <si>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</si>
  <si>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</si>
  <si>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</si>
  <si>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</si>
  <si>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</si>
  <si>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</si>
  <si>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</si>
  <si>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</si>
  <si>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</si>
  <si>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</si>
  <si>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</si>
  <si>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</si>
  <si>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</si>
  <si>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</si>
  <si>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</si>
  <si>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</si>
  <si>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</si>
  <si>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</si>
  <si>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</si>
  <si>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</si>
  <si>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</si>
  <si>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</si>
  <si>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</si>
  <si>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</si>
  <si>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</si>
  <si>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</si>
  <si>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</si>
  <si>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</si>
  <si>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</si>
  <si>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</si>
  <si>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</si>
  <si>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</si>
  <si>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</si>
  <si>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</si>
  <si>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</si>
  <si>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</si>
  <si>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</si>
  <si>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</si>
  <si>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</si>
  <si>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</si>
  <si>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</si>
  <si>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</si>
  <si>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</si>
  <si>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</si>
  <si>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</si>
  <si>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</si>
  <si>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</si>
  <si>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</si>
  <si>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</si>
  <si>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</si>
  <si>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</si>
  <si>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</si>
  <si>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</si>
  <si>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</si>
  <si>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</si>
  <si>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</si>
  <si>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</si>
  <si>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</si>
  <si>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</si>
  <si>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</si>
  <si>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</si>
  <si>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</si>
  <si>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</si>
  <si>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</si>
  <si>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</si>
  <si>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</si>
  <si>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</si>
  <si>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</si>
  <si>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</si>
  <si>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</si>
  <si>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</si>
  <si>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</si>
  <si>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</si>
  <si>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</si>
  <si>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</si>
  <si>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</si>
  <si>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</si>
  <si>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</si>
  <si>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</si>
  <si>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</si>
  <si>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</si>
  <si>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</si>
  <si>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</si>
  <si>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</si>
  <si>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</si>
  <si>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</si>
  <si>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</si>
  <si>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</si>
  <si>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</si>
  <si>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</si>
  <si>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</si>
  <si>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</si>
  <si>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</si>
  <si>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</si>
  <si>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</si>
  <si>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</si>
  <si>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</si>
  <si>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</si>
  <si>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</si>
  <si>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</si>
  <si>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</si>
  <si>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</si>
  <si>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</si>
  <si>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</si>
  <si>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</si>
  <si>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</si>
  <si>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</si>
  <si>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</si>
  <si>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</si>
  <si>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</si>
  <si>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</si>
  <si>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</si>
  <si>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</si>
  <si>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</si>
  <si>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</si>
  <si>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</si>
  <si>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</si>
  <si>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</si>
  <si>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</si>
  <si>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</si>
  <si>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</si>
  <si>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</si>
  <si>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</si>
  <si>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</si>
  <si>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</si>
  <si>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</si>
  <si>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</si>
  <si>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</si>
  <si>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</si>
  <si>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</si>
  <si>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</si>
  <si>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</si>
  <si>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</si>
  <si>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</si>
  <si>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</si>
  <si>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</si>
  <si>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</si>
  <si>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</si>
  <si>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</si>
  <si>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</si>
  <si>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</si>
  <si>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</si>
  <si>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</si>
  <si>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</si>
  <si>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</si>
  <si>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</si>
  <si>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</si>
  <si>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</si>
  <si>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</si>
  <si>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</si>
  <si>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</si>
  <si>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</si>
  <si>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</si>
  <si>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</si>
  <si>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</si>
  <si>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</si>
  <si>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</si>
  <si>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</si>
  <si>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</si>
  <si>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</si>
  <si>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</si>
  <si>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</si>
  <si>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</si>
  <si>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</si>
  <si>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</si>
  <si>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</si>
  <si>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</si>
  <si>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</si>
  <si>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</si>
  <si>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</si>
  <si>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</si>
  <si>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</si>
  <si>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</si>
  <si>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</si>
  <si>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</si>
  <si>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</si>
  <si>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</si>
  <si>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</si>
  <si>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</si>
  <si>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</si>
  <si>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</si>
  <si>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</si>
  <si>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</si>
  <si>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</si>
  <si>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</si>
  <si>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</si>
  <si>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</si>
  <si>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</si>
  <si>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</si>
  <si>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</si>
  <si>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</si>
  <si>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</si>
  <si>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</si>
  <si>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</si>
  <si>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</si>
  <si>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</si>
  <si>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</si>
  <si>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</si>
  <si>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</si>
  <si>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</si>
  <si>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</si>
  <si>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</si>
  <si>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</si>
  <si>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</si>
  <si>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</si>
  <si>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</si>
  <si>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</si>
  <si>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</si>
  <si>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</si>
  <si>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</si>
  <si>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</si>
  <si>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</si>
  <si>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</si>
  <si>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</si>
  <si>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</si>
  <si>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</si>
  <si>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</si>
  <si>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</si>
  <si>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</si>
  <si>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</si>
  <si>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</si>
  <si>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</si>
  <si>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</si>
  <si>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</si>
  <si>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</si>
  <si>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</si>
  <si>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</si>
  <si>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</si>
  <si>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</si>
  <si>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</si>
  <si>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</si>
  <si>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</si>
  <si>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</si>
  <si>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</si>
  <si>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</si>
  <si>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</si>
  <si>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</si>
  <si>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</si>
  <si>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</si>
  <si>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</si>
  <si>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</si>
  <si>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</si>
  <si>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</si>
  <si>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</si>
  <si>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</si>
  <si>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</si>
  <si>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</si>
  <si>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</si>
  <si>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</si>
  <si>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</si>
  <si>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</si>
  <si>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</si>
  <si>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</si>
  <si>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</si>
  <si>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</si>
  <si>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</si>
  <si>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</si>
  <si>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</si>
  <si>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</si>
  <si>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</si>
  <si>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</si>
  <si>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</si>
  <si>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</si>
  <si>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</si>
  <si>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</si>
  <si>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</si>
  <si>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</si>
  <si>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</si>
  <si>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</si>
  <si>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</si>
  <si>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</si>
  <si>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</si>
  <si>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</si>
  <si>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</si>
  <si>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</si>
  <si>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</si>
  <si>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</si>
  <si>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</si>
  <si>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</si>
  <si>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</si>
  <si>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</si>
  <si>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</si>
  <si>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</si>
  <si>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</si>
  <si>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</si>
  <si>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</si>
  <si>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</si>
  <si>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</si>
  <si>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</si>
  <si>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</si>
  <si>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</si>
  <si>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</si>
  <si>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</si>
  <si>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</si>
  <si>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</si>
  <si>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</si>
  <si>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</si>
  <si>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</si>
  <si>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</si>
  <si>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</si>
  <si>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</si>
  <si>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</si>
  <si>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</si>
  <si>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</si>
  <si>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</si>
  <si>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</si>
  <si>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</si>
  <si>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</si>
  <si>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</si>
  <si>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</si>
  <si>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</si>
  <si>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</si>
  <si>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</si>
  <si>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</si>
  <si>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</si>
  <si>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</si>
  <si>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</si>
  <si>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</si>
  <si>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</si>
  <si>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</si>
  <si>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</si>
  <si>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</si>
  <si>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</si>
  <si>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</si>
  <si>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</si>
  <si>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</si>
  <si>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</si>
  <si>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</si>
  <si>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</si>
  <si>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</si>
  <si>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</si>
  <si>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</si>
  <si>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</si>
  <si>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</si>
  <si>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</si>
  <si>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</si>
  <si>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</si>
  <si>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</si>
  <si>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</si>
  <si>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</si>
  <si>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</si>
  <si>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</si>
  <si>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</si>
  <si>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</si>
  <si>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</si>
  <si>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</si>
  <si>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</si>
  <si>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</si>
  <si>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</si>
  <si>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</si>
  <si>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</si>
  <si>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</si>
  <si>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</si>
  <si>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</si>
  <si>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</si>
  <si>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</si>
  <si>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</si>
  <si>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</si>
  <si>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</si>
  <si>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</si>
  <si>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</si>
  <si>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</si>
  <si>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</si>
  <si>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</si>
  <si>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</si>
  <si>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</si>
  <si>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</si>
  <si>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</si>
  <si>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</si>
  <si>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</si>
  <si>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</si>
  <si>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</si>
  <si>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</si>
  <si>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</si>
  <si>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</si>
  <si>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</si>
  <si>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</si>
  <si>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</si>
  <si>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</si>
  <si>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</si>
  <si>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</si>
  <si>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</si>
  <si>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</si>
  <si>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</si>
  <si>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</si>
  <si>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</si>
  <si>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</si>
  <si>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</si>
  <si>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</si>
  <si>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</si>
  <si>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</si>
  <si>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</si>
  <si>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</si>
  <si>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</si>
  <si>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</si>
  <si>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</si>
  <si>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</si>
  <si>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</si>
  <si>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</si>
  <si>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</si>
  <si>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</si>
  <si>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</si>
  <si>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</si>
  <si>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</si>
  <si>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</si>
  <si>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</si>
  <si>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</si>
  <si>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</si>
  <si>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</si>
  <si>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</si>
  <si>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</si>
  <si>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</si>
  <si>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</si>
  <si>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</si>
  <si>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</si>
  <si>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</si>
  <si>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</si>
  <si>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</si>
  <si>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</si>
  <si>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</si>
  <si>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</si>
  <si>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</si>
  <si>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</si>
  <si>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</si>
  <si>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</si>
  <si>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</si>
  <si>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</si>
  <si>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</si>
  <si>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</si>
  <si>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</si>
  <si>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</si>
  <si>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</si>
  <si>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</si>
  <si>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</si>
  <si>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</si>
  <si>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</si>
  <si>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</si>
  <si>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</si>
  <si>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</si>
  <si>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</si>
  <si>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</si>
  <si>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</si>
  <si>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</si>
  <si>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</si>
  <si>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</si>
  <si>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</si>
  <si>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</si>
  <si>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</si>
  <si>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</si>
  <si>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</si>
  <si>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</si>
  <si>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</si>
  <si>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</si>
  <si>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</si>
  <si>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</si>
  <si>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</si>
  <si>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</si>
  <si>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</si>
  <si>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</si>
  <si>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</si>
  <si>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</si>
  <si>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</si>
  <si>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</si>
  <si>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</si>
  <si>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</si>
  <si>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</si>
  <si>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</si>
  <si>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</si>
  <si>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</si>
  <si>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</si>
  <si>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</si>
  <si>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</si>
  <si>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</si>
  <si>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</si>
  <si>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</si>
  <si>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</si>
  <si>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</si>
  <si>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</si>
  <si>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</si>
  <si>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</si>
  <si>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</si>
  <si>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</si>
  <si>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</si>
  <si>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</si>
  <si>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</si>
  <si>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</si>
  <si>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</si>
  <si>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</si>
  <si>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</si>
  <si>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</si>
  <si>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</si>
  <si>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</si>
  <si>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</si>
  <si>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</si>
  <si>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</si>
  <si>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</si>
  <si>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</si>
  <si>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</si>
  <si>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</si>
  <si>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</si>
  <si>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</si>
  <si>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</si>
  <si>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</si>
  <si>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</si>
  <si>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</si>
  <si>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</si>
  <si>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</si>
  <si>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</si>
  <si>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</si>
  <si>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</si>
  <si>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</si>
  <si>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</si>
  <si>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</si>
  <si>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</si>
  <si>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</si>
  <si>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</si>
  <si>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</si>
  <si>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</si>
  <si>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</si>
  <si>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</si>
  <si>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</si>
  <si>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</si>
  <si>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</si>
  <si>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</si>
  <si>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</si>
  <si>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</si>
  <si>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</si>
  <si>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</si>
  <si>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</si>
  <si>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</si>
  <si>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</si>
  <si>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</si>
  <si>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</si>
  <si>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</si>
  <si>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</si>
  <si>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</si>
  <si>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</si>
  <si>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</si>
  <si>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</si>
  <si>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</si>
  <si>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</si>
  <si>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</si>
  <si>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</si>
  <si>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</si>
  <si>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</si>
  <si>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</si>
  <si>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</si>
  <si>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</si>
  <si>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</si>
  <si>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</si>
  <si>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</si>
  <si>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</si>
  <si>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</si>
  <si>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</si>
  <si>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</si>
  <si>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</si>
  <si>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</si>
  <si>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</si>
  <si>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</si>
  <si>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</si>
  <si>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</si>
  <si>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</si>
  <si>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</si>
  <si>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</si>
  <si>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</si>
  <si>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</si>
  <si>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</si>
  <si>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</si>
  <si>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</si>
  <si>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</si>
  <si>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</si>
  <si>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</si>
  <si>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</si>
  <si>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</si>
  <si>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</si>
  <si>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</si>
  <si>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</si>
  <si>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</si>
  <si>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</si>
  <si>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</si>
  <si>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</si>
  <si>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</si>
  <si>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</si>
  <si>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</si>
  <si>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</si>
  <si>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</si>
  <si>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</si>
  <si>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</si>
  <si>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</si>
  <si>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</si>
  <si>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</si>
  <si>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</si>
  <si>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</si>
  <si>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</si>
  <si>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</si>
  <si>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</si>
  <si>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</si>
  <si>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</si>
  <si>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</si>
  <si>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</si>
  <si>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</si>
  <si>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</si>
  <si>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</si>
  <si>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</si>
  <si>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</si>
  <si>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</si>
  <si>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</si>
  <si>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</si>
  <si>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</si>
  <si>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</si>
  <si>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</si>
  <si>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</si>
  <si>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</si>
  <si>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</si>
  <si>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</si>
  <si>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</si>
  <si>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</si>
  <si>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</si>
  <si>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</si>
  <si>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</si>
  <si>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</si>
  <si>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</si>
  <si>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</si>
  <si>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</si>
  <si>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</si>
  <si>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</si>
  <si>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</si>
  <si>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</si>
  <si>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</si>
  <si>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</si>
  <si>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</si>
  <si>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</si>
  <si>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</si>
  <si>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</si>
  <si>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</si>
  <si>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</si>
  <si>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</si>
  <si>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</si>
  <si>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</si>
  <si>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</si>
  <si>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</si>
  <si>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</si>
  <si>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</si>
  <si>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</si>
  <si>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</si>
  <si>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</si>
  <si>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</si>
  <si>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</si>
  <si>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</si>
  <si>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</si>
  <si>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</si>
  <si>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</si>
  <si>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</si>
  <si>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</si>
  <si>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</si>
  <si>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</si>
  <si>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</si>
  <si>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</si>
  <si>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</si>
  <si>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</si>
  <si>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</si>
  <si>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</si>
  <si>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</si>
  <si>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</si>
  <si>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</si>
  <si>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</si>
  <si>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</si>
  <si>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</si>
  <si>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</si>
  <si>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</si>
  <si>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</si>
  <si>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</si>
  <si>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</si>
  <si>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</si>
  <si>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</si>
  <si>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</si>
  <si>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</si>
  <si>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</si>
  <si>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</si>
  <si>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</si>
  <si>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</si>
  <si>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</si>
  <si>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</si>
  <si>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</si>
  <si>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</si>
  <si>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</si>
  <si>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</si>
  <si>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</si>
  <si>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</si>
  <si>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</si>
  <si>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</si>
  <si>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</si>
  <si>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</si>
  <si>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</si>
  <si>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</si>
  <si>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</si>
  <si>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</si>
  <si>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</si>
  <si>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</si>
  <si>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</si>
  <si>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</si>
  <si>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</si>
  <si>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</si>
  <si>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</si>
  <si>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</si>
  <si>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</si>
  <si>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</si>
  <si>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</si>
  <si>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</si>
  <si>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</si>
  <si>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</si>
  <si>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</si>
  <si>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</si>
  <si>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</si>
  <si>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</si>
  <si>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</si>
  <si>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</si>
  <si>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</si>
  <si>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</si>
  <si>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</si>
  <si>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</si>
  <si>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</si>
  <si>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</si>
  <si>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</si>
  <si>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</si>
  <si>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</si>
  <si>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</si>
  <si>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</si>
  <si>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</si>
  <si>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</si>
  <si>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</si>
  <si>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</si>
  <si>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</si>
  <si>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</si>
  <si>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</si>
  <si>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</si>
  <si>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</si>
  <si>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</si>
  <si>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</si>
  <si>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</si>
  <si>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</si>
  <si>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</si>
  <si>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</si>
  <si>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</si>
  <si>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</si>
  <si>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</si>
  <si>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</si>
  <si>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</si>
  <si>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</si>
  <si>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</si>
  <si>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</si>
  <si>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</si>
  <si>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</si>
  <si>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</si>
  <si>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</si>
  <si>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</si>
  <si>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</si>
  <si>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</si>
  <si>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</si>
  <si>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</si>
  <si>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</si>
  <si>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</si>
  <si>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</si>
  <si>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</si>
  <si>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</si>
  <si>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</si>
  <si>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</si>
  <si>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</si>
  <si>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</si>
  <si>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</si>
  <si>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</si>
  <si>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</si>
  <si>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</si>
  <si>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</si>
  <si>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</si>
  <si>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</si>
  <si>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</si>
  <si>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</si>
  <si>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</si>
  <si>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</si>
  <si>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</si>
  <si>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</si>
  <si>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</si>
  <si>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</si>
  <si>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</si>
  <si>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</si>
  <si>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</si>
  <si>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</si>
  <si>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</si>
  <si>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</si>
  <si>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</si>
  <si>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</si>
  <si>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</si>
  <si>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</si>
  <si>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</si>
  <si>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</si>
  <si>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</si>
  <si>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</si>
  <si>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</si>
  <si>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</si>
  <si>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</si>
  <si>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</si>
  <si>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</si>
  <si>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</si>
  <si>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</si>
  <si>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</si>
  <si>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</si>
  <si>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</si>
  <si>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</si>
  <si>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</si>
  <si>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</si>
  <si>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</si>
  <si>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</si>
  <si>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</si>
  <si>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</si>
  <si>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</si>
  <si>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</si>
  <si>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</si>
  <si>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</si>
  <si>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</si>
  <si>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</si>
  <si>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</si>
  <si>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</si>
  <si>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</si>
  <si>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</si>
  <si>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</si>
  <si>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</si>
  <si>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</si>
  <si>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</si>
  <si>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</si>
  <si>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</si>
  <si>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</si>
  <si>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</si>
  <si>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</si>
  <si>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</si>
  <si>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</si>
  <si>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</si>
  <si>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</si>
  <si>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</si>
  <si>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</si>
  <si>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</si>
  <si>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</si>
  <si>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</si>
  <si>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</si>
  <si>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</si>
  <si>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</si>
  <si>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</si>
  <si>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</si>
  <si>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</si>
  <si>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</si>
  <si>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</si>
  <si>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</si>
  <si>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</si>
  <si>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</si>
  <si>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</si>
  <si>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</si>
  <si>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</si>
  <si>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</si>
  <si>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</si>
  <si>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</si>
  <si>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</si>
  <si>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</si>
  <si>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</si>
  <si>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</si>
  <si>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</si>
  <si>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</si>
  <si>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</si>
  <si>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</si>
  <si>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</si>
  <si>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</si>
  <si>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</si>
  <si>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</si>
  <si>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</si>
  <si>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</si>
  <si>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</si>
  <si>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</si>
  <si>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</si>
  <si>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</si>
  <si>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</si>
  <si>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</si>
  <si>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</si>
  <si>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</si>
  <si>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</si>
  <si>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</si>
  <si>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</si>
  <si>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</si>
  <si>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</si>
  <si>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</si>
  <si>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</si>
  <si>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</si>
  <si>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</si>
  <si>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</si>
  <si>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</si>
  <si>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</si>
  <si>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</si>
  <si>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</si>
  <si>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</si>
  <si>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</si>
  <si>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</si>
  <si>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</si>
  <si>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</si>
  <si>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</si>
  <si>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</si>
  <si>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</si>
  <si>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</si>
  <si>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</si>
  <si>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</si>
  <si>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</si>
  <si>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</si>
  <si>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</si>
  <si>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</si>
  <si>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</si>
  <si>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</si>
  <si>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</si>
  <si>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</si>
  <si>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</si>
  <si>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</si>
  <si>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</si>
  <si>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</si>
  <si>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</si>
  <si>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</si>
  <si>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</si>
  <si>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</si>
  <si>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</si>
  <si>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</si>
  <si>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</si>
  <si>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</si>
  <si>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</si>
  <si>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</si>
  <si>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</si>
  <si>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</si>
  <si>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</si>
  <si>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</si>
  <si>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</si>
  <si>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</si>
  <si>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</si>
  <si>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</si>
  <si>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</si>
  <si>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</si>
  <si>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</si>
  <si>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</si>
  <si>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</si>
  <si>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</si>
  <si>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</si>
  <si>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</si>
  <si>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</si>
  <si>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</si>
  <si>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</si>
  <si>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</si>
  <si>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</si>
  <si>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</si>
  <si>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</si>
  <si>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</si>
  <si>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</si>
  <si>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</si>
  <si>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</si>
  <si>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</si>
  <si>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</si>
  <si>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</si>
  <si>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</si>
  <si>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</si>
  <si>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</si>
  <si>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</si>
  <si>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</si>
  <si>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</si>
  <si>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</si>
  <si>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</si>
  <si>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</si>
  <si>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</si>
  <si>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</si>
  <si>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</si>
  <si>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</si>
  <si>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</si>
  <si>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</si>
  <si>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</si>
  <si>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</si>
  <si>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</si>
  <si>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</si>
  <si>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</si>
  <si>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</si>
  <si>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</si>
  <si>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</si>
  <si>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</si>
  <si>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</si>
  <si>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</si>
  <si>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</si>
  <si>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</si>
  <si>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</si>
  <si>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</si>
  <si>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</si>
  <si>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</si>
  <si>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</si>
  <si>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</si>
  <si>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</si>
  <si>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</si>
  <si>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</si>
  <si>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</si>
  <si>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</si>
  <si>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</si>
  <si>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</si>
  <si>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</si>
  <si>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</si>
  <si>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</si>
  <si>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</si>
  <si>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</si>
  <si>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</si>
  <si>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</si>
  <si>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</si>
  <si>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</si>
  <si>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</si>
  <si>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</si>
  <si>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</si>
  <si>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</si>
  <si>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</si>
  <si>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</si>
  <si>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</si>
  <si>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</si>
  <si>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</si>
  <si>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</si>
  <si>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</si>
  <si>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</si>
  <si>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</si>
  <si>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</si>
  <si>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</si>
  <si>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</si>
  <si>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</si>
  <si>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</si>
  <si>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</si>
  <si>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</si>
  <si>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</si>
  <si>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</si>
  <si>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</si>
  <si>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</si>
  <si>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</si>
  <si>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</si>
  <si>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</si>
  <si>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</si>
  <si>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</si>
  <si>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</si>
  <si>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</si>
  <si>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</si>
  <si>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</si>
  <si>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</si>
  <si>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</si>
  <si>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</si>
  <si>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</si>
  <si>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</si>
  <si>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</si>
  <si>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</si>
  <si>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</si>
  <si>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</si>
  <si>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</si>
  <si>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</si>
  <si>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</si>
  <si>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</si>
  <si>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</si>
  <si>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</si>
  <si>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</si>
  <si>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</si>
  <si>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</si>
  <si>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</si>
  <si>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</si>
  <si>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</si>
  <si>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</si>
  <si>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</si>
  <si>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</si>
  <si>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</si>
  <si>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</si>
  <si>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</si>
  <si>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</si>
  <si>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</si>
  <si>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</si>
  <si>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</si>
  <si>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</si>
  <si>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</si>
  <si>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</si>
  <si>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</si>
  <si>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</si>
  <si>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</si>
  <si>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</si>
  <si>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</si>
  <si>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</si>
  <si>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</si>
  <si>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</si>
  <si>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</si>
  <si>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</si>
  <si>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</si>
  <si>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</si>
  <si>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</si>
  <si>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</si>
  <si>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</si>
  <si>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</si>
  <si>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</si>
  <si>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</si>
  <si>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</si>
  <si>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</si>
  <si>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</si>
  <si>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</si>
  <si>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</si>
  <si>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</si>
  <si>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</si>
  <si>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</si>
  <si>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</si>
  <si>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</si>
  <si>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</si>
  <si>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</si>
  <si>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</si>
  <si>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</si>
  <si>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</si>
  <si>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</si>
  <si>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</si>
  <si>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</si>
  <si>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</si>
  <si>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</si>
  <si>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</si>
  <si>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</si>
  <si>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</si>
  <si>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</si>
  <si>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</si>
  <si>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</si>
  <si>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</si>
  <si>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</si>
  <si>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</si>
  <si>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</si>
  <si>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</si>
  <si>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</si>
  <si>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</si>
  <si>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</si>
  <si>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</si>
  <si>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</si>
  <si>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</si>
  <si>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</si>
  <si>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</si>
  <si>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</si>
  <si>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</si>
  <si>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</si>
  <si>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</si>
  <si>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</si>
  <si>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</si>
  <si>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</si>
  <si>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</si>
  <si>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</si>
  <si>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</si>
  <si>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</si>
  <si>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</si>
  <si>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</si>
  <si>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</si>
  <si>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</si>
  <si>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</si>
  <si>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</si>
  <si>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</si>
  <si>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</si>
  <si>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</si>
  <si>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</si>
  <si>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</si>
  <si>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</si>
  <si>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</si>
  <si>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</si>
  <si>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</si>
  <si>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</si>
  <si>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</si>
  <si>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</si>
  <si>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</si>
  <si>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</si>
  <si>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</si>
  <si>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</si>
  <si>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</si>
  <si>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</si>
  <si>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</si>
  <si>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</si>
  <si>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</si>
  <si>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</si>
  <si>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</si>
  <si>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</si>
  <si>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</si>
  <si>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</si>
  <si>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</si>
  <si>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</si>
  <si>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</si>
  <si>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</si>
  <si>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</si>
  <si>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</si>
  <si>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</si>
  <si>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</si>
  <si>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</si>
  <si>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</si>
  <si>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</si>
  <si>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</si>
  <si>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</si>
  <si>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</si>
  <si>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</si>
  <si>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</si>
  <si>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</si>
  <si>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</si>
  <si>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</si>
  <si>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</si>
  <si>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</si>
  <si>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</si>
  <si>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</si>
  <si>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</si>
  <si>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</si>
  <si>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</si>
  <si>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</si>
  <si>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</si>
  <si>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</si>
  <si>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</si>
  <si>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</si>
  <si>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</si>
  <si>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</si>
  <si>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</si>
  <si>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</si>
  <si>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</si>
  <si>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</si>
  <si>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</si>
  <si>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</si>
  <si>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</si>
  <si>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</si>
  <si>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</si>
  <si>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</si>
  <si>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</si>
  <si>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</si>
  <si>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</si>
  <si>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</si>
  <si>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</si>
  <si>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</si>
  <si>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</si>
  <si>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</si>
  <si>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</si>
  <si>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</si>
  <si>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</si>
  <si>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</si>
  <si>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</si>
  <si>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</si>
  <si>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</si>
  <si>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</si>
  <si>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</si>
  <si>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</si>
  <si>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</si>
  <si>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</si>
  <si>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</si>
  <si>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</si>
  <si>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</si>
  <si>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</si>
  <si>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</si>
  <si>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</si>
  <si>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</si>
  <si>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</si>
  <si>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</si>
  <si>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</si>
  <si>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</si>
  <si>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</si>
  <si>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</si>
  <si>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</si>
  <si>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</si>
  <si>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</si>
  <si>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</si>
  <si>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</si>
  <si>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</si>
  <si>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</si>
  <si>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</si>
  <si>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</si>
  <si>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</si>
  <si>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</si>
  <si>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</si>
  <si>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</si>
  <si>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</si>
  <si>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</si>
  <si>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</si>
  <si>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</si>
  <si>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</si>
  <si>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</si>
  <si>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</si>
  <si>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</si>
  <si>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</si>
  <si>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</si>
  <si>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</si>
  <si>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</si>
  <si>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</si>
  <si>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</si>
  <si>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</si>
  <si>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</si>
  <si>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</si>
  <si>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</si>
  <si>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</si>
  <si>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</si>
  <si>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</si>
  <si>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</si>
  <si>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</si>
  <si>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</si>
  <si>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</si>
  <si>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</si>
  <si>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</si>
  <si>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</si>
  <si>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</si>
  <si>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</si>
  <si>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</si>
  <si>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</si>
  <si>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</si>
  <si>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</si>
  <si>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</si>
  <si>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</si>
  <si>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</si>
  <si>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</si>
  <si>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</si>
  <si>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</si>
  <si>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</si>
  <si>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</si>
  <si>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</si>
  <si>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</si>
  <si>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</si>
  <si>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</si>
  <si>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</si>
  <si>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</si>
  <si>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</si>
  <si>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</si>
  <si>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</si>
  <si>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</si>
  <si>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</si>
  <si>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</si>
  <si>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</si>
  <si>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</si>
  <si>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</si>
  <si>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</si>
  <si>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</si>
  <si>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</si>
  <si>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</si>
  <si>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</si>
  <si>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</si>
  <si>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</si>
  <si>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</si>
  <si>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</si>
  <si>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</si>
  <si>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</si>
  <si>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</si>
  <si>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</si>
  <si>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</si>
  <si>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</si>
  <si>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</si>
  <si>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</si>
  <si>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</si>
  <si>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</si>
  <si>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</si>
  <si>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</si>
  <si>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</si>
  <si>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</si>
  <si>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</si>
  <si>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</si>
  <si>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</si>
  <si>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</si>
  <si>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</si>
  <si>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</si>
  <si>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</si>
  <si>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</si>
  <si>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</si>
  <si>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</si>
  <si>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</si>
  <si>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</si>
  <si>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</si>
  <si>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</si>
  <si>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</si>
  <si>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</si>
  <si>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</si>
  <si>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</si>
  <si>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</si>
  <si>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</si>
  <si>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</si>
  <si>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</si>
  <si>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</si>
  <si>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</si>
  <si>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</si>
  <si>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</si>
  <si>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</si>
  <si>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</si>
  <si>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</si>
  <si>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</si>
  <si>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</si>
  <si>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</si>
  <si>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</si>
  <si>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</si>
  <si>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</si>
  <si>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</si>
  <si>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</si>
  <si>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</si>
  <si>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</si>
  <si>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</si>
  <si>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</si>
  <si>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</si>
  <si>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</si>
  <si>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</si>
  <si>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</si>
  <si>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</si>
  <si>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</si>
  <si>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</si>
  <si>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</si>
  <si>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</si>
  <si>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</si>
  <si>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</si>
  <si>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</si>
  <si>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</si>
  <si>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</si>
  <si>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</si>
  <si>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</si>
  <si>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</si>
  <si>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</si>
  <si>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郑燚</t>
  </si>
  <si>
    <t>吴薇</t>
  </si>
  <si>
    <t>抵押</t>
  </si>
  <si>
    <t>房地产抵押价值</t>
  </si>
  <si>
    <t>北京市</t>
  </si>
  <si>
    <t>企业</t>
  </si>
  <si>
    <t>地上</t>
  </si>
  <si>
    <t>是</t>
  </si>
  <si>
    <t>成新度</t>
  </si>
  <si>
    <t>竣工时间</t>
    <phoneticPr fontId="4" type="noConversion"/>
  </si>
  <si>
    <t>直线</t>
    <phoneticPr fontId="4" type="noConversion"/>
  </si>
  <si>
    <t>观察</t>
    <phoneticPr fontId="4" type="noConversion"/>
  </si>
  <si>
    <t>商务金融用地</t>
  </si>
  <si>
    <t>自定义容积率</t>
  </si>
  <si>
    <t>不临65条商业街</t>
  </si>
  <si>
    <t>与级别开发程度不一致</t>
  </si>
  <si>
    <t>通路</t>
  </si>
  <si>
    <t>通电</t>
  </si>
  <si>
    <t>通讯</t>
  </si>
  <si>
    <t>通上水</t>
  </si>
  <si>
    <t>通下水</t>
  </si>
  <si>
    <t>平整</t>
  </si>
  <si>
    <t>未包含在土地购买价格中</t>
  </si>
  <si>
    <t>已包含在土地取得成本中</t>
  </si>
  <si>
    <t>押一</t>
  </si>
  <si>
    <t>钢混</t>
  </si>
  <si>
    <t>非生产用房</t>
  </si>
  <si>
    <t>现房</t>
  </si>
  <si>
    <t>项目局部</t>
  </si>
  <si>
    <t>出让金+开发费</t>
  </si>
  <si>
    <t>企业提供（在右侧录入）</t>
  </si>
  <si>
    <t>情况3</t>
  </si>
  <si>
    <t>正常</t>
  </si>
  <si>
    <t>自行开发建设</t>
  </si>
  <si>
    <t>非个人房产</t>
  </si>
  <si>
    <t>较好</t>
  </si>
  <si>
    <t>好</t>
  </si>
  <si>
    <t>全部缴纳</t>
  </si>
  <si>
    <t>成本法</t>
  </si>
  <si>
    <t>总价</t>
  </si>
  <si>
    <t>成本比率</t>
  </si>
  <si>
    <t>朝阳区东直门外斜街8号院</t>
    <phoneticPr fontId="4" type="noConversion"/>
  </si>
  <si>
    <t>地块名称</t>
  </si>
  <si>
    <t>城市</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</si>
  <si>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</si>
  <si>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</si>
  <si>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</si>
  <si>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</si>
  <si>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</si>
  <si>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</si>
  <si>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</si>
  <si>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</si>
  <si>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</si>
  <si>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</si>
  <si>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</si>
  <si>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</si>
  <si>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</si>
  <si>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</si>
  <si>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</si>
  <si>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</si>
  <si>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</si>
  <si>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</si>
  <si>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</si>
  <si>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</si>
  <si>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</si>
  <si>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</si>
  <si>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</si>
  <si>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楼面价上限(元/㎡)</t>
  </si>
  <si>
    <t>基准地价</t>
  </si>
  <si>
    <t>北京市丰台区地铁九号线花乡站造甲村土地一级开发项目FT00-1516-6031、FT00-1514-6039地块R2二类居住用地</t>
  </si>
  <si>
    <t>京土储挂(丰)[2022]047号</t>
  </si>
  <si>
    <t>住宅用地</t>
  </si>
  <si>
    <t>R2二类居住用地</t>
  </si>
  <si>
    <t>2.40</t>
  </si>
  <si>
    <t>挂牌</t>
  </si>
  <si>
    <t>2022年第3批次</t>
  </si>
  <si>
    <t>2022-09-23</t>
  </si>
  <si>
    <t>已成交</t>
  </si>
  <si>
    <t>北京首都开发股份有限公司</t>
  </si>
  <si>
    <t>2022-09-21 15:00</t>
  </si>
  <si>
    <t/>
  </si>
  <si>
    <t>21280元/㎡(四级住宅用途2021-01-01)</t>
  </si>
  <si>
    <t>北京市朝阳区崔各庄乡奶西村棚户区改造土地开发项目29-318地块R2二类居住用地</t>
  </si>
  <si>
    <t>京土储挂(朝)[2022]024号</t>
  </si>
  <si>
    <t>≤1.4</t>
  </si>
  <si>
    <t>2022年第2批次</t>
  </si>
  <si>
    <t>2022-05-31</t>
  </si>
  <si>
    <t>中建智地置业有限公司</t>
  </si>
  <si>
    <t>2022-05-31 15:00</t>
  </si>
  <si>
    <t>13850元/㎡(六级住宅用途2021-01-01)</t>
  </si>
  <si>
    <t>北京市丰台区右安门街道亚林西土地一级开发0501-644、645、646、647等地块R2二类居住用地、B4综合性商业金融服务业用地、A334托幼用地</t>
  </si>
  <si>
    <t>京土储挂(丰)[2022]029号</t>
  </si>
  <si>
    <t>综合用地(含住宅)</t>
  </si>
  <si>
    <t>R2二类居住用地、B4综合性商业金融服务业用地、A334托幼用地</t>
  </si>
  <si>
    <t>0501-644地块:容积率3.5,0501-645地块:容积率2.8,0501-646地块:容积率0.8,0501-647地块:容积率5,</t>
  </si>
  <si>
    <t>华润置地开发(北京)有限公司</t>
  </si>
  <si>
    <t>25590元/㎡(三级住宅用途2021-01-01)</t>
  </si>
  <si>
    <t>北京市朝阳区十八里店朝阳港一期土地一级开发项目1303-685、694地块R2二类居住用地</t>
  </si>
  <si>
    <t>京土储挂(朝)[2022]022号</t>
  </si>
  <si>
    <t>≤2.5</t>
  </si>
  <si>
    <t>北京金隅地产开发集团有限公司 、北京住总房地产开发有限责任公司</t>
  </si>
  <si>
    <t>北京市朝阳区太阳宫新区D区0210-029地块R2二类居住用地</t>
  </si>
  <si>
    <t>京土储挂(朝)[2022]021号</t>
  </si>
  <si>
    <t>≤2.8</t>
  </si>
  <si>
    <t>2022-06-01</t>
  </si>
  <si>
    <t>中建玖合发展集团有限公司</t>
  </si>
  <si>
    <t>北京市朝阳区崔各庄乡奶西村棚户区改造土地开发项目29-319、320地块R2二类居住用地、A334托幼用地</t>
  </si>
  <si>
    <t>京土储挂(朝)[2022]025号</t>
  </si>
  <si>
    <t>R2二类居住用地、A334托幼用地</t>
  </si>
  <si>
    <t>29-319容积率0.8,29-320容积率2.22</t>
  </si>
  <si>
    <t>北京市丰台区城乡一体化小瓦窑村旧村改造项目XWY-13地块R2二类居住用地</t>
  </si>
  <si>
    <t>京土储挂(丰)[2022]030号</t>
  </si>
  <si>
    <t>北京海赋丰业房地产开发有限公司 、北京首钢房地产开发有限公司</t>
  </si>
  <si>
    <t>北京市丰台区北宫镇东河沿村棚户区改造项目FT00-0202-0011地块R2二类居住用地</t>
  </si>
  <si>
    <t>京土储挂(丰)[2022]028号</t>
  </si>
  <si>
    <t>≤1.7</t>
  </si>
  <si>
    <t>北京龙湖中佰置业有限公司 、北京建工地产有限责任公司</t>
  </si>
  <si>
    <t>10740元/㎡(七级住宅用途2021-01-01)</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</si>
  <si>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</si>
  <si>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</si>
  <si>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</si>
  <si>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30-l03-01 地块容积率2.5,30-l03-03地块容积率1.2,30-l03-04地块容积率0.8,30-l03-05地块容积率0.7</t>
  </si>
  <si>
    <t>2022年第1批次</t>
  </si>
  <si>
    <t>2022-02-17</t>
  </si>
  <si>
    <t>长春创诚房地产开发有限公司</t>
  </si>
  <si>
    <t>2022-02-15 15:00</t>
  </si>
  <si>
    <t>17300元/㎡(五级住宅用途2021-01-01)</t>
  </si>
  <si>
    <t>北京市丰台区卢沟桥街道大井新村三期土地一级开发2502-0030、2505-0031地块F81绿隔产业用地、R2二类居住用地(配建“保障性租赁住房”)</t>
  </si>
  <si>
    <t>京土储挂(丰)[2022]003号</t>
  </si>
  <si>
    <t>R2二类居住用地、F81绿隔产业用地</t>
  </si>
  <si>
    <t>2505-0031地块容积率2.5,2502-0030地块容积率2.6</t>
  </si>
  <si>
    <t>2022-02-16</t>
  </si>
  <si>
    <t>北京城建兴华地产有限公司</t>
  </si>
  <si>
    <t>北京市丰台区玉泉营街道纪家庙村JJM-007地块R2二类居住用地、JJM-012地块A33基础教育用地</t>
  </si>
  <si>
    <t>京土储挂(丰)[2022]004号</t>
  </si>
  <si>
    <t>R2二类居住用地、A33基础教育用地</t>
  </si>
  <si>
    <t>jjm-007地块容积率2.8,jjm-012地块容积率0.8</t>
  </si>
  <si>
    <t>北京市朝阳区王四营乡土地一级开发项目一期1304-L04地块R2二类居住用地</t>
  </si>
  <si>
    <t>京土储挂(朝)[2022]002号</t>
  </si>
  <si>
    <t>2.50</t>
  </si>
  <si>
    <t>北京金地兴业房地产有限公司 、保利(北京)房地产开发有限公司</t>
  </si>
  <si>
    <t>北京市朝阳区劲松街道0408-646地块F2公建混合住宅用地</t>
  </si>
  <si>
    <t>京土整储挂(朝)[2021]093号</t>
  </si>
  <si>
    <t>F2公建混合住宅用地</t>
  </si>
  <si>
    <t>3.20</t>
  </si>
  <si>
    <t>2021年第3批次</t>
  </si>
  <si>
    <t>2021-12-24</t>
  </si>
  <si>
    <t>中国葛洲坝集团房地产开发有限公司</t>
  </si>
  <si>
    <t>2021-12-23 15:00</t>
  </si>
  <si>
    <t>北京市朝阳区东坝车辆基地综合利用项目1101-A002-1,1101-A003-1地块R2二类居住用地(配建“保障性租赁住房”)</t>
  </si>
  <si>
    <t>京土整储挂(朝)[2021]090号</t>
  </si>
  <si>
    <t>2.30</t>
  </si>
  <si>
    <t>北京市基础设施投资有限公司 、北京京投置地房地产有限公司</t>
  </si>
  <si>
    <t>北京市朝阳区东坝车辆基地综合利用项目1101-A002-3地块R2二类居住用地</t>
  </si>
  <si>
    <t>京土整储挂(朝)[2021]092号</t>
  </si>
  <si>
    <t>1.80</t>
  </si>
  <si>
    <t>北京市朝阳区管庄乡棚户区改造和环境整治项目(一期)GZGJC-03地块R2二类居住用地</t>
  </si>
  <si>
    <t>京土整储挂(朝)[2021]095号</t>
  </si>
  <si>
    <t>2.20</t>
  </si>
  <si>
    <t>京能置业股份有限公司 、北京龙湖中佰置业有限公司</t>
  </si>
  <si>
    <t>北京市朝阳区东坝车辆基地综合利用项目1101-A002-2、1101-A003-2地块R2二类居住用地</t>
  </si>
  <si>
    <t>京土整储挂(朝)[2021]091号</t>
  </si>
  <si>
    <t>1.47</t>
  </si>
  <si>
    <t>北京市海淀区西北旺镇HD00-0403街区永丰产业基地(新)F1地块HD00-0403-0003地块R2二类居住用地</t>
  </si>
  <si>
    <t>京土整储挂(海)[2021]047号</t>
  </si>
  <si>
    <t>二类居住用地(R2)</t>
  </si>
  <si>
    <t>1.50</t>
  </si>
  <si>
    <t>2021年第2批次</t>
  </si>
  <si>
    <t>2021-10-13</t>
  </si>
  <si>
    <t>华润置地开发(北京)有限公司 、北京首都开发股份有限公司</t>
  </si>
  <si>
    <t>2021-10-11 15:00</t>
  </si>
  <si>
    <t>北京市丰台区城乡一体化周庄子村旧村改造项目二期ZZZ-06等地块R2二类居住用地、A33基础教育用地、F81绿隔产业用地(配建“共有产权住房”)</t>
  </si>
  <si>
    <t>京土整储挂(丰)[2021]049号</t>
  </si>
  <si>
    <t>二类居住用地、教育用地、绿隔产业用地</t>
  </si>
  <si>
    <t>2.81</t>
  </si>
  <si>
    <t>北京懋源置业有限公司 、北京懋源鸿业房地产开发有限公司</t>
  </si>
  <si>
    <t>北京市朝阳区十八里店朝阳港一期土地一级开发项目1303-693地块R2二类居住用地</t>
  </si>
  <si>
    <t>京土整储挂(朝)[2021]034号</t>
  </si>
  <si>
    <t>2021-10-12</t>
  </si>
  <si>
    <t>北京金隅地产开发集团有限公司 、北京昆泰控股集团有限公司</t>
  </si>
  <si>
    <t>北京市丰台区卢沟桥乡万泉寺村A地块一级开发项目0616-0660、0661、L05、WQS-02地块R2二类居住用地、A33基础教育用地、B4综合性商业金融服务业用地(配建“保障性租赁住房”)</t>
  </si>
  <si>
    <t>京土整储挂(丰)[2021]048号</t>
  </si>
  <si>
    <t>二类居住用地、基础教育用地、综合性商业金融服务业用地</t>
  </si>
  <si>
    <t>2.33</t>
  </si>
  <si>
    <t>北京首都开发股份有限公司 、北京建工地产有限责任公司</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</si>
  <si>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</si>
  <si>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</si>
  <si>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</si>
  <si>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</si>
  <si>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</si>
  <si>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</si>
  <si>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</si>
  <si>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</si>
  <si>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</si>
  <si>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</si>
  <si>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</si>
  <si>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</si>
  <si>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北京市朝阳区崔各庄乡黑桥村、南皋村棚户区改造项目30-L06地块F1住宅混合公建用地</t>
  </si>
  <si>
    <t>京土整储挂(朝)[2021]009号</t>
  </si>
  <si>
    <t>F1住宅混合公建用地</t>
  </si>
  <si>
    <t>≤3.0</t>
  </si>
  <si>
    <t>2021年第1批次</t>
  </si>
  <si>
    <t>2021-05-27</t>
  </si>
  <si>
    <t>北京兆悦房地产开发有限公司</t>
  </si>
  <si>
    <t>2021-05-07 15:00</t>
  </si>
  <si>
    <t>北京市海淀区海淀镇树村棚户区改造B-1北地块R2二类居住用地</t>
  </si>
  <si>
    <t>京土整储挂(海)[2021]013号</t>
  </si>
  <si>
    <t>≤1.6</t>
  </si>
  <si>
    <t>2021-05-26</t>
  </si>
  <si>
    <t>北京陕创企诚置业有限公司</t>
  </si>
  <si>
    <t>北京市朝阳区豆各庄乡孙家坡村1306-638地块F1住宅混合公建用地</t>
  </si>
  <si>
    <t>京土整储挂(朝)[2021]011号</t>
  </si>
  <si>
    <t>北京宁诚置业有限公司</t>
  </si>
  <si>
    <t>北京市朝阳区王四营乡土地一级开发项目一期1304-L01地块R2二类居住用地</t>
  </si>
  <si>
    <t>京土整储挂(朝)[2021]004号</t>
  </si>
  <si>
    <t>r2≤2.5</t>
  </si>
  <si>
    <t>2021-05-24</t>
  </si>
  <si>
    <t>保利(北京)房地产开发有限公司 、北京润置商业运营管理有限公司 、北京金泰慧业科技有限公司</t>
  </si>
  <si>
    <t>北京市朝阳区崔各庄乡黑桥村、南皋村棚户区改造项目30-L01-01地块R2二类居住用地(配建“公共租赁住房”)</t>
  </si>
  <si>
    <t>京土整储挂(朝)[2021]007号</t>
  </si>
  <si>
    <t>2021-05-10</t>
  </si>
  <si>
    <t>北京润置商业运营管理有限公司 、保利(北京)房地产开发有限公司 、北京金泰辉华科技有限公司</t>
  </si>
  <si>
    <t>北京市丰台区长辛店镇张郭庄村A区FT00-0203-6145、FT00-0203-6159地块R2二类居住用地</t>
  </si>
  <si>
    <t>京土整储挂(丰)[2021]014号</t>
  </si>
  <si>
    <t>≤2.3</t>
  </si>
  <si>
    <t>2021-05-11</t>
  </si>
  <si>
    <t>北京首都开发股份有限公司 、北京承华房地产开发有限公司</t>
  </si>
  <si>
    <t>北京市朝阳区王四营乡土地一级开发项目一期1304-L03地块R2二类居住用地</t>
  </si>
  <si>
    <t>京土整储挂(朝)[2021]006号</t>
  </si>
  <si>
    <t>北京城建投资发展股份有限公司 、招商局地产(北京)有限公司 、五矿盛世广业(北京)有限公司</t>
  </si>
  <si>
    <t>北京市朝阳区金盏乡小店村3005-08地块R2二类居住用地</t>
  </si>
  <si>
    <t>京土整储挂(朝)[2021]003号</t>
  </si>
  <si>
    <t>≤1.3</t>
  </si>
  <si>
    <t>北京璞北管理咨询有限公司</t>
  </si>
  <si>
    <t>北京市朝阳区东坝北东南一期土地储备项目1104-612西侧地块R2二类居住用地</t>
  </si>
  <si>
    <t>京土整储挂(朝)[2021]010号</t>
  </si>
  <si>
    <t>2021-05-08</t>
  </si>
  <si>
    <t>中冶置业集团有限公司 、宁波雨航企业管理合伙企业(有限合伙)</t>
  </si>
  <si>
    <t>北京市丰台区长辛店镇张家坟村15-1、21-5地块R2二类居住用地</t>
  </si>
  <si>
    <t>京土整储挂(丰)[2021]015号</t>
  </si>
  <si>
    <t>天津城茂置业有限公司</t>
  </si>
  <si>
    <t>北京市朝阳区崔各庄乡黑桥村、南皋村棚户区改造项目30-L04地块R2二类居住用地(配建“公共租赁住房”)</t>
  </si>
  <si>
    <t>京土整储挂(朝)[2021]008号</t>
  </si>
  <si>
    <t>招商局地产(北京)有限公司 、北京城建投资发展股份有限公司</t>
  </si>
  <si>
    <t>北京市朝阳区王四营乡土地一级开发项目一期1304-L02、L05地块R2二类居住用地、A334托幼用地</t>
  </si>
  <si>
    <t>京土整储挂(朝)[2021]005号</t>
  </si>
  <si>
    <t>r2≤2.5;a334≤0.8</t>
  </si>
  <si>
    <t>北京顺义新城建设开发有限公司</t>
  </si>
  <si>
    <t>北京市海淀区海淀镇树村棚户区改造B-1南地块R2二类居住用地</t>
  </si>
  <si>
    <t>京土整储挂(海)[2021]012号</t>
  </si>
  <si>
    <t>北京融贸亿盛置业有限公司</t>
  </si>
  <si>
    <t>北京市朝阳区金盏乡小店村3005-02地块R2二类居住用地</t>
  </si>
  <si>
    <t>京土整储挂(朝)[2021]002号</t>
  </si>
  <si>
    <t>北京卓华房地产开发有限公司</t>
  </si>
  <si>
    <t>北京市朝阳区东坝北东南一期土地储备项目1104-611地块R2二类居住用地</t>
  </si>
  <si>
    <t>京土整储挂(朝)[2020]043号</t>
  </si>
  <si>
    <t>2020-12-14</t>
  </si>
  <si>
    <t>北京宏远慧业科技有限公司 、北京兴诺咨询服务有限公司 、北京首都开发股份有限公司</t>
  </si>
  <si>
    <t>2020-12-11 15:00</t>
  </si>
  <si>
    <t>北京市丰台区卢沟桥大瓦窑DWY-L33等地块(大瓦窑新村项目一期)二类居住、基础教育及绿隔产业用地</t>
  </si>
  <si>
    <t>京土整储挂(丰)[2020]027号</t>
  </si>
  <si>
    <t>R2二类居住用地、A33基础教育用地、F81绿隔产业用地</t>
  </si>
  <si>
    <t>r2≤2.8,a33≤0.8,f81≤1.4</t>
  </si>
  <si>
    <t>2020-07-22</t>
  </si>
  <si>
    <t>北京远东新地置业有限公司 、北京城建投资发展股份有限公司联合体</t>
  </si>
  <si>
    <t>2020-07-21 15:00</t>
  </si>
  <si>
    <t>北京市丰台区卢沟桥大瓦窑DWY-L39等地块(大瓦窑馨城项目)二类居住、基础教育及绿隔产业用地</t>
  </si>
  <si>
    <t>京土整储挂(丰)[2020]026号</t>
  </si>
  <si>
    <t>r2≤2.8,a33≤0.8,f81≤3</t>
  </si>
  <si>
    <t>首金祺志(天津)投资管理有限公司</t>
  </si>
  <si>
    <t>北京市丰台区南苑乡分钟寺村L-39地块R2二类居住用地</t>
  </si>
  <si>
    <t>京土整储挂(丰)[2020]019号</t>
  </si>
  <si>
    <t>2020-05-19</t>
  </si>
  <si>
    <t>北京合昕辰锐企业管理有限公司</t>
  </si>
  <si>
    <t>2020-05-18 15:00</t>
  </si>
  <si>
    <t>北京市丰台区南苑乡分钟寺村L-41地块R2二类居住用地</t>
  </si>
  <si>
    <t>京土整储挂(丰)[2020]020号</t>
  </si>
  <si>
    <t>北京合盈锐恒房地产开发有限公司</t>
  </si>
  <si>
    <t>北京市朝阳区东坝乡东风村1104-613地块R2二类居住用地、1104-614地块A33基础教育用地</t>
  </si>
  <si>
    <t>京土整储挂(朝)[2020]015号</t>
  </si>
  <si>
    <t>r2≤2.8,a33≤0.8</t>
  </si>
  <si>
    <t>2020-05-15</t>
  </si>
  <si>
    <t>北京盛智房地产有限公司 、北京鑫远嘉业科技有限公司 、北京首都开发股份有限公司联合体</t>
  </si>
  <si>
    <t>2020-05-14 15:00</t>
  </si>
  <si>
    <t>北京市丰台区南苑乡分钟寺村L-24、L-26地块R2二类居住用地</t>
  </si>
  <si>
    <t>京土整储挂(丰)[2020]012号</t>
  </si>
  <si>
    <t>2020-05-09</t>
  </si>
  <si>
    <t>北京合宏达盛企业管理有限公司</t>
  </si>
  <si>
    <t>2020-05-08 15:00</t>
  </si>
  <si>
    <t>北京市朝阳区金盏乡小店村3005-12地块R2二类居住用地、3005-14地块A33基础教育用地、3005-15地块A22文化活动用地、3005-17地块A8社区综合服务设施用地</t>
  </si>
  <si>
    <t>京土整储挂(朝)[2020]003号</t>
  </si>
  <si>
    <t>R2二类居住用地、A33基础教育用地、A22文化活动用地、A8社区综合服务设施用地</t>
  </si>
  <si>
    <t>r2≤1.5,a33≤0.8,a22、a8≤1</t>
  </si>
  <si>
    <t>2020-04-02</t>
  </si>
  <si>
    <t>北京中海地产有限公司 、北京首都开发股份有限公司联合体</t>
  </si>
  <si>
    <t>2020-04-01 15:00</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</si>
  <si>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</si>
  <si>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</si>
  <si>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</si>
  <si>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</si>
  <si>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</si>
  <si>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</si>
  <si>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2020-02-24 15:00</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</si>
  <si>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</si>
  <si>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</si>
  <si>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</si>
  <si>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</si>
  <si>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</si>
  <si>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</si>
  <si>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2020-01-20 15:30</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</si>
  <si>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</si>
  <si>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</si>
  <si>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</si>
  <si>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</si>
  <si>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</si>
  <si>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2020-02-13 15:00</t>
  </si>
  <si>
    <t>北京市海淀区四季青镇中坞重点村资金平衡用地南地块R2二类居住用地</t>
  </si>
  <si>
    <t>京土整储挂(海)[2019]046号</t>
  </si>
  <si>
    <t>≤1.5</t>
  </si>
  <si>
    <t>2020-01-20</t>
  </si>
  <si>
    <t>北京海益嘉和置业有限公司</t>
  </si>
  <si>
    <t>2020-01-17 15:00</t>
  </si>
  <si>
    <t>北京市海淀区宝山村棚户区改造平衡资金地块(二期)项目HD00-1412-0017地块二类城镇住宅用地</t>
  </si>
  <si>
    <t>京土储挂(海)[2025]018号</t>
  </si>
  <si>
    <t>二类城镇住宅用地</t>
  </si>
  <si>
    <t>2.10</t>
  </si>
  <si>
    <t>2025-06-05</t>
  </si>
  <si>
    <t>北京金隅地产开发集团有限公司</t>
  </si>
  <si>
    <t>2025-06-04 17:00</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</si>
  <si>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</si>
  <si>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</si>
  <si>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</si>
  <si>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</si>
  <si>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</si>
  <si>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hd00-2201-0003:1.3,hd00-2201-0004:1.6</t>
  </si>
  <si>
    <t>2025-05-20</t>
  </si>
  <si>
    <t>保利(北京)房地产开发有限公司 、北京建工地产有限责任公司</t>
  </si>
  <si>
    <t>2025-05-19 17:00</t>
  </si>
  <si>
    <t>北京市朝阳区平房乡黄杉木店平房区城中村改造项目2107-01、02、03地块、孙河组团土地储备项目2902-73地块R2二类居住用地、A334托幼用地、B4综合性商业金融服务业用地</t>
  </si>
  <si>
    <t>京土储挂(朝)[2025]011号</t>
  </si>
  <si>
    <t>R2二类居住用地、A334托幼用地、B4综合性商业金融服务业用地</t>
  </si>
  <si>
    <t>r2:2.6,a334:0.9</t>
  </si>
  <si>
    <t>2025-04-28</t>
  </si>
  <si>
    <t>北京兴鼎房地产开发有限公司 、北京方兴亦城置业有限公司 、广州越秀华城房地产开发有限公司</t>
  </si>
  <si>
    <t>2025-04-27 17:00</t>
  </si>
  <si>
    <t>北京市海淀区树村资金平衡用地统筹项目HD00-0705-0035-1地块R2二类居住用地</t>
  </si>
  <si>
    <t>京土储挂(海)[2025]009号</t>
  </si>
  <si>
    <t>1.60</t>
  </si>
  <si>
    <t>2025-03-18</t>
  </si>
  <si>
    <t>北京中海地产有限公司</t>
  </si>
  <si>
    <t>2025-03-17 17:00</t>
  </si>
  <si>
    <t>北京市朝阳区三间房D区棚户区改造土地开发项目1205-0007、三间房乡南区棚户区改造土地开发项目1202-0006、0007地块R2二类居住用地、A334托幼用地</t>
  </si>
  <si>
    <t>京土储挂(朝)[2024]057号</t>
  </si>
  <si>
    <t>r2:2.5,a334:0.8</t>
  </si>
  <si>
    <t>2025-02-11</t>
  </si>
  <si>
    <t>北京方兴亦城置业有限公司 、保利(北京)房地产开发有限公司</t>
  </si>
  <si>
    <t>2025-02-10 17:00</t>
  </si>
  <si>
    <t>北京市丰台区西南郊冷库及周边城中村改造项目FT00-2404-0005地块R2二类居住用地</t>
  </si>
  <si>
    <t>京土储挂(丰)[2024]053号</t>
  </si>
  <si>
    <t>2.52</t>
  </si>
  <si>
    <t>2025-01-16</t>
  </si>
  <si>
    <t>2025-01-15 17:00</t>
  </si>
  <si>
    <t>北京市海淀区东升镇北部片区朱房四街棚户区改造项目二期(剩余用地)HD00-0803-0029地块R2二类居住用地</t>
  </si>
  <si>
    <t>京土储挂(海)[2024]051号</t>
  </si>
  <si>
    <t>2025-01-02</t>
  </si>
  <si>
    <t>华润置地开发(北京)有限公司 、中铁置业集团北京有限公司 、招商局地产(北京)有限公司</t>
  </si>
  <si>
    <t>2024-12-31 17:00</t>
  </si>
  <si>
    <t>京土储挂(海)[2024]052号</t>
  </si>
  <si>
    <t>2.42</t>
  </si>
  <si>
    <t>济南兆瑞房地产开发有限公司</t>
  </si>
  <si>
    <t>北京市丰台区万泉寺村棚户区改造土地开发项目FT00-0613-0024地块R2二类居住用地</t>
  </si>
  <si>
    <t>京土储挂(丰)[2024]048号</t>
  </si>
  <si>
    <t>2.80</t>
  </si>
  <si>
    <t>2024-12-12</t>
  </si>
  <si>
    <t>2024-12-11 17:00</t>
  </si>
  <si>
    <t>北京市丰台区城乡一体化槐房村和新宫村旧村改造项目NY-030(南区)-01地块R2二类居住用地</t>
  </si>
  <si>
    <t>京土储挂(丰)[2024]047号</t>
  </si>
  <si>
    <t>2</t>
  </si>
  <si>
    <t>2024-11-29</t>
  </si>
  <si>
    <t>福州裕诚房地产有限公司</t>
  </si>
  <si>
    <t>2024-11-28 17:00</t>
  </si>
  <si>
    <t>北京市朝阳区酒仙桥旧城区改建项目1019-0014地块、小红门乡剩余土地一级开发项目XHM-10、12地块、十八里店朝阳港一期土地一级开发项目1303-692、683、1301-L01、L02地块</t>
  </si>
  <si>
    <t>京土储挂(朝)[2024]046号</t>
  </si>
  <si>
    <t>R2二类居住用地、 B4综合性商业金融服务业用地、 A334托幼用地</t>
  </si>
  <si>
    <t>r2:2.8,b4:3,a334:0.9</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</si>
  <si>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</si>
  <si>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</si>
  <si>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</si>
  <si>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</si>
  <si>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</si>
  <si>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</si>
  <si>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</si>
  <si>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</si>
  <si>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北京市丰台区东铁营棚户区改造和环境整治项目FT00-0512-0010、FT00-0512-0015地块R2二类居住用地</t>
  </si>
  <si>
    <t>京土储挂(丰)[2024]039号</t>
  </si>
  <si>
    <t>0010:1.87,0015:2.65</t>
  </si>
  <si>
    <t>2024-10-23</t>
  </si>
  <si>
    <t>北京方兴亦城置业有限公司</t>
  </si>
  <si>
    <t>2024-10-22 17:00</t>
  </si>
  <si>
    <t>北京市丰台区中关村科技园丰台园东区三期项目1516-60地块R2二类居住用地</t>
  </si>
  <si>
    <t>京土储挂(丰)[2024]034号</t>
  </si>
  <si>
    <t>2024-10-31</t>
  </si>
  <si>
    <t>北京金隅嘉业房地产开发有限公司</t>
  </si>
  <si>
    <t>2024-10-30 17:00</t>
  </si>
  <si>
    <t>北京市海淀区西北旺镇永丰产业基地(新)H地块HD00-0401-0120、0132、0162地块二类城镇住宅用地、零售商业用地</t>
  </si>
  <si>
    <t>京土储挂(海)[2024]026号</t>
  </si>
  <si>
    <t>二类城镇住宅用地、零售商业用地</t>
  </si>
  <si>
    <t>0120、0162:2.0,0132:1.7</t>
  </si>
  <si>
    <t>2024-07-25</t>
  </si>
  <si>
    <t>保利(北京)房地产开发有限公司 、北京建工地产有限责任公司 、北京保利兴房地产开发有限公司</t>
  </si>
  <si>
    <t>2024-07-25 15:00</t>
  </si>
  <si>
    <t>北京市东城区金鱼池二期西土地一级开发项目DC-0127-0101地块F2公建混合住宅用地</t>
  </si>
  <si>
    <t>京土储挂(东)[2024]021号</t>
  </si>
  <si>
    <t>1.83</t>
  </si>
  <si>
    <t>2024-07-03</t>
  </si>
  <si>
    <t>河北鑫界房地产开发有限责任公司</t>
  </si>
  <si>
    <t>2024-07-02 17:00</t>
  </si>
  <si>
    <t>29690元/㎡(二级住宅用途2021-01-01)</t>
  </si>
  <si>
    <t>北京市朝阳区十八里店朝阳港一期土地一级开发项目1303-686地块R2二类居住用地、1303-687地块A334托幼用地</t>
  </si>
  <si>
    <t>京土储挂(朝)[2024]019号</t>
  </si>
  <si>
    <t>686:2.8,687:0.9</t>
  </si>
  <si>
    <t>2024-06-25</t>
  </si>
  <si>
    <t>2024-06-25 15:00</t>
  </si>
  <si>
    <t>北京市朝阳区酒仙桥旧城区改建项目1019-0005、0006、0007地块、孙河乡前苇沟组团棚户区改造土地开发项目3006-006、008、009、010、011地块、中关村朝阳园北区2905-001</t>
  </si>
  <si>
    <t>京土储挂(朝)[2024]017号</t>
  </si>
  <si>
    <t>R2二类居住用地、F3其他类多功能用地、B1商业用地、 A61机构养老用地、A8社区综合服务设施用地、 A514社区卫生服务中心用地、A334托幼用地</t>
  </si>
  <si>
    <t>0005:0.8、0006:2.5、0007:2.8、006:1.2、008:1.2、009:0.85、010:1.2、011:1、0017:2.5</t>
  </si>
  <si>
    <t>2024-06-13</t>
  </si>
  <si>
    <t>中建智地置业有限公司 、江苏绿建开发置业有限公司 、北京市朝阳城市建设综合开发有限责任公司</t>
  </si>
  <si>
    <t>2024-06-12 15:00</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</si>
  <si>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</si>
  <si>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</si>
  <si>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</si>
  <si>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</si>
  <si>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</si>
  <si>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</si>
  <si>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2024-06-04 15:00</t>
  </si>
  <si>
    <t>北京市海淀区海淀北部中关村翠湖科技园B地块土地一级开发项目HD00-0305-0024地块二类城镇住宅用地</t>
  </si>
  <si>
    <t>京土储挂(海)[2024]003号</t>
  </si>
  <si>
    <t>城镇住宅-普通商品住房用地</t>
  </si>
  <si>
    <t>2024-02-22</t>
  </si>
  <si>
    <t>港中旅成得(宁波)置业有限公司</t>
  </si>
  <si>
    <t>2024-02-18 15:00</t>
  </si>
  <si>
    <t>北京市丰台区羊坊村棚户区改造土地开发项目YF-041地块R2二类居住用地</t>
  </si>
  <si>
    <t>京土储挂(丰)[2023]070号</t>
  </si>
  <si>
    <t>2024-01-04</t>
  </si>
  <si>
    <t>2024-01-03 17:00</t>
  </si>
  <si>
    <t>北京市丰台区卢沟桥街道大瓦窑新村项目二期DWY-L42地块R2二类居住用地</t>
  </si>
  <si>
    <t>京土储挂(丰)[2023]069号</t>
  </si>
  <si>
    <t>中建信和地产有限公司</t>
  </si>
  <si>
    <t>北京市丰台区卢沟桥街道大瓦窑馨城项目二期DWY-L44地块F1住宅混合公建用地</t>
  </si>
  <si>
    <t>京土储挂(丰)[2023]068号</t>
  </si>
  <si>
    <t>住宅 办公</t>
  </si>
  <si>
    <t>3</t>
  </si>
  <si>
    <t>京能置业股份有限公司</t>
  </si>
  <si>
    <t>北京市丰台区大红门街道大红门一期A区棚户区改造项目FT00-0516-0006、FT00-0516-0009地块R2二类居住用地、A334托幼用地</t>
  </si>
  <si>
    <t>京土储挂(丰)[2023]063号</t>
  </si>
  <si>
    <t>二类城镇住宅用地、幼儿园用地</t>
  </si>
  <si>
    <t>0006:2.4,0009:0.8</t>
  </si>
  <si>
    <t>2023-12-26</t>
  </si>
  <si>
    <t>2023-12-25 17:00</t>
  </si>
  <si>
    <t>北京市丰台区地铁九号线郭公庄车辆段项目(三期)1518-621、629、627地块R2二类居住用地、B4综合性商业金融服务业用地、A334托幼用地</t>
  </si>
  <si>
    <t>京土储挂(丰)[2023]054号</t>
  </si>
  <si>
    <t>大于0.9小于2.5</t>
  </si>
  <si>
    <t>2023-10-31</t>
  </si>
  <si>
    <t>上海中建东孚投资发展有限公司</t>
  </si>
  <si>
    <t>2023-10-31 15:00</t>
  </si>
  <si>
    <t>北京市丰台区地铁九号线郭公庄车辆段项目(三期)1518-614、L08地块R2二类居住用地、A61机构养老设施用地</t>
  </si>
  <si>
    <t>京土储挂(丰)[2023]053号</t>
  </si>
  <si>
    <t>R2二类居住用地、A61机构养老设施用地</t>
  </si>
  <si>
    <t>大于2.0小于2.2</t>
  </si>
  <si>
    <t>北京市丰台区北宫镇辛庄村II区棚户区改造土地开发项目A-05-1、A-06、A-06-1地块R2二类居住用地</t>
  </si>
  <si>
    <t>京土储挂(丰)[2023]052号</t>
  </si>
  <si>
    <t>1.10</t>
  </si>
  <si>
    <t>2023-10-24</t>
  </si>
  <si>
    <t>2023-10-24 15:00</t>
  </si>
  <si>
    <t>北京市丰台区南苑棚户区改造一期项目A地块东区R2二类居住用地</t>
  </si>
  <si>
    <t>京土储挂(丰)[2023]050号</t>
  </si>
  <si>
    <t>≤1.71</t>
  </si>
  <si>
    <t>2023-10-18</t>
  </si>
  <si>
    <t>北京虹曦置业有限公司</t>
  </si>
  <si>
    <t>2023-10-12 15:00</t>
  </si>
  <si>
    <t>北京市朝阳区十八里店朝阳港一期土地一级开发项目1303-678地块R2二类居住用地</t>
  </si>
  <si>
    <t>京土储挂(朝)[2023]045号</t>
  </si>
  <si>
    <t>2023-09-27</t>
  </si>
  <si>
    <t>成通京置业(上海)有限公司</t>
  </si>
  <si>
    <t>2023-09-27 15:00</t>
  </si>
  <si>
    <t>北京市朝阳区东坝北西区域棚户区改造项目CY00-1102街区1102-C012地块R2二类居住用地、1102-C009地块A334托幼用地</t>
  </si>
  <si>
    <t>京土储挂(朝)[2023]024号</t>
  </si>
  <si>
    <t>居住2.2、幼托0.9</t>
  </si>
  <si>
    <t>2023-06-20</t>
  </si>
  <si>
    <t>保利(北京)房地产开发有限公司 、北京京投置地房地产有限公司</t>
  </si>
  <si>
    <t>北京市丰台区羊坊村棚户区改造土地开发项目YF-020地块R2二类居住用地</t>
  </si>
  <si>
    <t>京土储挂(丰)[2023]025号</t>
  </si>
  <si>
    <t>招商局地产(北京)有限公司</t>
  </si>
  <si>
    <t>北京市丰台区地铁十九号线新宫车辆段综合利用项目FXG-1401-0601-03等地块R2二类居住用地、A334托幼用地</t>
  </si>
  <si>
    <t>京土储挂(丰)[2023]021号</t>
  </si>
  <si>
    <t>1.04</t>
  </si>
  <si>
    <t>北京市朝阳区东坝北西区域棚户区改造项目CY00-1102街区1102-B006地块R2二类居住用地</t>
  </si>
  <si>
    <t>京土储挂(朝)[2023]023号</t>
  </si>
  <si>
    <t>北京市朝阳区崔各庄乡奶西村棚户区改造土地开发项目29-315-1地块R2二类居住用地、29-317-1地块U22环卫设施用地、29-317-4地块B4综合性商业金融服务用地</t>
  </si>
  <si>
    <t>京土储挂(朝)[2023]*020号</t>
  </si>
  <si>
    <t>29-315-1地块R2二类居住用地、29-317-1地块U22环卫设施用地、29-317-4地块B4综合性商业金融服务用地</t>
  </si>
  <si>
    <t>r2容积率1.4、u22容积率0.25,b4容积率1.61</t>
  </si>
  <si>
    <t>2023-06-16</t>
  </si>
  <si>
    <t>北京世纪鸿城置业有限公司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</si>
  <si>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</si>
  <si>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</si>
  <si>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</si>
  <si>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</si>
  <si>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</si>
  <si>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</si>
  <si>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</si>
  <si>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</si>
  <si>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北京市丰台区青塔街道青塔村棚户区改造项目FT00-0601-0633、FT00-0601-0634地块R2二类居住用地</t>
  </si>
  <si>
    <t>京土储挂(丰)[2023]007号</t>
  </si>
  <si>
    <t>3.07</t>
  </si>
  <si>
    <t>2023-05-06</t>
  </si>
  <si>
    <t>北京建工地产有限责任公司 、北京城乡房屋建设开发有限责任公司</t>
  </si>
  <si>
    <t>北京市朝阳区孙河乡前苇沟组团棚户区改造土地开发项目002、003地块R2二类居住用地</t>
  </si>
  <si>
    <t>京土储挂(朝)[2023]005号</t>
  </si>
  <si>
    <t>2023-04-28</t>
  </si>
  <si>
    <t>2023-05-01 15:00</t>
  </si>
  <si>
    <t>北京市朝阳区小红门乡剩余土地一级开发项目11号地(XHM-15)R2二类居住用地</t>
  </si>
  <si>
    <t>京土储挂(朝)[2022]073号</t>
  </si>
  <si>
    <t>2022年第5批次</t>
  </si>
  <si>
    <t>2023-02-08</t>
  </si>
  <si>
    <t>山东中建房地产开发有限公司</t>
  </si>
  <si>
    <t>2023-02-06 17:00</t>
  </si>
  <si>
    <t>北京市朝阳区平房乡棚户区改造和环境整治项目(一期)PF-45地块R2二类居住用地</t>
  </si>
  <si>
    <t>京土储挂(朝)〔2022〕065号</t>
  </si>
  <si>
    <t>2022年第4批次</t>
  </si>
  <si>
    <t>2022-11-29</t>
  </si>
  <si>
    <t>北京三元嘉业房地产开发有限公司</t>
  </si>
  <si>
    <t>2022-11-28 15:00</t>
  </si>
  <si>
    <t>北京市朝阳区平房乡棚户区改造和环境整治项目(一期)PF-44地块R2二类居住用地</t>
  </si>
  <si>
    <t>京土储挂(朝)〔2022〕064号</t>
  </si>
  <si>
    <t>2022-11-28</t>
  </si>
  <si>
    <t>北京市朝阳区崔各庄乡奶西村棚户区改造土地开发项目29-321地块R2二类居住用地</t>
  </si>
  <si>
    <t>京土储挂(朝)〔2022〕066号</t>
  </si>
  <si>
    <t>2.22</t>
  </si>
  <si>
    <t>北京市丰台区南苑街道城乡一体化槐房村和新宫村旧村改造项目NY-011B地块R2二类居住用地</t>
  </si>
  <si>
    <t>京土储挂(丰)[2022]048号</t>
  </si>
  <si>
    <t>北京兆昌房地产开发有限公司</t>
  </si>
  <si>
    <t>北京市海淀区西北旺镇HD00-0403街区永丰产业基地(新)F2地块HD00-0403-0015、0016地块R2二类居住用地、A33基础教育用地</t>
  </si>
  <si>
    <t>京土储挂(海)[2022]045号</t>
  </si>
  <si>
    <t>hd00-0403-0015容积率2.4、hd00-0403-0015容积率0.8</t>
  </si>
  <si>
    <t>北京市海淀区西北旺镇HD00-0403街区永丰产业基地(新)F2地块HD00-0403-0013地块R2二类居住用地</t>
  </si>
  <si>
    <t>京土储挂(海)[2022]044号</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</si>
  <si>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</si>
  <si>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</si>
  <si>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</si>
  <si>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</si>
  <si>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2.60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</si>
  <si>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</si>
  <si>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</si>
  <si>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</si>
  <si>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</si>
  <si>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</si>
  <si>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北京市海淀区东升镇北部片区朱房四街棚户区改造项目二期(剩余用地)HD00-0803-0030地块R2二类居住用地</t>
    <phoneticPr fontId="135" type="noConversion"/>
  </si>
  <si>
    <t>工商银行、华夏银行；来福士、银座MALL；东直门中学、清华附中朝阳学校；北京中医院大学东直门医院等</t>
    <phoneticPr fontId="41" type="noConversion"/>
  </si>
  <si>
    <t>区域自然环境：亮马河公园、左家庄公园、亮马河；人文环境：使馆区、北京自来水博物馆；综合评价环境状况较好</t>
    <phoneticPr fontId="41" type="noConversion"/>
  </si>
  <si>
    <t>万国城MOMA、梵悦万国府、使馆壹号院等多个，较好</t>
    <phoneticPr fontId="41" type="noConversion"/>
  </si>
  <si>
    <t>2、13、17、机场快线等多个地铁线路；3、359、915、123、515等多条，东直门长途汽车站，较好</t>
    <phoneticPr fontId="41" type="noConversion"/>
  </si>
  <si>
    <t>无</t>
  </si>
  <si>
    <t>指导价</t>
    <phoneticPr fontId="31" type="noConversion"/>
  </si>
  <si>
    <t>七通</t>
  </si>
  <si>
    <t>距市中心位置</t>
  </si>
  <si>
    <t>近</t>
  </si>
  <si>
    <t>较规则</t>
  </si>
  <si>
    <t>较适宜</t>
  </si>
  <si>
    <t>六通</t>
  </si>
  <si>
    <t>无</t>
    <phoneticPr fontId="4" type="noConversion"/>
  </si>
  <si>
    <t>近</t>
    <phoneticPr fontId="4" type="noConversion"/>
  </si>
  <si>
    <t>较近</t>
    <phoneticPr fontId="4" type="noConversion"/>
  </si>
  <si>
    <t>较远</t>
    <phoneticPr fontId="4" type="noConversion"/>
  </si>
  <si>
    <t>远</t>
    <phoneticPr fontId="4" type="noConversion"/>
  </si>
  <si>
    <t>规则</t>
    <phoneticPr fontId="4" type="noConversion"/>
  </si>
  <si>
    <t>较规则</t>
    <phoneticPr fontId="4" type="noConversion"/>
  </si>
  <si>
    <t>一般规则</t>
    <phoneticPr fontId="4" type="noConversion"/>
  </si>
  <si>
    <t>较不规则</t>
    <phoneticPr fontId="4" type="noConversion"/>
  </si>
  <si>
    <t>不规则</t>
    <phoneticPr fontId="4" type="noConversion"/>
  </si>
  <si>
    <t>较适宜</t>
    <phoneticPr fontId="4" type="noConversion"/>
  </si>
  <si>
    <t>五通</t>
  </si>
  <si>
    <t>四通</t>
  </si>
  <si>
    <t>三通</t>
  </si>
  <si>
    <t>一般</t>
  </si>
  <si>
    <t>较差</t>
  </si>
  <si>
    <t>差</t>
  </si>
  <si>
    <t>住宅</t>
    <phoneticPr fontId="31" type="noConversion"/>
  </si>
  <si>
    <t>华润万象树、强佑清河城等多个，较好</t>
    <phoneticPr fontId="31" type="noConversion"/>
  </si>
  <si>
    <t>清河、东升八家郊野公园；北京体育大学、中央财经大学等，较好</t>
    <phoneticPr fontId="31" type="noConversion"/>
  </si>
  <si>
    <t>清河万象汇、清河百货商场；清河中学、北京体育大学；北京清河医院等</t>
    <phoneticPr fontId="31" type="noConversion"/>
  </si>
  <si>
    <t>较远</t>
    <phoneticPr fontId="31" type="noConversion"/>
  </si>
  <si>
    <t>溢价率</t>
    <phoneticPr fontId="31" type="noConversion"/>
  </si>
  <si>
    <t>较不规则</t>
  </si>
  <si>
    <t>西山美庐、双新园等多个，较好</t>
    <phoneticPr fontId="31" type="noConversion"/>
  </si>
  <si>
    <r>
      <t>318</t>
    </r>
    <r>
      <rPr>
        <sz val="11"/>
        <rFont val="宋体"/>
        <family val="3"/>
        <charset val="134"/>
      </rPr>
      <t>、</t>
    </r>
    <r>
      <rPr>
        <sz val="11"/>
        <rFont val="Arial"/>
        <family val="2"/>
      </rPr>
      <t>347</t>
    </r>
    <r>
      <rPr>
        <sz val="11"/>
        <rFont val="宋体"/>
        <family val="3"/>
        <charset val="134"/>
      </rPr>
      <t>、</t>
    </r>
    <r>
      <rPr>
        <sz val="11"/>
        <rFont val="Arial"/>
        <family val="2"/>
      </rPr>
      <t>505</t>
    </r>
    <r>
      <rPr>
        <sz val="11"/>
        <rFont val="宋体"/>
        <family val="3"/>
        <charset val="134"/>
      </rPr>
      <t>等多条</t>
    </r>
    <phoneticPr fontId="31" type="noConversion"/>
  </si>
  <si>
    <t>西山森林公园</t>
    <phoneticPr fontId="31" type="noConversion"/>
  </si>
  <si>
    <t>单套模式</t>
  </si>
  <si>
    <t>报价</t>
  </si>
  <si>
    <t>50-60（含）</t>
  </si>
  <si>
    <t>小高层</t>
  </si>
  <si>
    <t>高档</t>
  </si>
  <si>
    <t>精装修</t>
  </si>
  <si>
    <t>专业</t>
  </si>
  <si>
    <t>平层</t>
  </si>
  <si>
    <t>二手房</t>
  </si>
  <si>
    <t>高层</t>
  </si>
  <si>
    <t>豪装</t>
  </si>
  <si>
    <t>4居2厅</t>
  </si>
  <si>
    <t>新房</t>
  </si>
  <si>
    <t>住宅</t>
    <phoneticPr fontId="25" type="noConversion"/>
  </si>
  <si>
    <r>
      <t>40-50</t>
    </r>
    <r>
      <rPr>
        <sz val="11"/>
        <color indexed="8"/>
        <rFont val="宋体"/>
        <family val="3"/>
        <charset val="134"/>
      </rPr>
      <t>（含）</t>
    </r>
    <phoneticPr fontId="4" type="noConversion"/>
  </si>
  <si>
    <t>楼层</t>
    <phoneticPr fontId="4" type="noConversion"/>
  </si>
  <si>
    <t>中区</t>
    <phoneticPr fontId="4" type="noConversion"/>
  </si>
  <si>
    <t>户型</t>
    <phoneticPr fontId="4" type="noConversion"/>
  </si>
  <si>
    <t>类型</t>
    <phoneticPr fontId="4" type="noConversion"/>
  </si>
  <si>
    <t>报价</t>
    <phoneticPr fontId="4" type="noConversion"/>
  </si>
  <si>
    <r>
      <t>66-70</t>
    </r>
    <r>
      <rPr>
        <sz val="11"/>
        <rFont val="宋体"/>
        <family val="3"/>
        <charset val="134"/>
      </rPr>
      <t>（含）</t>
    </r>
    <phoneticPr fontId="25" type="noConversion"/>
  </si>
  <si>
    <t>低区</t>
    <phoneticPr fontId="4" type="noConversion"/>
  </si>
  <si>
    <t>高区</t>
    <phoneticPr fontId="4" type="noConversion"/>
  </si>
  <si>
    <t>小高层</t>
    <phoneticPr fontId="4" type="noConversion"/>
  </si>
  <si>
    <t>高层</t>
    <phoneticPr fontId="4" type="noConversion"/>
  </si>
  <si>
    <t>钢混</t>
    <phoneticPr fontId="4" type="noConversion"/>
  </si>
  <si>
    <t>高档</t>
    <phoneticPr fontId="4" type="noConversion"/>
  </si>
  <si>
    <t>精装修</t>
    <phoneticPr fontId="4" type="noConversion"/>
  </si>
  <si>
    <t>普通装修</t>
    <phoneticPr fontId="4" type="noConversion"/>
  </si>
  <si>
    <t>简单装修</t>
    <phoneticPr fontId="4" type="noConversion"/>
  </si>
  <si>
    <t>毛坯</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</si>
  <si>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</si>
  <si>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</si>
  <si>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</si>
  <si>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</si>
  <si>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</si>
  <si>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</si>
  <si>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平层</t>
    <phoneticPr fontId="4" type="noConversion"/>
  </si>
  <si>
    <t>豪装</t>
    <phoneticPr fontId="4" type="noConversion"/>
  </si>
  <si>
    <r>
      <t>2</t>
    </r>
    <r>
      <rPr>
        <sz val="10"/>
        <color indexed="8"/>
        <rFont val="宋体"/>
        <family val="3"/>
        <charset val="134"/>
      </rPr>
      <t>居</t>
    </r>
    <r>
      <rPr>
        <sz val="10"/>
        <color indexed="8"/>
        <rFont val="Arial"/>
        <family val="2"/>
      </rPr>
      <t>2</t>
    </r>
    <r>
      <rPr>
        <sz val="10"/>
        <color indexed="8"/>
        <rFont val="宋体"/>
        <family val="3"/>
        <charset val="134"/>
      </rPr>
      <t>厅</t>
    </r>
    <phoneticPr fontId="4" type="noConversion"/>
  </si>
  <si>
    <r>
      <t>3</t>
    </r>
    <r>
      <rPr>
        <sz val="10"/>
        <color indexed="8"/>
        <rFont val="宋体"/>
        <family val="3"/>
        <charset val="134"/>
      </rPr>
      <t>居</t>
    </r>
    <r>
      <rPr>
        <sz val="10"/>
        <color indexed="8"/>
        <rFont val="Arial"/>
        <family val="2"/>
      </rPr>
      <t>2</t>
    </r>
    <r>
      <rPr>
        <sz val="10"/>
        <color indexed="8"/>
        <rFont val="宋体"/>
        <family val="3"/>
        <charset val="134"/>
      </rPr>
      <t>厅</t>
    </r>
    <phoneticPr fontId="4" type="noConversion"/>
  </si>
  <si>
    <r>
      <t>4</t>
    </r>
    <r>
      <rPr>
        <sz val="10"/>
        <color indexed="8"/>
        <rFont val="宋体"/>
        <family val="3"/>
        <charset val="134"/>
      </rPr>
      <t>居</t>
    </r>
    <r>
      <rPr>
        <sz val="10"/>
        <color indexed="8"/>
        <rFont val="Arial"/>
        <family val="2"/>
      </rPr>
      <t>2</t>
    </r>
    <r>
      <rPr>
        <sz val="10"/>
        <color indexed="8"/>
        <rFont val="宋体"/>
        <family val="3"/>
        <charset val="134"/>
      </rPr>
      <t>厅</t>
    </r>
    <phoneticPr fontId="4" type="noConversion"/>
  </si>
  <si>
    <t>新房</t>
    <phoneticPr fontId="4" type="noConversion"/>
  </si>
  <si>
    <t>二手房</t>
    <phoneticPr fontId="4" type="noConversion"/>
  </si>
  <si>
    <t>低区</t>
    <phoneticPr fontId="25" type="noConversion"/>
  </si>
  <si>
    <t>使馆壹号院</t>
    <phoneticPr fontId="4" type="noConversion"/>
  </si>
  <si>
    <t>北京壹号院</t>
    <phoneticPr fontId="4" type="noConversion"/>
  </si>
  <si>
    <r>
      <t>3</t>
    </r>
    <r>
      <rPr>
        <sz val="11"/>
        <color indexed="8"/>
        <rFont val="宋体"/>
        <family val="3"/>
        <charset val="134"/>
      </rPr>
      <t>居</t>
    </r>
    <r>
      <rPr>
        <sz val="11"/>
        <color indexed="8"/>
        <rFont val="Arial"/>
        <family val="2"/>
      </rPr>
      <t>2</t>
    </r>
    <r>
      <rPr>
        <sz val="11"/>
        <color indexed="8"/>
        <rFont val="宋体"/>
        <family val="3"/>
        <charset val="134"/>
      </rPr>
      <t>厅</t>
    </r>
    <phoneticPr fontId="25" type="noConversion"/>
  </si>
  <si>
    <t>中信城</t>
    <phoneticPr fontId="4" type="noConversion"/>
  </si>
  <si>
    <t>售价</t>
  </si>
  <si>
    <t>比较法-住宅</t>
  </si>
  <si>
    <t>成本法 (元)</t>
  </si>
  <si>
    <t>序号</t>
  </si>
  <si>
    <t>不动产权证证号</t>
    <phoneticPr fontId="4" type="noConversion"/>
  </si>
  <si>
    <t>单元</t>
  </si>
  <si>
    <t>房间号</t>
  </si>
  <si>
    <t>建筑面积（㎡）</t>
  </si>
  <si>
    <t>规划用途</t>
    <phoneticPr fontId="4" type="noConversion"/>
  </si>
  <si>
    <t>如有更新请修改</t>
  </si>
  <si>
    <r>
      <rPr>
        <sz val="10"/>
        <color indexed="8"/>
        <rFont val="宋体"/>
        <family val="3"/>
        <charset val="134"/>
      </rPr>
      <t>京（</t>
    </r>
    <r>
      <rPr>
        <sz val="10"/>
        <color indexed="8"/>
        <rFont val="Times New Roman"/>
        <family val="1"/>
      </rPr>
      <t>2024</t>
    </r>
    <r>
      <rPr>
        <sz val="10"/>
        <color indexed="8"/>
        <rFont val="宋体"/>
        <family val="3"/>
        <charset val="134"/>
      </rPr>
      <t>）朝不动产权第</t>
    </r>
    <r>
      <rPr>
        <sz val="10"/>
        <color indexed="8"/>
        <rFont val="Times New Roman"/>
        <family val="1"/>
      </rPr>
      <t>0058934</t>
    </r>
    <r>
      <rPr>
        <sz val="10"/>
        <color indexed="8"/>
        <rFont val="宋体"/>
        <family val="3"/>
        <charset val="134"/>
      </rPr>
      <t>号</t>
    </r>
    <phoneticPr fontId="4" type="noConversion"/>
  </si>
  <si>
    <t>合计</t>
  </si>
  <si>
    <t>2室2厅2卫</t>
    <phoneticPr fontId="135" type="noConversion"/>
  </si>
  <si>
    <t>4室2厅4卫</t>
    <phoneticPr fontId="135" type="noConversion"/>
  </si>
  <si>
    <t>3室2厅3卫</t>
    <phoneticPr fontId="135" type="noConversion"/>
  </si>
  <si>
    <r>
      <t>5</t>
    </r>
    <r>
      <rPr>
        <sz val="10"/>
        <color indexed="8"/>
        <rFont val="宋体"/>
        <family val="3"/>
        <charset val="134"/>
      </rPr>
      <t>居</t>
    </r>
    <r>
      <rPr>
        <sz val="10"/>
        <color indexed="8"/>
        <rFont val="Arial"/>
        <family val="2"/>
      </rPr>
      <t>2</t>
    </r>
    <r>
      <rPr>
        <sz val="10"/>
        <color indexed="8"/>
        <rFont val="宋体"/>
        <family val="3"/>
        <charset val="134"/>
      </rPr>
      <t>厅</t>
    </r>
    <phoneticPr fontId="4" type="noConversion"/>
  </si>
  <si>
    <r>
      <t>6</t>
    </r>
    <r>
      <rPr>
        <sz val="10"/>
        <color indexed="8"/>
        <rFont val="宋体"/>
        <family val="3"/>
        <charset val="134"/>
      </rPr>
      <t>居</t>
    </r>
    <r>
      <rPr>
        <sz val="10"/>
        <color indexed="8"/>
        <rFont val="Arial"/>
        <family val="2"/>
      </rPr>
      <t>2</t>
    </r>
    <r>
      <rPr>
        <sz val="10"/>
        <color indexed="8"/>
        <rFont val="宋体"/>
        <family val="3"/>
        <charset val="134"/>
      </rPr>
      <t>厅</t>
    </r>
    <phoneticPr fontId="4" type="noConversion"/>
  </si>
  <si>
    <t>高区</t>
  </si>
  <si>
    <t>低区</t>
  </si>
  <si>
    <t>中区</t>
  </si>
  <si>
    <t>A</t>
    <phoneticPr fontId="135" type="noConversion"/>
  </si>
  <si>
    <t>B</t>
    <phoneticPr fontId="135" type="noConversion"/>
  </si>
  <si>
    <t>C</t>
    <phoneticPr fontId="135" type="noConversion"/>
  </si>
  <si>
    <t>D</t>
    <phoneticPr fontId="135" type="noConversion"/>
  </si>
  <si>
    <t>E</t>
    <phoneticPr fontId="135" type="noConversion"/>
  </si>
  <si>
    <t>F</t>
    <phoneticPr fontId="135" type="noConversion"/>
  </si>
  <si>
    <t>G</t>
    <phoneticPr fontId="135" type="noConversion"/>
  </si>
  <si>
    <t>5室3厅4卫</t>
    <phoneticPr fontId="135" type="noConversion"/>
  </si>
  <si>
    <t>4室3厅4卫</t>
    <phoneticPr fontId="135" type="noConversion"/>
  </si>
  <si>
    <t>户型</t>
    <phoneticPr fontId="135" type="noConversion"/>
  </si>
  <si>
    <t>2室2厅2卫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</si>
</sst>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0"/>
      <color rgb="FF000000"/>
      <name val="仿宋"/>
      <family val="3"/>
      <charset val="134"/>
    </font>
    <font>
      <sz val="10"/>
      <color rgb="FF000000"/>
      <name val="Times New Roman"/>
      <family val="1"/>
    </font>
    <font>
      <sz val="10"/>
      <color indexed="8"/>
      <name val="Times New Roman"/>
      <family val="1"/>
    </font>
    <font>
      <sz val="10"/>
      <color rgb="FF000000"/>
      <name val="仿宋"/>
      <family val="3"/>
      <charset val="134"/>
    </font>
    <font>
      <sz val="10"/>
      <name val="Times New Roman"/>
      <family val="1"/>
    </font>
    <font>
      <sz val="10"/>
      <name val="仿宋"/>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64"/>
      </right>
      <top style="thin">
        <color indexed="64"/>
      </top>
      <bottom style="thin">
        <color indexed="8"/>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9" fontId="96" fillId="0" borderId="0" applyFont="0" applyFill="0" applyBorder="0" applyAlignment="0" applyProtection="0">
      <alignment vertical="center"/>
    </xf>
  </cellStyleXfs>
  <cellXfs count="355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horizontal="left" vertical="center" wrapText="1"/>
      <protection locked="0"/>
    </xf>
    <xf numFmtId="176" fontId="48" fillId="16" borderId="1" xfId="0" applyNumberFormat="1" applyFont="1" applyFill="1" applyBorder="1" applyAlignment="1" applyProtection="1">
      <alignment vertical="center" wrapText="1"/>
      <protection locked="0"/>
    </xf>
    <xf numFmtId="183" fontId="48" fillId="0" borderId="1" xfId="10" applyNumberFormat="1" applyFont="1" applyBorder="1" applyAlignment="1" applyProtection="1">
      <alignment horizontal="center" vertical="center" shrinkToFit="1"/>
      <protection locked="0"/>
    </xf>
    <xf numFmtId="0" fontId="48" fillId="5" borderId="1" xfId="10" applyFont="1" applyFill="1" applyBorder="1" applyAlignment="1" applyProtection="1">
      <alignment horizontal="center" vertical="center" wrapText="1"/>
      <protection locked="0"/>
    </xf>
    <xf numFmtId="0" fontId="48" fillId="5" borderId="78" xfId="10" applyFont="1" applyFill="1" applyBorder="1" applyAlignment="1" applyProtection="1">
      <alignment horizontal="center" vertical="center" wrapText="1"/>
      <protection locked="0"/>
    </xf>
    <xf numFmtId="181" fontId="45" fillId="0" borderId="1" xfId="10" applyNumberFormat="1" applyFont="1" applyBorder="1" applyAlignment="1" applyProtection="1">
      <alignment horizontal="center" vertical="center"/>
      <protection locked="0"/>
    </xf>
    <xf numFmtId="181" fontId="100" fillId="0" borderId="1" xfId="10" applyNumberFormat="1" applyFont="1" applyBorder="1" applyAlignment="1" applyProtection="1">
      <alignment horizontal="center" vertical="center"/>
      <protection locked="0"/>
    </xf>
    <xf numFmtId="0" fontId="0" fillId="5" borderId="0" xfId="0" applyFill="1" applyAlignment="1"/>
    <xf numFmtId="0" fontId="96" fillId="5" borderId="0" xfId="0" applyFont="1" applyFill="1" applyAlignment="1"/>
    <xf numFmtId="49" fontId="223" fillId="0" borderId="10"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129" fillId="0" borderId="33"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49" fontId="95" fillId="0" borderId="39" xfId="0" applyNumberFormat="1" applyFont="1" applyBorder="1" applyAlignment="1" applyProtection="1">
      <alignment horizontal="center" vertical="center" wrapText="1"/>
      <protection locked="0"/>
    </xf>
    <xf numFmtId="49" fontId="95" fillId="0" borderId="35" xfId="0" applyNumberFormat="1" applyFont="1" applyBorder="1" applyAlignment="1" applyProtection="1">
      <alignment horizontal="center" vertical="center" wrapText="1"/>
      <protection locked="0"/>
    </xf>
    <xf numFmtId="0" fontId="95" fillId="0" borderId="3" xfId="0" applyFont="1" applyBorder="1" applyAlignment="1" applyProtection="1">
      <alignment horizontal="center" vertical="center" wrapText="1"/>
      <protection locked="0"/>
    </xf>
    <xf numFmtId="0" fontId="129" fillId="0" borderId="46" xfId="0" applyFont="1" applyBorder="1" applyAlignment="1" applyProtection="1">
      <alignment horizontal="center" vertical="center" wrapText="1"/>
      <protection locked="0"/>
    </xf>
    <xf numFmtId="49" fontId="95" fillId="0" borderId="40" xfId="0" applyNumberFormat="1" applyFont="1" applyBorder="1" applyAlignment="1" applyProtection="1">
      <alignment horizontal="center" vertical="center" wrapText="1"/>
      <protection locked="0"/>
    </xf>
    <xf numFmtId="49" fontId="95" fillId="0" borderId="14" xfId="0" applyNumberFormat="1"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49" fontId="129" fillId="0" borderId="41"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176" fontId="52" fillId="0" borderId="44" xfId="0" applyNumberFormat="1" applyFont="1" applyBorder="1" applyAlignment="1" applyProtection="1">
      <alignment horizontal="center" vertical="center" wrapText="1"/>
      <protection locked="0"/>
    </xf>
    <xf numFmtId="0" fontId="272" fillId="0" borderId="1" xfId="0" applyFont="1" applyBorder="1" applyAlignment="1">
      <alignment horizontal="left" vertical="center"/>
    </xf>
    <xf numFmtId="0" fontId="272" fillId="0" borderId="1" xfId="0" applyFont="1" applyBorder="1" applyAlignment="1">
      <alignment horizontal="center" vertical="center" wrapText="1"/>
    </xf>
    <xf numFmtId="0" fontId="273" fillId="0" borderId="1" xfId="0" applyFont="1" applyBorder="1" applyAlignment="1">
      <alignment horizontal="left" vertical="center"/>
    </xf>
    <xf numFmtId="0" fontId="273" fillId="5" borderId="1" xfId="0" applyFont="1" applyFill="1" applyBorder="1" applyAlignment="1">
      <alignment horizontal="left" vertical="center"/>
    </xf>
    <xf numFmtId="0" fontId="275" fillId="0" borderId="1" xfId="0" applyFont="1" applyBorder="1" applyAlignment="1">
      <alignment horizontal="justify" vertical="center" wrapText="1"/>
    </xf>
    <xf numFmtId="0" fontId="273" fillId="0" borderId="1" xfId="0" applyFont="1" applyBorder="1" applyAlignment="1">
      <alignment horizontal="justify" vertical="center"/>
    </xf>
    <xf numFmtId="0" fontId="276" fillId="0" borderId="1" xfId="0" applyFont="1" applyBorder="1" applyAlignment="1">
      <alignment horizontal="justify" vertical="center"/>
    </xf>
    <xf numFmtId="0" fontId="277" fillId="0" borderId="1" xfId="0" applyFont="1" applyBorder="1" applyAlignment="1">
      <alignment horizontal="justify" vertical="center" wrapText="1"/>
    </xf>
    <xf numFmtId="0" fontId="276" fillId="9" borderId="1" xfId="0" applyFont="1" applyFill="1" applyBorder="1" applyAlignment="1">
      <alignment horizontal="justify" vertical="center"/>
    </xf>
    <xf numFmtId="2" fontId="273" fillId="0" borderId="176" xfId="0" applyNumberFormat="1" applyFont="1" applyBorder="1" applyAlignment="1">
      <alignment horizontal="justify" vertical="center"/>
    </xf>
    <xf numFmtId="0" fontId="273" fillId="0" borderId="176" xfId="0" applyFont="1" applyBorder="1" applyAlignment="1">
      <alignment horizontal="justify" vertical="center" wrapText="1"/>
    </xf>
    <xf numFmtId="0" fontId="61" fillId="0" borderId="1" xfId="0" applyFont="1" applyBorder="1" applyAlignment="1" applyProtection="1">
      <alignment horizontal="left" vertical="center"/>
      <protection locked="0"/>
    </xf>
    <xf numFmtId="0" fontId="223" fillId="0" borderId="108" xfId="0" applyFont="1" applyBorder="1" applyAlignment="1" applyProtection="1">
      <alignment horizontal="center" vertical="center" wrapText="1"/>
      <protection locked="0"/>
    </xf>
    <xf numFmtId="0" fontId="273" fillId="5" borderId="1" xfId="0" applyFont="1" applyFill="1" applyBorder="1" applyAlignment="1">
      <alignment horizontal="justify" vertical="center"/>
    </xf>
    <xf numFmtId="0" fontId="272" fillId="5" borderId="1" xfId="0" applyFont="1" applyFill="1" applyBorder="1" applyAlignment="1">
      <alignment horizontal="left" vertical="center"/>
    </xf>
    <xf numFmtId="0" fontId="275" fillId="5" borderId="1" xfId="0" applyFont="1" applyFill="1" applyBorder="1" applyAlignment="1">
      <alignment horizontal="justify" vertical="center" wrapText="1"/>
    </xf>
    <xf numFmtId="0" fontId="275" fillId="0" borderId="1" xfId="0" applyFont="1" applyBorder="1" applyAlignment="1">
      <alignment horizontal="left" vertical="center" wrapText="1"/>
    </xf>
    <xf numFmtId="0" fontId="96" fillId="0" borderId="1" xfId="0" applyFont="1" applyBorder="1">
      <alignment vertical="center"/>
    </xf>
    <xf numFmtId="0" fontId="0" fillId="0" borderId="1" xfId="0" applyBorder="1" applyAlignment="1">
      <alignment horizontal="left" vertical="center"/>
    </xf>
    <xf numFmtId="0" fontId="0" fillId="0" borderId="1" xfId="0" applyBorder="1">
      <alignment vertical="center"/>
    </xf>
    <xf numFmtId="0" fontId="273" fillId="9" borderId="1" xfId="0" applyFont="1" applyFill="1" applyBorder="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275" fillId="0" borderId="176" xfId="0" applyFont="1" applyBorder="1" applyAlignment="1">
      <alignment horizontal="justify" vertical="center"/>
    </xf>
    <xf numFmtId="0" fontId="273" fillId="0" borderId="176" xfId="0" applyFont="1" applyBorder="1" applyAlignment="1">
      <alignment horizontal="justify"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2">
    <cellStyle name="百分比" xfId="17" builtinId="5"/>
    <cellStyle name="百分比 2" xfId="14" xr:uid="{00000000-0005-0000-0000-000001000000}"/>
    <cellStyle name="百分比 3" xfId="21" xr:uid="{74FCF85B-D32A-485C-9E78-0C3E2D818577}"/>
    <cellStyle name="百分比 4" xfId="20" xr:uid="{ECF6E701-4D94-4F6C-A6F4-1EEBE8AF2C51}"/>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77A4C036-F9EC-411A-B9DD-0E5E8BECEC9C}"/>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H:\&#21608;&#24420;\&#25253;&#21578;\2025&#24180;\2025-1-0488-&#19996;&#30452;&#38376;&#20843;&#21495;2025\2024-1-0891%20%20&#19996;&#30452;&#38376;8&#21495;\P01\&#26368;&#32456;\&#27979;&#31639;&#34920;-&#19996;&#30452;&#38376;8&#21495;-&#36213;&#38639;20241024-091616-&#37026;&#36722;20241024-150420.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5&#24180;\2025-1-0317-&#20016;&#32852;&#24191;&#22330;&#21150;&#20844;&#21450;&#22320;&#19979;&#21830;&#19994;\P02\&#26368;&#32456;\&#30005;&#31639;&#34920;-&#20016;&#32852;&#24191;&#22330;22&#23618;&#21150;&#20844;0423.xlsx" TargetMode="External"/><Relationship Id="rId1" Type="http://schemas.openxmlformats.org/officeDocument/2006/relationships/externalLinkPath" Target="/&#21608;&#24420;/&#25253;&#21578;/2025&#24180;/2025-1-0317-&#20016;&#32852;&#24191;&#22330;&#21150;&#20844;&#21450;&#22320;&#19979;&#21830;&#19994;/P02/&#26368;&#32456;/&#30005;&#31639;&#34920;-&#20016;&#32852;&#24191;&#22330;22&#23618;&#21150;&#20844;0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mc:AlternateContent xmlns:mc="http://schemas.openxmlformats.org/markup-compatibility/2006">
        <mc:Choice Requires="x14">
          <x14:oleItem name="!数据-汇总表!R7C9" advise="1">
            <x14:values>
              <value>
                <val>16.417582863402167</val>
              </value>
            </x14:values>
          </x14:oleItem>
        </mc:Choice>
        <mc:Fallback>
          <oleItem name="!数据-汇总表!R7C9" advise="1"/>
        </mc:Fallback>
      </mc:AlternateContent>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元)"/>
      <sheetName val="收益法 (元)"/>
      <sheetName val="成本法"/>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结果表办"/>
      <sheetName val="基准地价修正办"/>
      <sheetName val="成本法办"/>
      <sheetName val="收益法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O19">
            <v>1996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北京市朝阳区东直门外斜街8号院房地产抵押价值预评估</v>
      </c>
    </row>
    <row r="3" spans="1:2">
      <c r="A3" s="1118" t="s">
        <v>523</v>
      </c>
      <c r="B3" s="1119">
        <f>'预评函-封皮'!B40</f>
        <v>0</v>
      </c>
    </row>
    <row r="4" spans="1:2">
      <c r="A4" s="1118" t="s">
        <v>524</v>
      </c>
      <c r="B4" s="1119" t="str">
        <f ca="1">'预评函-封皮'!B46</f>
        <v>郑燚（注册号：1120070131)、吴薇（注册号：1419970001)</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受贵公司委托，我公司对北京市朝阳区东直门外斜街8号院房地产抵押价值进行了预评估。</v>
      </c>
    </row>
    <row r="7" spans="1:2">
      <c r="A7" s="1118" t="s">
        <v>566</v>
      </c>
      <c r="B7" s="1119" t="str">
        <f>'预评函-1'!A7</f>
        <v>估价对象为北京市朝阳区东直门外斜街8号院房地产，为所有。根据《国有土地使用证》[]，估价对象（分摊）出让国有建设用地使用权面积为0平方米，建筑面积为182.59平方米。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估价对象为北京市朝阳区东直门外斜街8号院房地产,属开发建设的，该项目尚在开发建设中。根据《国有土地使用证》[]，估价对象（分摊）出让国有建设用地使用权面积为0平方米，规划建筑面积为182.59平方米。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2025年6月17日（评估专业人员实地查勘之日）</v>
      </c>
    </row>
    <row r="13" spans="1:2">
      <c r="A13" s="1118" t="s">
        <v>529</v>
      </c>
      <c r="B13" s="1119"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本次评估采用的主估价方法为比较法和成本法。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3034</v>
      </c>
    </row>
    <row r="21" spans="1:2">
      <c r="A21" s="1118" t="s">
        <v>537</v>
      </c>
      <c r="B21" s="1119">
        <f ca="1">'预评函-2'!D7</f>
        <v>166165</v>
      </c>
    </row>
    <row r="22" spans="1:2">
      <c r="A22" s="1118" t="s">
        <v>538</v>
      </c>
      <c r="B22" s="1119" t="str">
        <f ca="1">'预评函-2'!D6</f>
        <v>叁仟零叁拾肆万元整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3034</v>
      </c>
    </row>
    <row r="31" spans="1:2">
      <c r="A31" s="1118" t="s">
        <v>576</v>
      </c>
      <c r="B31" s="1119">
        <f ca="1">'预评函-2'!D15</f>
        <v>166165</v>
      </c>
    </row>
    <row r="32" spans="1:2">
      <c r="A32" s="1118" t="s">
        <v>543</v>
      </c>
      <c r="B32" s="1119" t="str">
        <f ca="1">'预评函-2'!D14</f>
        <v>叁仟零叁拾肆万元整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1425</v>
      </c>
    </row>
    <row r="39" spans="1:2">
      <c r="A39" s="1118" t="s">
        <v>545</v>
      </c>
      <c r="B39" s="1119">
        <f ca="1">'预评函-2'!D21</f>
        <v>78044</v>
      </c>
    </row>
    <row r="40" spans="1:2">
      <c r="A40" s="1118" t="s">
        <v>546</v>
      </c>
      <c r="B40" s="1119" t="str">
        <f ca="1">'预评函-2'!D20</f>
        <v>壹仟肆佰贰拾伍万元整</v>
      </c>
    </row>
    <row r="41" spans="1:2">
      <c r="A41" s="1118" t="s">
        <v>592</v>
      </c>
      <c r="B41" s="1119" t="str">
        <f>'预评函-3'!A4</f>
        <v>北京市朝阳区东直门外斜街8号院房地产</v>
      </c>
    </row>
    <row r="42" spans="1:2" ht="31.2">
      <c r="A42" s="1118" t="s">
        <v>590</v>
      </c>
      <c r="B42" s="1119" t="str">
        <f>'预评函-3'!B2</f>
        <v>建筑面积</v>
      </c>
    </row>
    <row r="43" spans="1:2">
      <c r="A43" s="1118" t="s">
        <v>591</v>
      </c>
      <c r="B43" s="1119">
        <f>'预评函-3'!B4</f>
        <v>182.59</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#N/A</v>
      </c>
    </row>
    <row r="48" spans="1:2">
      <c r="A48" s="1118" t="s">
        <v>549</v>
      </c>
      <c r="B48" s="1119" t="e">
        <f ca="1">'预评函-3'!E4</f>
        <v>#N/A</v>
      </c>
    </row>
    <row r="49" spans="1:2">
      <c r="A49" s="1118" t="s">
        <v>550</v>
      </c>
      <c r="B49" s="1119" t="e">
        <f ca="1">'预评函-3'!D5</f>
        <v>#N/A</v>
      </c>
    </row>
    <row r="50" spans="1:2">
      <c r="A50" s="1118" t="s">
        <v>574</v>
      </c>
      <c r="B50" s="1119" t="str">
        <f>'预评函-3'!F2</f>
        <v>在建建筑物价值</v>
      </c>
    </row>
    <row r="51" spans="1:2">
      <c r="A51" s="1118" t="s">
        <v>551</v>
      </c>
      <c r="B51" s="1119" t="e">
        <f ca="1">'预评函-3'!F4</f>
        <v>#N/A</v>
      </c>
    </row>
    <row r="52" spans="1:2">
      <c r="A52" s="1118" t="s">
        <v>552</v>
      </c>
      <c r="B52" s="1119" t="e">
        <f ca="1">'预评函-3'!G4</f>
        <v>#N/A</v>
      </c>
    </row>
    <row r="53" spans="1:2">
      <c r="A53" s="1118" t="s">
        <v>580</v>
      </c>
      <c r="B53" s="1119" t="e">
        <f ca="1">'预评函-3'!F5</f>
        <v>#N/A</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t="str">
        <f>'预评函-4'!A5</f>
        <v>吴薇</v>
      </c>
    </row>
    <row r="73" spans="1:2" s="1114" customFormat="1" ht="16.2" thickBot="1">
      <c r="A73" s="1121" t="s">
        <v>565</v>
      </c>
      <c r="B73" s="1122">
        <f ca="1">'预评函-4'!B5</f>
        <v>1419970001</v>
      </c>
    </row>
    <row r="74" spans="1:2" ht="16.2"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3335</v>
      </c>
    </row>
    <row r="8" spans="1:23">
      <c r="A8" s="1440" t="s">
        <v>1026</v>
      </c>
      <c r="B8" s="1440" t="s">
        <v>1027</v>
      </c>
      <c r="C8" s="1441" t="s">
        <v>319</v>
      </c>
      <c r="F8" s="1442" t="s">
        <v>1028</v>
      </c>
      <c r="H8" s="1442" t="s">
        <v>2570</v>
      </c>
      <c r="I8" s="1442" t="s">
        <v>3336</v>
      </c>
    </row>
    <row r="9" spans="1:23">
      <c r="A9" s="1440" t="s">
        <v>1029</v>
      </c>
      <c r="B9" s="1440" t="s">
        <v>1030</v>
      </c>
      <c r="C9" s="1441" t="s">
        <v>320</v>
      </c>
      <c r="F9" s="1442" t="s">
        <v>1031</v>
      </c>
      <c r="H9" s="1442"/>
      <c r="I9" s="1444" t="s">
        <v>3337</v>
      </c>
    </row>
    <row r="10" spans="1:23">
      <c r="A10" s="1440" t="s">
        <v>1032</v>
      </c>
      <c r="B10" s="1440" t="s">
        <v>1033</v>
      </c>
      <c r="C10" s="1441" t="s">
        <v>321</v>
      </c>
      <c r="F10" s="1442" t="s">
        <v>2571</v>
      </c>
      <c r="I10" s="1444" t="s">
        <v>3338</v>
      </c>
    </row>
    <row r="11" spans="1:23">
      <c r="A11" s="1440" t="s">
        <v>1034</v>
      </c>
      <c r="B11" s="1440" t="s">
        <v>1035</v>
      </c>
      <c r="C11" s="1441" t="s">
        <v>322</v>
      </c>
      <c r="F11" s="1442" t="s">
        <v>13</v>
      </c>
      <c r="I11" s="1444" t="s">
        <v>3339</v>
      </c>
    </row>
    <row r="12" spans="1:23">
      <c r="A12" s="1440" t="s">
        <v>1036</v>
      </c>
      <c r="B12" s="1440" t="s">
        <v>1037</v>
      </c>
      <c r="C12" s="1441" t="s">
        <v>323</v>
      </c>
      <c r="I12" s="1444" t="s">
        <v>3340</v>
      </c>
    </row>
    <row r="13" spans="1:23">
      <c r="A13" s="1440" t="s">
        <v>1038</v>
      </c>
      <c r="B13" s="1440" t="s">
        <v>1039</v>
      </c>
      <c r="C13" s="1441" t="s">
        <v>324</v>
      </c>
      <c r="I13" s="1444" t="s">
        <v>3341</v>
      </c>
    </row>
    <row r="14" spans="1:23">
      <c r="A14" s="1440" t="s">
        <v>1040</v>
      </c>
      <c r="B14" s="1440" t="s">
        <v>1041</v>
      </c>
      <c r="C14" s="1442" t="s">
        <v>13</v>
      </c>
      <c r="I14" s="1444" t="s">
        <v>3342</v>
      </c>
    </row>
    <row r="15" spans="1:23">
      <c r="A15" s="1440" t="s">
        <v>1042</v>
      </c>
      <c r="B15" s="1440" t="s">
        <v>1043</v>
      </c>
      <c r="C15" s="1441"/>
      <c r="I15" s="1444" t="s">
        <v>3343</v>
      </c>
    </row>
    <row r="16" spans="1:23">
      <c r="A16" s="1440" t="s">
        <v>1044</v>
      </c>
      <c r="B16" s="1440" t="s">
        <v>312</v>
      </c>
      <c r="C16" s="1441"/>
    </row>
    <row r="17" spans="1:3">
      <c r="A17" s="1440" t="s">
        <v>1045</v>
      </c>
      <c r="B17" s="1440" t="s">
        <v>2286</v>
      </c>
      <c r="C17" s="1441"/>
    </row>
    <row r="18" spans="1:3">
      <c r="A18" s="1440" t="s">
        <v>1046</v>
      </c>
      <c r="B18" s="1440" t="s">
        <v>2426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5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1446" t="s">
        <v>385</v>
      </c>
      <c r="C54" s="1444" t="s">
        <v>583</v>
      </c>
    </row>
    <row r="55" spans="1:4">
      <c r="A55" s="3252"/>
      <c r="B55" s="1446" t="s">
        <v>386</v>
      </c>
      <c r="C55" s="1444" t="s">
        <v>584</v>
      </c>
    </row>
    <row r="56" spans="1:4">
      <c r="A56" s="3252"/>
      <c r="B56" s="1446" t="s">
        <v>387</v>
      </c>
      <c r="C56" s="1444" t="s">
        <v>588</v>
      </c>
    </row>
    <row r="57" spans="1:4">
      <c r="A57" s="325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2493</v>
      </c>
      <c r="B1" s="2754"/>
      <c r="C1" s="2754"/>
      <c r="D1" s="2754"/>
      <c r="E1" s="2754"/>
      <c r="F1" s="2755"/>
      <c r="I1" s="3132" t="s">
        <v>2586</v>
      </c>
      <c r="J1" s="2780"/>
      <c r="K1" s="2780"/>
      <c r="L1" s="2780"/>
      <c r="M1" s="2780"/>
      <c r="N1" s="2965"/>
      <c r="O1" s="2965"/>
      <c r="P1" s="2965"/>
      <c r="Q1" s="2965"/>
      <c r="R1" s="2965"/>
    </row>
    <row r="2" spans="1:18">
      <c r="A2" s="2757"/>
      <c r="B2" s="2758"/>
      <c r="C2" s="2758"/>
      <c r="D2" s="2758"/>
      <c r="E2" s="2758"/>
      <c r="F2" s="2759"/>
      <c r="I2" s="3253" t="s">
        <v>2573</v>
      </c>
      <c r="J2" s="3253"/>
      <c r="K2" s="3253"/>
      <c r="L2" s="3253"/>
      <c r="M2" s="3253"/>
      <c r="N2" s="3253"/>
      <c r="O2" s="3253"/>
      <c r="P2" s="3253"/>
      <c r="Q2" s="3253"/>
      <c r="R2" s="3253"/>
    </row>
    <row r="3" spans="1:18">
      <c r="A3" s="2760" t="s">
        <v>2494</v>
      </c>
      <c r="B3" s="2761">
        <f>项目基本情况!D3</f>
        <v>45825</v>
      </c>
      <c r="C3" s="2763"/>
      <c r="D3" s="2763"/>
      <c r="E3" s="2763"/>
      <c r="F3" s="2759"/>
      <c r="I3" s="2775"/>
      <c r="J3" s="2775" t="s">
        <v>2577</v>
      </c>
      <c r="K3" s="2775" t="s">
        <v>2578</v>
      </c>
      <c r="L3" s="2775" t="s">
        <v>2579</v>
      </c>
      <c r="M3" s="2775" t="s">
        <v>2580</v>
      </c>
      <c r="N3" s="3133" t="s">
        <v>2581</v>
      </c>
      <c r="O3" s="3133" t="s">
        <v>2582</v>
      </c>
      <c r="P3" s="3133" t="s">
        <v>2583</v>
      </c>
      <c r="Q3" s="3133" t="s">
        <v>2584</v>
      </c>
      <c r="R3" s="3133" t="s">
        <v>2585</v>
      </c>
    </row>
    <row r="4" spans="1:18">
      <c r="A4" s="2760" t="s">
        <v>2495</v>
      </c>
      <c r="B4" s="2763" t="s">
        <v>2496</v>
      </c>
      <c r="C4" s="2763" t="s">
        <v>2497</v>
      </c>
      <c r="D4" s="2763" t="s">
        <v>2498</v>
      </c>
      <c r="E4" s="2763" t="s">
        <v>2499</v>
      </c>
      <c r="F4" s="2759"/>
      <c r="I4" s="2775" t="s">
        <v>2574</v>
      </c>
      <c r="J4" s="2775">
        <v>80</v>
      </c>
      <c r="K4" s="2775">
        <v>70</v>
      </c>
      <c r="L4" s="2775">
        <v>20</v>
      </c>
      <c r="M4" s="2775">
        <v>30</v>
      </c>
      <c r="N4" s="2763">
        <v>45</v>
      </c>
      <c r="O4" s="2763">
        <v>60</v>
      </c>
      <c r="P4" s="2763">
        <v>50</v>
      </c>
      <c r="Q4" s="2763">
        <v>20</v>
      </c>
      <c r="R4" s="2763">
        <v>375</v>
      </c>
    </row>
    <row r="5" spans="1:18">
      <c r="A5" s="2764">
        <v>40</v>
      </c>
      <c r="B5" s="2761">
        <v>46375</v>
      </c>
      <c r="C5" s="2763">
        <f>ROUNDDOWN(MIN((B5-B3)/365,A5),2)</f>
        <v>1.5</v>
      </c>
      <c r="D5" s="2765">
        <f>IF(ISERROR(ROUND(POWER(1+E5,A5-C5)*(POWER(1+E5,C5)-1)/(POWER(1+E5,A5)-1),3)),0,ROUND(POWER(1+E5,A5-C5)*(POWER(1+E5,C5)-1)/(POWER(1+E5,A5)-1),4))</f>
        <v>7.22E-2</v>
      </c>
      <c r="E5" s="2766">
        <v>0.04</v>
      </c>
      <c r="F5" s="2759"/>
      <c r="I5" s="2775" t="s">
        <v>2575</v>
      </c>
      <c r="J5" s="2775">
        <v>70</v>
      </c>
      <c r="K5" s="2775">
        <v>60</v>
      </c>
      <c r="L5" s="2775">
        <v>15</v>
      </c>
      <c r="M5" s="2775">
        <v>25</v>
      </c>
      <c r="N5" s="2763">
        <v>40</v>
      </c>
      <c r="O5" s="2763">
        <v>50</v>
      </c>
      <c r="P5" s="2763">
        <v>40</v>
      </c>
      <c r="Q5" s="2763">
        <v>15</v>
      </c>
      <c r="R5" s="2763">
        <v>315</v>
      </c>
    </row>
    <row r="6" spans="1:18">
      <c r="A6" s="2764">
        <v>50</v>
      </c>
      <c r="B6" s="2761">
        <v>50028</v>
      </c>
      <c r="C6" s="2763">
        <f>ROUNDDOWN(MIN((B6-B3)/365,A6),2)</f>
        <v>11.51</v>
      </c>
      <c r="D6" s="2765">
        <f>IF(ISERROR(ROUND(POWER(1+E6,A6-C6)*(POWER(1+E6,C6)-1)/(POWER(1+E6,A6)-1),3)),0,ROUND(POWER(1+E6,A6-C6)*(POWER(1+E6,C6)-1)/(POWER(1+E6,A6)-1),4))</f>
        <v>0.42280000000000001</v>
      </c>
      <c r="E6" s="2766">
        <v>0.04</v>
      </c>
      <c r="F6" s="2759"/>
      <c r="I6" s="2775" t="s">
        <v>2576</v>
      </c>
      <c r="J6" s="2775">
        <v>60</v>
      </c>
      <c r="K6" s="2775">
        <v>50</v>
      </c>
      <c r="L6" s="2775">
        <v>10</v>
      </c>
      <c r="M6" s="2775">
        <v>20</v>
      </c>
      <c r="N6" s="2763">
        <v>35</v>
      </c>
      <c r="O6" s="2763">
        <v>40</v>
      </c>
      <c r="P6" s="2763">
        <v>30</v>
      </c>
      <c r="Q6" s="2763">
        <v>10</v>
      </c>
      <c r="R6" s="2763">
        <v>255</v>
      </c>
    </row>
    <row r="7" spans="1:18">
      <c r="A7" s="2764">
        <v>70</v>
      </c>
      <c r="B7" s="2761">
        <v>57333</v>
      </c>
      <c r="C7" s="2763">
        <f>ROUNDDOWN(MIN((B7-B3)/365,A7),2)</f>
        <v>31.52</v>
      </c>
      <c r="D7" s="2765">
        <f>IF(ISERROR(ROUND(POWER(1+E7,A7-C7)*(POWER(1+E7,C7)-1)/(POWER(1+E7,A7)-1),3)),0,ROUND(POWER(1+E7,A7-C7)*(POWER(1+E7,C7)-1)/(POWER(1+E7,A7)-1),4))</f>
        <v>0.75819999999999999</v>
      </c>
      <c r="E7" s="2766">
        <v>0.04</v>
      </c>
      <c r="F7" s="2759"/>
    </row>
    <row r="8" spans="1:18">
      <c r="A8" s="2757"/>
      <c r="B8" s="2758"/>
      <c r="C8" s="2758"/>
      <c r="D8" s="2758"/>
      <c r="E8" s="2758"/>
      <c r="F8" s="2759"/>
    </row>
    <row r="9" spans="1:18">
      <c r="A9" s="2760" t="s">
        <v>2500</v>
      </c>
      <c r="B9" s="2763"/>
      <c r="C9" s="2763"/>
      <c r="D9" s="2763"/>
      <c r="E9" s="2763"/>
      <c r="F9" s="2767"/>
    </row>
    <row r="10" spans="1:18">
      <c r="A10" s="2760" t="s">
        <v>2501</v>
      </c>
      <c r="B10" s="2763"/>
      <c r="C10" s="2763"/>
      <c r="D10" s="2763" t="s">
        <v>2499</v>
      </c>
      <c r="E10" s="2763"/>
      <c r="F10" s="2767" t="s">
        <v>2498</v>
      </c>
    </row>
    <row r="11" spans="1:18">
      <c r="A11" s="2760" t="s">
        <v>2502</v>
      </c>
      <c r="B11" s="2768">
        <v>70</v>
      </c>
      <c r="C11" s="2763" t="s">
        <v>2503</v>
      </c>
      <c r="D11" s="2768">
        <v>4.4999999999999998E-2</v>
      </c>
      <c r="E11" s="2763" t="s">
        <v>2504</v>
      </c>
      <c r="F11" s="2769">
        <f>ROUND(1-(1/(POWER(1+D11,B11))),4)</f>
        <v>0.95409999999999995</v>
      </c>
    </row>
    <row r="12" spans="1:18">
      <c r="A12" s="2760" t="s">
        <v>2505</v>
      </c>
      <c r="B12" s="2768">
        <v>40</v>
      </c>
      <c r="C12" s="2763" t="s">
        <v>2506</v>
      </c>
      <c r="D12" s="2768">
        <v>4.4999999999999998E-2</v>
      </c>
      <c r="E12" s="2763" t="s">
        <v>2507</v>
      </c>
      <c r="F12" s="2769">
        <f>ROUND(1-(1/(POWER(1+D12,B12))),4)</f>
        <v>0.82809999999999995</v>
      </c>
    </row>
    <row r="13" spans="1:18">
      <c r="A13" s="2760" t="s">
        <v>2508</v>
      </c>
      <c r="B13" s="2763"/>
      <c r="C13" s="2763"/>
      <c r="D13" s="2758"/>
      <c r="E13" s="2758"/>
      <c r="F13" s="2759"/>
    </row>
    <row r="14" spans="1:18">
      <c r="A14" s="2760" t="s">
        <v>2509</v>
      </c>
      <c r="B14" s="2768">
        <v>5000</v>
      </c>
      <c r="C14" s="2762"/>
      <c r="D14" s="2758"/>
      <c r="E14" s="2758"/>
      <c r="F14" s="2759"/>
    </row>
    <row r="15" spans="1:18">
      <c r="A15" s="2760" t="s">
        <v>2510</v>
      </c>
      <c r="B15" s="2763">
        <f>ROUND(B14*F12/F11,2)</f>
        <v>4339.6899999999996</v>
      </c>
      <c r="C15" s="2763">
        <f>ROUND(F12/F11,4)</f>
        <v>0.8679</v>
      </c>
      <c r="D15" s="2758"/>
      <c r="E15" s="2758"/>
      <c r="F15" s="2759"/>
    </row>
    <row r="16" spans="1:18">
      <c r="A16" s="2760" t="s">
        <v>2511</v>
      </c>
      <c r="B16" s="2763"/>
      <c r="C16" s="2763"/>
      <c r="D16" s="2758"/>
      <c r="E16" s="2758"/>
      <c r="F16" s="2759"/>
    </row>
    <row r="17" spans="1:14">
      <c r="A17" s="2760" t="s">
        <v>2510</v>
      </c>
      <c r="B17" s="2768">
        <v>4810</v>
      </c>
      <c r="C17" s="2762"/>
      <c r="D17" s="2758"/>
      <c r="E17" s="2758"/>
      <c r="F17" s="2759"/>
    </row>
    <row r="18" spans="1:14" ht="15" thickBot="1">
      <c r="A18" s="2770" t="s">
        <v>2509</v>
      </c>
      <c r="B18" s="2771">
        <f>ROUND(B17*F11/F12,2)</f>
        <v>5541.87</v>
      </c>
      <c r="C18" s="2771">
        <f>ROUND(F11/F12,4)</f>
        <v>1.1521999999999999</v>
      </c>
      <c r="D18" s="2772"/>
      <c r="E18" s="2772"/>
      <c r="F18" s="2773"/>
    </row>
    <row r="19" spans="1:14" ht="15" thickBot="1"/>
    <row r="20" spans="1:14" s="2806" customFormat="1" ht="15" thickTop="1">
      <c r="A20" s="2803" t="s">
        <v>2512</v>
      </c>
      <c r="B20" s="2804"/>
      <c r="C20" s="2804"/>
      <c r="D20" s="2804"/>
      <c r="E20" s="2804"/>
      <c r="F20" s="2804"/>
      <c r="G20" s="2805"/>
      <c r="I20" s="2807" t="s">
        <v>2557</v>
      </c>
      <c r="J20" s="2807" t="s">
        <v>2562</v>
      </c>
      <c r="K20" s="2807"/>
      <c r="L20" s="2807"/>
      <c r="M20" s="2807"/>
    </row>
    <row r="21" spans="1:14">
      <c r="A21" s="2774"/>
      <c r="B21" s="2775" t="s">
        <v>2513</v>
      </c>
      <c r="C21" s="2775" t="s">
        <v>2514</v>
      </c>
      <c r="D21" s="2775" t="s">
        <v>2515</v>
      </c>
      <c r="E21" s="2775" t="s">
        <v>2516</v>
      </c>
      <c r="F21" s="2775" t="s">
        <v>2517</v>
      </c>
      <c r="G21" s="2776" t="s">
        <v>2518</v>
      </c>
      <c r="I21" s="2797">
        <v>5</v>
      </c>
      <c r="J21" s="2797">
        <v>54.2</v>
      </c>
    </row>
    <row r="22" spans="1:14">
      <c r="A22" s="2774" t="s">
        <v>2519</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2520</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2560</v>
      </c>
      <c r="N23" s="3150" t="s">
        <v>2561</v>
      </c>
    </row>
    <row r="24" spans="1:14">
      <c r="A24" s="2774" t="s">
        <v>2521</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2559</v>
      </c>
      <c r="N24" s="3150">
        <v>10</v>
      </c>
    </row>
    <row r="25" spans="1:14">
      <c r="A25" s="2774" t="s">
        <v>2522</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2563</v>
      </c>
      <c r="N25" s="3150">
        <v>8</v>
      </c>
    </row>
    <row r="26" spans="1:14">
      <c r="A26" s="2779"/>
      <c r="B26" s="2780"/>
      <c r="C26" s="2780"/>
      <c r="D26" s="2780"/>
      <c r="E26" s="2780"/>
      <c r="F26" s="2780"/>
      <c r="G26" s="2781"/>
      <c r="I26" s="2797">
        <v>30</v>
      </c>
      <c r="J26" s="2797">
        <v>90.5</v>
      </c>
      <c r="K26" s="2797">
        <f t="shared" si="2"/>
        <v>4.2000000000000028</v>
      </c>
      <c r="L26" s="2797" t="s">
        <v>2564</v>
      </c>
      <c r="N26" s="3150">
        <v>5</v>
      </c>
    </row>
    <row r="27" spans="1:14">
      <c r="A27" s="2779" t="s">
        <v>2523</v>
      </c>
      <c r="B27" s="2780"/>
      <c r="C27" s="2780"/>
      <c r="D27" s="2780"/>
      <c r="E27" s="2780"/>
      <c r="F27" s="2780"/>
      <c r="G27" s="2781"/>
      <c r="I27" s="2797">
        <v>35</v>
      </c>
      <c r="J27" s="2797">
        <v>93.8</v>
      </c>
      <c r="K27" s="2797">
        <f t="shared" si="2"/>
        <v>3.2999999999999972</v>
      </c>
      <c r="L27" s="2797" t="s">
        <v>2565</v>
      </c>
      <c r="N27" s="3150">
        <v>3</v>
      </c>
    </row>
    <row r="28" spans="1:14">
      <c r="A28" s="2779" t="s">
        <v>2524</v>
      </c>
      <c r="B28" s="2780"/>
      <c r="C28" s="2780"/>
      <c r="D28" s="2780"/>
      <c r="E28" s="2780"/>
      <c r="F28" s="2780"/>
      <c r="G28" s="2781"/>
      <c r="I28" s="2797">
        <v>40</v>
      </c>
      <c r="J28" s="2797">
        <v>96.4</v>
      </c>
      <c r="K28" s="2797">
        <f t="shared" si="2"/>
        <v>2.6000000000000085</v>
      </c>
      <c r="L28" s="2797" t="s">
        <v>2566</v>
      </c>
      <c r="N28" s="3150">
        <v>2</v>
      </c>
    </row>
    <row r="29" spans="1:14">
      <c r="A29" s="2779" t="s">
        <v>2525</v>
      </c>
      <c r="B29" s="2780"/>
      <c r="C29" s="2780"/>
      <c r="D29" s="2780"/>
      <c r="E29" s="2780"/>
      <c r="F29" s="2780"/>
      <c r="G29" s="2781"/>
      <c r="I29" s="2797">
        <v>45</v>
      </c>
      <c r="J29" s="2797">
        <v>98.4</v>
      </c>
      <c r="K29" s="2797">
        <f t="shared" si="2"/>
        <v>2</v>
      </c>
    </row>
    <row r="30" spans="1:14">
      <c r="A30" s="2779" t="s">
        <v>2526</v>
      </c>
      <c r="B30" s="2780"/>
      <c r="C30" s="2780"/>
      <c r="D30" s="2780"/>
      <c r="E30" s="2780"/>
      <c r="F30" s="2780"/>
      <c r="G30" s="2781"/>
      <c r="I30" s="2797">
        <v>50</v>
      </c>
      <c r="J30" s="2797">
        <v>100</v>
      </c>
      <c r="K30" s="2797">
        <f t="shared" si="2"/>
        <v>1.5999999999999943</v>
      </c>
    </row>
    <row r="31" spans="1:14">
      <c r="A31" s="2779" t="s">
        <v>2527</v>
      </c>
      <c r="B31" s="2780"/>
      <c r="C31" s="2780"/>
      <c r="D31" s="2780"/>
      <c r="E31" s="2780"/>
      <c r="F31" s="2780"/>
      <c r="G31" s="2781"/>
      <c r="I31" s="2797" t="s">
        <v>2558</v>
      </c>
    </row>
    <row r="32" spans="1:14">
      <c r="A32" s="2779" t="s">
        <v>2528</v>
      </c>
      <c r="B32" s="2780"/>
      <c r="C32" s="2780"/>
      <c r="D32" s="2780"/>
      <c r="E32" s="2780"/>
      <c r="F32" s="2780"/>
      <c r="G32" s="2781"/>
    </row>
    <row r="33" spans="1:14">
      <c r="A33" s="2779" t="s">
        <v>2529</v>
      </c>
      <c r="B33" s="2780"/>
      <c r="C33" s="2780"/>
      <c r="D33" s="2780"/>
      <c r="E33" s="2780"/>
      <c r="F33" s="2780"/>
      <c r="G33" s="2781"/>
      <c r="I33" s="2797" t="s">
        <v>2557</v>
      </c>
      <c r="J33" s="2797" t="s">
        <v>2567</v>
      </c>
    </row>
    <row r="34" spans="1:14">
      <c r="A34" s="2779" t="s">
        <v>2530</v>
      </c>
      <c r="B34" s="2780"/>
      <c r="C34" s="2780"/>
      <c r="D34" s="2780"/>
      <c r="E34" s="2780"/>
      <c r="F34" s="2780"/>
      <c r="G34" s="2781"/>
      <c r="I34" s="2797">
        <v>5</v>
      </c>
      <c r="J34" s="2797">
        <v>55.1</v>
      </c>
    </row>
    <row r="35" spans="1:14">
      <c r="A35" s="2779" t="s">
        <v>2531</v>
      </c>
      <c r="B35" s="2780"/>
      <c r="C35" s="2780"/>
      <c r="D35" s="2780"/>
      <c r="E35" s="2780"/>
      <c r="F35" s="2780"/>
      <c r="G35" s="2781"/>
      <c r="I35" s="2797">
        <v>10</v>
      </c>
      <c r="J35" s="2797">
        <v>67</v>
      </c>
      <c r="K35" s="2797">
        <f>J35-J34</f>
        <v>11.899999999999999</v>
      </c>
    </row>
    <row r="36" spans="1:14">
      <c r="A36" s="2779" t="s">
        <v>2532</v>
      </c>
      <c r="B36" s="2780"/>
      <c r="C36" s="2780"/>
      <c r="D36" s="2780"/>
      <c r="E36" s="2780"/>
      <c r="F36" s="2780"/>
      <c r="G36" s="2781"/>
      <c r="I36" s="2797">
        <v>15</v>
      </c>
      <c r="J36" s="2797">
        <v>76.3</v>
      </c>
      <c r="K36" s="2797">
        <f t="shared" ref="K36:K41" si="3">J36-J35</f>
        <v>9.2999999999999972</v>
      </c>
      <c r="L36" s="2797" t="s">
        <v>2560</v>
      </c>
      <c r="N36" s="3150" t="s">
        <v>2561</v>
      </c>
    </row>
    <row r="37" spans="1:14">
      <c r="A37" s="2779" t="s">
        <v>2533</v>
      </c>
      <c r="B37" s="2780"/>
      <c r="C37" s="2780"/>
      <c r="D37" s="2780"/>
      <c r="E37" s="2780"/>
      <c r="F37" s="2780"/>
      <c r="G37" s="2781"/>
      <c r="I37" s="2797">
        <v>20</v>
      </c>
      <c r="J37" s="2797">
        <v>83.6</v>
      </c>
      <c r="K37" s="2797">
        <f t="shared" si="3"/>
        <v>7.2999999999999972</v>
      </c>
      <c r="L37" s="2797" t="s">
        <v>2559</v>
      </c>
      <c r="N37" s="3150">
        <v>10</v>
      </c>
    </row>
    <row r="38" spans="1:14">
      <c r="A38" s="2779" t="s">
        <v>2534</v>
      </c>
      <c r="B38" s="2780"/>
      <c r="C38" s="2780"/>
      <c r="D38" s="2780"/>
      <c r="E38" s="2780"/>
      <c r="F38" s="2780"/>
      <c r="G38" s="2781"/>
      <c r="I38" s="2797">
        <v>25</v>
      </c>
      <c r="J38" s="2797">
        <v>89.3</v>
      </c>
      <c r="K38" s="2797">
        <f t="shared" si="3"/>
        <v>5.7000000000000028</v>
      </c>
      <c r="L38" s="2797" t="s">
        <v>2563</v>
      </c>
      <c r="N38" s="3150">
        <v>8</v>
      </c>
    </row>
    <row r="39" spans="1:14">
      <c r="A39" s="2779"/>
      <c r="B39" s="2780"/>
      <c r="C39" s="2780"/>
      <c r="D39" s="2780"/>
      <c r="E39" s="2780"/>
      <c r="F39" s="2780"/>
      <c r="G39" s="2781"/>
      <c r="I39" s="2797">
        <v>30</v>
      </c>
      <c r="J39" s="2797">
        <v>93.8</v>
      </c>
      <c r="K39" s="2797">
        <f t="shared" si="3"/>
        <v>4.5</v>
      </c>
      <c r="L39" s="2797" t="s">
        <v>2564</v>
      </c>
      <c r="N39" s="3150">
        <v>6</v>
      </c>
    </row>
    <row r="40" spans="1:14">
      <c r="A40" s="2782" t="s">
        <v>2535</v>
      </c>
      <c r="B40" s="2783"/>
      <c r="C40" s="2783"/>
      <c r="D40" s="2783"/>
      <c r="E40" s="2783"/>
      <c r="F40" s="2783"/>
      <c r="G40" s="2784"/>
      <c r="I40" s="2797">
        <v>35</v>
      </c>
      <c r="J40" s="2797">
        <v>97.2</v>
      </c>
      <c r="K40" s="2797">
        <f t="shared" si="3"/>
        <v>3.4000000000000057</v>
      </c>
      <c r="L40" s="2797" t="s">
        <v>2565</v>
      </c>
      <c r="N40" s="3150">
        <v>3</v>
      </c>
    </row>
    <row r="41" spans="1:14">
      <c r="A41" s="2785" t="s">
        <v>2536</v>
      </c>
      <c r="B41" s="2786" t="s">
        <v>2537</v>
      </c>
      <c r="C41" s="2787" t="s">
        <v>2538</v>
      </c>
      <c r="D41" s="2787" t="s">
        <v>2539</v>
      </c>
      <c r="E41" s="2788"/>
      <c r="F41" s="2789"/>
      <c r="G41" s="2790"/>
      <c r="I41" s="2797">
        <v>40</v>
      </c>
      <c r="J41" s="2797">
        <v>100</v>
      </c>
      <c r="K41" s="2797">
        <f t="shared" si="3"/>
        <v>2.7999999999999972</v>
      </c>
    </row>
    <row r="42" spans="1:14">
      <c r="A42" s="2785" t="s">
        <v>2540</v>
      </c>
      <c r="B42" s="2786" t="s">
        <v>2541</v>
      </c>
      <c r="C42" s="2787" t="s">
        <v>2542</v>
      </c>
      <c r="D42" s="2791" t="s">
        <v>2543</v>
      </c>
      <c r="E42" s="2783" t="s">
        <v>2544</v>
      </c>
      <c r="F42" s="2783"/>
      <c r="G42" s="2784"/>
    </row>
    <row r="43" spans="1:14">
      <c r="A43" s="2785" t="s">
        <v>2545</v>
      </c>
      <c r="B43" s="2786" t="s">
        <v>2546</v>
      </c>
      <c r="C43" s="2787" t="s">
        <v>2547</v>
      </c>
      <c r="D43" s="2787" t="s">
        <v>2548</v>
      </c>
      <c r="E43" s="2788" t="s">
        <v>2549</v>
      </c>
      <c r="F43" s="2789"/>
      <c r="G43" s="2790"/>
      <c r="I43" s="2797" t="s">
        <v>2557</v>
      </c>
      <c r="J43" s="2797" t="s">
        <v>2568</v>
      </c>
    </row>
    <row r="44" spans="1:14">
      <c r="A44" s="2785" t="s">
        <v>2550</v>
      </c>
      <c r="B44" s="2786" t="s">
        <v>2551</v>
      </c>
      <c r="C44" s="2787" t="s">
        <v>2552</v>
      </c>
      <c r="D44" s="2791">
        <v>0.5</v>
      </c>
      <c r="E44" s="2788" t="s">
        <v>2553</v>
      </c>
      <c r="F44" s="2789"/>
      <c r="G44" s="2790"/>
      <c r="I44" s="2797">
        <v>30</v>
      </c>
      <c r="J44" s="2797">
        <v>81.7</v>
      </c>
    </row>
    <row r="45" spans="1:14" ht="15" thickBot="1">
      <c r="A45" s="2792" t="s">
        <v>2554</v>
      </c>
      <c r="B45" s="2793" t="s">
        <v>2541</v>
      </c>
      <c r="C45" s="2794" t="s">
        <v>2541</v>
      </c>
      <c r="D45" s="2794" t="s">
        <v>2555</v>
      </c>
      <c r="E45" s="2795" t="s">
        <v>2556</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3380</v>
      </c>
    </row>
    <row r="50" spans="1:4">
      <c r="A50" s="3142" t="s">
        <v>3381</v>
      </c>
      <c r="B50" s="3142" t="s">
        <v>3382</v>
      </c>
      <c r="C50" s="3142" t="s">
        <v>3383</v>
      </c>
      <c r="D50" s="3142" t="s">
        <v>3384</v>
      </c>
    </row>
    <row r="51" spans="1:4">
      <c r="A51" s="3142" t="s">
        <v>3385</v>
      </c>
      <c r="B51" s="2762">
        <f>B52+B53</f>
        <v>15000</v>
      </c>
      <c r="C51" s="3143">
        <f>D51/B51</f>
        <v>2666.6666666666665</v>
      </c>
      <c r="D51" s="2762">
        <f>D52+D53</f>
        <v>40000000</v>
      </c>
    </row>
    <row r="52" spans="1:4">
      <c r="A52" s="3144" t="s">
        <v>3386</v>
      </c>
      <c r="B52" s="3145">
        <v>10000</v>
      </c>
      <c r="C52" s="3145">
        <v>1500</v>
      </c>
      <c r="D52" s="3146">
        <f>C52*B52</f>
        <v>15000000</v>
      </c>
    </row>
    <row r="53" spans="1:4">
      <c r="A53" s="3144" t="s">
        <v>3387</v>
      </c>
      <c r="B53" s="3145">
        <v>5000</v>
      </c>
      <c r="C53" s="3145">
        <v>5000</v>
      </c>
      <c r="D53" s="3146">
        <f>C53*B53</f>
        <v>25000000</v>
      </c>
    </row>
    <row r="54" spans="1:4">
      <c r="A54" s="3142" t="s">
        <v>3388</v>
      </c>
      <c r="B54" s="2762">
        <f>B51</f>
        <v>15000</v>
      </c>
      <c r="C54" s="2768">
        <v>700</v>
      </c>
      <c r="D54" s="2762">
        <f t="shared" ref="D54:D55" si="5">C54*B54</f>
        <v>10500000</v>
      </c>
    </row>
    <row r="55" spans="1:4">
      <c r="A55" s="3142" t="s">
        <v>3389</v>
      </c>
      <c r="B55" s="2762">
        <f>B51</f>
        <v>15000</v>
      </c>
      <c r="C55" s="2768">
        <v>1500</v>
      </c>
      <c r="D55" s="2762">
        <f t="shared" si="5"/>
        <v>22500000</v>
      </c>
    </row>
    <row r="56" spans="1:4">
      <c r="A56" s="3142" t="s">
        <v>3390</v>
      </c>
      <c r="B56" s="2762">
        <f>B51</f>
        <v>15000</v>
      </c>
      <c r="C56" s="3147">
        <f>C51+C54+C55</f>
        <v>4866.6666666666661</v>
      </c>
      <c r="D56" s="2762">
        <f>D51+D54+D55</f>
        <v>73000000</v>
      </c>
    </row>
    <row r="58" spans="1:4">
      <c r="A58" s="3142" t="s">
        <v>3391</v>
      </c>
      <c r="B58" s="3148">
        <v>0.05</v>
      </c>
      <c r="C58" s="2762">
        <f>C56*(1+B58)</f>
        <v>5110</v>
      </c>
      <c r="D58" s="2762">
        <f>D56*B58</f>
        <v>3650000</v>
      </c>
    </row>
    <row r="60" spans="1:4">
      <c r="A60" s="3142" t="s">
        <v>3392</v>
      </c>
      <c r="B60" s="2768">
        <v>3500</v>
      </c>
      <c r="C60" s="2768">
        <f>C53</f>
        <v>5000</v>
      </c>
      <c r="D60" s="2762">
        <f>C60*B60</f>
        <v>17500000</v>
      </c>
    </row>
    <row r="62" spans="1:4">
      <c r="A62" s="3142" t="s">
        <v>3393</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23" sqref="F23"/>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2165</v>
      </c>
      <c r="B1" s="3254" t="str">
        <f>IF(B10="北京市","北京市",C10)&amp;F10&amp;IF(结果表!G1="在建","出让国有建设用地使用权及在建建筑物",IF(结果表!G1="土地","出让国有建设用地使用权",))&amp;B9&amp;"预评估"</f>
        <v>北京市朝阳区东直门外斜街8号院房地产抵押价值预评估</v>
      </c>
      <c r="C1" s="3255"/>
      <c r="D1" s="3255"/>
      <c r="E1" s="3255"/>
      <c r="F1" s="3255"/>
      <c r="G1" s="3255"/>
      <c r="H1" s="3255"/>
      <c r="I1" s="3256"/>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北京市朝阳区东直门外斜街8号院房地产抵押价值</v>
      </c>
      <c r="T1" s="1617"/>
      <c r="U1" s="1617"/>
      <c r="V1" s="1617"/>
      <c r="W1" s="1617"/>
      <c r="X1" s="1617"/>
      <c r="Y1" s="1617"/>
      <c r="Z1" s="1617"/>
      <c r="AA1" s="1617"/>
      <c r="AB1" s="1617"/>
    </row>
    <row r="2" spans="1:30">
      <c r="A2" s="2181" t="s">
        <v>2166</v>
      </c>
      <c r="B2" s="122"/>
      <c r="D2" s="2445"/>
      <c r="E2" s="2439"/>
      <c r="F2" s="2439"/>
      <c r="G2" s="2440"/>
      <c r="H2" s="2440"/>
      <c r="I2" s="2440"/>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北京市朝阳区东直门外斜街8号院房地产</v>
      </c>
      <c r="T2" s="1617"/>
      <c r="U2" s="1617"/>
      <c r="V2" s="1617"/>
      <c r="W2" s="1617"/>
      <c r="X2" s="1617"/>
      <c r="Y2" s="1617"/>
      <c r="Z2" s="1617"/>
      <c r="AA2" s="1617"/>
      <c r="AB2" s="1617"/>
    </row>
    <row r="3" spans="1:30">
      <c r="A3" s="294" t="s">
        <v>2167</v>
      </c>
      <c r="B3" s="2184">
        <v>45825</v>
      </c>
      <c r="C3" s="2185" t="s">
        <v>2168</v>
      </c>
      <c r="D3" s="2184">
        <f>B3</f>
        <v>45825</v>
      </c>
      <c r="E3" s="2440"/>
      <c r="F3" s="2440"/>
      <c r="G3" s="2440"/>
      <c r="H3" s="2440"/>
      <c r="I3" s="2440"/>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2169</v>
      </c>
      <c r="B4" s="2186" t="s">
        <v>3405</v>
      </c>
      <c r="C4" s="2187">
        <f ca="1">SUMIF(注册房地产估价师,B4,估价师及机构信息!B3:B24)</f>
        <v>1120070131</v>
      </c>
      <c r="D4" s="2186" t="s">
        <v>3406</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郑燚（注册号：1120070131)、吴薇（注册号：1419970001)</v>
      </c>
      <c r="L4" s="2183"/>
      <c r="M4" s="2183"/>
      <c r="N4" s="2181"/>
      <c r="O4" s="1465"/>
      <c r="P4" s="2181"/>
      <c r="Q4" s="2181"/>
      <c r="R4" s="2181"/>
      <c r="S4" s="1560"/>
      <c r="T4" s="1617"/>
      <c r="U4" s="1617"/>
      <c r="V4" s="1617"/>
      <c r="W4" s="1617"/>
      <c r="X4" s="1617"/>
      <c r="Y4" s="1617"/>
      <c r="Z4" s="1617"/>
      <c r="AA4" s="1617"/>
      <c r="AB4" s="1617"/>
    </row>
    <row r="5" spans="1:30" ht="13.8" thickTop="1">
      <c r="A5" s="2189" t="s">
        <v>2170</v>
      </c>
      <c r="B5" s="2190"/>
      <c r="C5" s="2191"/>
      <c r="D5" s="2192"/>
      <c r="E5" s="2440"/>
      <c r="F5" s="2440"/>
      <c r="G5" s="2440"/>
      <c r="H5" s="2440"/>
      <c r="I5" s="2440"/>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2171</v>
      </c>
      <c r="B6" s="2194"/>
      <c r="C6" s="2195"/>
      <c r="D6" s="2196"/>
      <c r="E6" s="2439"/>
      <c r="F6" s="2440"/>
      <c r="G6" s="2440"/>
      <c r="H6" s="2440"/>
      <c r="I6" s="2440"/>
      <c r="J6" s="2244"/>
      <c r="K6" s="2399" t="str">
        <f>IF(COUNTIF(B6,"*上海银行*"),"上海银行","")</f>
        <v/>
      </c>
      <c r="L6" s="2397"/>
      <c r="M6" s="2397"/>
      <c r="N6" s="2244"/>
      <c r="O6" s="1669"/>
      <c r="P6" s="2244"/>
      <c r="Q6" s="2244"/>
      <c r="R6" s="2244"/>
    </row>
    <row r="7" spans="1:30">
      <c r="A7" s="2193" t="s">
        <v>2172</v>
      </c>
      <c r="B7" s="2197"/>
      <c r="C7" s="2195"/>
      <c r="D7" s="2196"/>
      <c r="E7" s="2439"/>
      <c r="F7" s="2440"/>
      <c r="G7" s="2440"/>
      <c r="H7" s="2440"/>
      <c r="I7" s="2440"/>
      <c r="J7" s="2244"/>
      <c r="K7" s="2400"/>
      <c r="L7" s="2397"/>
      <c r="M7" s="2397"/>
      <c r="N7" s="2244"/>
      <c r="O7" s="1669"/>
      <c r="P7" s="2244"/>
      <c r="Q7" s="2244"/>
      <c r="R7" s="2244"/>
    </row>
    <row r="8" spans="1:30">
      <c r="A8" s="2198" t="s">
        <v>2173</v>
      </c>
      <c r="B8" s="2199" t="s">
        <v>3407</v>
      </c>
      <c r="C8" s="2200"/>
      <c r="D8" s="3257" t="s">
        <v>2174</v>
      </c>
      <c r="E8" s="2201" t="s">
        <v>3408</v>
      </c>
      <c r="F8" s="2202"/>
      <c r="G8" s="2440"/>
      <c r="H8" s="2440"/>
      <c r="I8" s="2440"/>
      <c r="J8" s="2244"/>
      <c r="K8" s="2398"/>
      <c r="L8" s="2397"/>
      <c r="M8" s="2397"/>
      <c r="N8" s="2244"/>
      <c r="O8" s="1669"/>
      <c r="P8" s="2244"/>
      <c r="Q8" s="2244"/>
      <c r="R8" s="2244"/>
    </row>
    <row r="9" spans="1:30" ht="13.8" thickBot="1">
      <c r="A9" s="2203" t="s">
        <v>2175</v>
      </c>
      <c r="B9" s="2204" t="s">
        <v>3408</v>
      </c>
      <c r="C9" s="2205"/>
      <c r="D9" s="3258"/>
      <c r="E9" s="2204" t="s">
        <v>587</v>
      </c>
      <c r="F9" s="2206"/>
      <c r="G9" s="2441"/>
      <c r="H9" s="2441"/>
      <c r="I9" s="2441"/>
      <c r="J9" s="2244"/>
      <c r="K9" s="2400"/>
      <c r="L9" s="2397"/>
      <c r="M9" s="2397"/>
      <c r="N9" s="2244"/>
      <c r="O9" s="1669"/>
      <c r="P9" s="2244"/>
      <c r="Q9" s="2244"/>
      <c r="R9" s="2244"/>
    </row>
    <row r="10" spans="1:30" ht="13.8" thickTop="1">
      <c r="A10" s="2207" t="s">
        <v>2176</v>
      </c>
      <c r="B10" s="2208" t="s">
        <v>3409</v>
      </c>
      <c r="C10" s="2209"/>
      <c r="D10" s="2192"/>
      <c r="E10" s="2210" t="s">
        <v>2177</v>
      </c>
      <c r="F10" s="3163" t="s">
        <v>3446</v>
      </c>
      <c r="G10" s="2442"/>
      <c r="H10" s="2443"/>
      <c r="I10" s="2444"/>
      <c r="J10" s="2244"/>
      <c r="K10" s="2400"/>
      <c r="L10" s="2397"/>
      <c r="M10" s="2397"/>
      <c r="N10" s="2244"/>
      <c r="O10" s="1669"/>
      <c r="P10" s="2244"/>
      <c r="Q10" s="2244"/>
      <c r="R10" s="2244"/>
    </row>
    <row r="11" spans="1:30">
      <c r="A11" s="2211" t="s">
        <v>2178</v>
      </c>
      <c r="B11" s="2212" t="s">
        <v>3410</v>
      </c>
      <c r="C11" s="2213"/>
      <c r="D11" s="2214"/>
      <c r="E11" s="2181"/>
      <c r="F11" s="2181"/>
      <c r="G11" s="2181"/>
      <c r="H11" s="2181"/>
      <c r="I11" s="2181"/>
      <c r="J11" s="2799"/>
      <c r="K11" s="2397"/>
      <c r="L11" s="2397"/>
      <c r="M11" s="2397"/>
      <c r="N11" s="2244"/>
      <c r="O11" s="1669"/>
      <c r="P11" s="2244"/>
      <c r="Q11" s="2244"/>
      <c r="R11" s="2244"/>
    </row>
    <row r="12" spans="1:30">
      <c r="A12" s="2215" t="s">
        <v>2179</v>
      </c>
      <c r="B12" s="315" t="s">
        <v>2180</v>
      </c>
      <c r="C12" s="2216" t="s">
        <v>2181</v>
      </c>
      <c r="D12" s="2216" t="s">
        <v>2182</v>
      </c>
      <c r="E12" s="2216" t="s">
        <v>2183</v>
      </c>
      <c r="F12" s="2216" t="s">
        <v>2184</v>
      </c>
      <c r="G12" s="2216" t="s">
        <v>2185</v>
      </c>
      <c r="H12" s="2216" t="s">
        <v>2186</v>
      </c>
      <c r="I12" s="2798" t="s">
        <v>2569</v>
      </c>
      <c r="J12" s="2800"/>
      <c r="K12" s="2397"/>
      <c r="L12" s="2397"/>
      <c r="M12" s="2244"/>
      <c r="N12" s="1669"/>
      <c r="O12" s="2244"/>
      <c r="P12" s="2244"/>
      <c r="Q12" s="2244"/>
      <c r="AD12" s="1617"/>
    </row>
    <row r="13" spans="1:30">
      <c r="A13" s="3119" t="s">
        <v>3325</v>
      </c>
      <c r="B13" s="2217" t="s">
        <v>2187</v>
      </c>
      <c r="C13" s="3166">
        <v>63414</v>
      </c>
      <c r="D13" s="802"/>
      <c r="E13" s="802"/>
      <c r="F13" s="802"/>
      <c r="G13" s="802"/>
      <c r="H13" s="802"/>
      <c r="I13" s="802"/>
      <c r="J13" s="2800"/>
      <c r="K13" s="2397"/>
      <c r="L13" s="2397"/>
      <c r="M13" s="2244"/>
      <c r="N13" s="1669"/>
      <c r="O13" s="2244"/>
      <c r="P13" s="2244"/>
      <c r="Q13" s="2244"/>
      <c r="AD13" s="1617"/>
    </row>
    <row r="14" spans="1:30">
      <c r="A14" s="1017"/>
      <c r="B14" s="2217" t="s">
        <v>2188</v>
      </c>
      <c r="C14" s="2218">
        <v>70</v>
      </c>
      <c r="D14" s="2218"/>
      <c r="E14" s="2218"/>
      <c r="F14" s="2218"/>
      <c r="G14" s="2218"/>
      <c r="H14" s="2218"/>
      <c r="I14" s="2218"/>
      <c r="J14" s="2801"/>
      <c r="K14" s="2397"/>
      <c r="L14" s="2397"/>
      <c r="M14" s="2244"/>
      <c r="N14" s="1669"/>
      <c r="O14" s="2244"/>
      <c r="P14" s="2244"/>
      <c r="Q14" s="2244"/>
      <c r="AD14" s="1617"/>
    </row>
    <row r="15" spans="1:30">
      <c r="A15" s="312"/>
      <c r="B15" s="2219" t="s">
        <v>2189</v>
      </c>
      <c r="C15" s="2220">
        <f>IF(A13="出让",IF(C13="","",ROUNDDOWN(MIN((C13-$D$3)/365,C14),2)),C14)</f>
        <v>48.18</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69"/>
      <c r="L15" s="1669"/>
      <c r="M15" s="2244"/>
      <c r="N15" s="1669"/>
      <c r="O15" s="2244"/>
      <c r="P15" s="2244"/>
      <c r="Q15" s="2244"/>
      <c r="AD15" s="1617"/>
    </row>
    <row r="16" spans="1:30">
      <c r="A16" s="2210" t="s">
        <v>2190</v>
      </c>
      <c r="B16" s="3264"/>
      <c r="C16" s="3265"/>
      <c r="D16" s="3266"/>
      <c r="E16" s="2221" t="s">
        <v>2191</v>
      </c>
      <c r="F16" s="3267"/>
      <c r="G16" s="3268"/>
      <c r="H16" s="3268"/>
      <c r="I16" s="3269"/>
      <c r="J16" s="2244"/>
      <c r="K16" s="2401"/>
      <c r="L16" s="1669"/>
      <c r="M16" s="1669"/>
      <c r="N16" s="2244"/>
      <c r="O16" s="1669"/>
      <c r="P16" s="2244"/>
      <c r="Q16" s="2244"/>
      <c r="R16" s="2244"/>
    </row>
    <row r="17" spans="1:28">
      <c r="A17" s="305" t="s">
        <v>2192</v>
      </c>
      <c r="B17" s="294" t="s">
        <v>2193</v>
      </c>
      <c r="C17" s="8">
        <f>'数据-汇总表'!E3</f>
        <v>182.59</v>
      </c>
      <c r="D17" s="1255" t="s">
        <v>2194</v>
      </c>
      <c r="E17" s="3270" t="s">
        <v>2195</v>
      </c>
      <c r="F17" s="3271"/>
      <c r="G17" s="3271"/>
      <c r="H17" s="3271"/>
      <c r="I17" s="3272"/>
      <c r="J17" s="2244"/>
      <c r="K17" s="2402"/>
      <c r="L17" s="1669"/>
      <c r="M17" s="1669"/>
      <c r="N17" s="2244"/>
      <c r="O17" s="1669"/>
      <c r="P17" s="2244"/>
      <c r="Q17" s="2244"/>
      <c r="R17" s="2244"/>
      <c r="S17" s="2244"/>
      <c r="T17" s="2244"/>
      <c r="U17" s="2244"/>
      <c r="V17" s="2244"/>
    </row>
    <row r="18" spans="1:28" ht="24.6" thickBot="1">
      <c r="A18" s="2222" t="s">
        <v>2196</v>
      </c>
      <c r="B18" s="1026" t="s">
        <v>2197</v>
      </c>
      <c r="C18" s="2223">
        <f>'数据-汇总表'!D3</f>
        <v>0</v>
      </c>
      <c r="D18" s="1028" t="s">
        <v>2198</v>
      </c>
      <c r="E18" s="3273" t="s">
        <v>2199</v>
      </c>
      <c r="F18" s="3274"/>
      <c r="G18" s="3274"/>
      <c r="H18" s="3274"/>
      <c r="I18" s="3275"/>
      <c r="J18" s="2244"/>
      <c r="K18" s="2402"/>
      <c r="L18" s="1669"/>
      <c r="M18" s="1669"/>
      <c r="N18" s="2244"/>
      <c r="O18" s="1669"/>
      <c r="P18" s="2244"/>
      <c r="Q18" s="2244"/>
      <c r="R18" s="2244"/>
      <c r="S18" s="2244"/>
      <c r="T18" s="2244"/>
      <c r="U18" s="2244"/>
      <c r="V18" s="2244"/>
    </row>
    <row r="19" spans="1:28" ht="37.200000000000003" thickTop="1" thickBot="1">
      <c r="A19" s="319" t="s">
        <v>1055</v>
      </c>
      <c r="B19" s="299" t="s">
        <v>2200</v>
      </c>
      <c r="C19" s="1454"/>
      <c r="D19" s="1455" t="s">
        <v>2201</v>
      </c>
      <c r="E19" s="1456"/>
      <c r="F19" s="1457" t="str">
        <f>IF(AND(C19="是",E19="否"),"是否提供他项权证或相关说明","")</f>
        <v/>
      </c>
      <c r="G19" s="1458"/>
      <c r="H19" s="2440"/>
      <c r="I19" s="2440"/>
      <c r="J19" s="2244"/>
      <c r="K19" s="2400"/>
      <c r="L19" s="2397"/>
      <c r="M19" s="2397"/>
      <c r="N19" s="2244"/>
      <c r="O19" s="1669"/>
      <c r="P19" s="2244"/>
      <c r="Q19" s="2244"/>
      <c r="R19" s="2244"/>
      <c r="S19" s="2244"/>
      <c r="T19" s="2244"/>
      <c r="U19" s="2244"/>
      <c r="V19" s="2244"/>
    </row>
    <row r="20" spans="1:28">
      <c r="A20" s="2415" t="s">
        <v>2202</v>
      </c>
      <c r="B20" s="3260" t="s">
        <v>2203</v>
      </c>
      <c r="C20" s="3261"/>
      <c r="D20" s="3262" t="s">
        <v>2204</v>
      </c>
      <c r="E20" s="3263"/>
      <c r="F20" s="2428" t="s">
        <v>1056</v>
      </c>
      <c r="G20" s="2440"/>
      <c r="H20" s="2440"/>
      <c r="I20" s="2440"/>
      <c r="J20" s="2244"/>
      <c r="K20" s="3259"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2206</v>
      </c>
      <c r="C21" s="2294" t="s">
        <v>1057</v>
      </c>
      <c r="D21" s="1459" t="s">
        <v>2207</v>
      </c>
      <c r="E21" s="2417" t="s">
        <v>1057</v>
      </c>
      <c r="F21" s="2429"/>
      <c r="G21" s="2440"/>
      <c r="H21" s="2440"/>
      <c r="I21" s="2440"/>
      <c r="J21" s="2244"/>
      <c r="K21" s="325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2208</v>
      </c>
      <c r="C22" s="2294" t="s">
        <v>1058</v>
      </c>
      <c r="D22" s="2440"/>
      <c r="E22" s="2440"/>
      <c r="F22" s="2440"/>
      <c r="G22" s="2440"/>
      <c r="H22" s="2440"/>
      <c r="I22" s="2440"/>
      <c r="J22" s="2244"/>
      <c r="K22" s="325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2209</v>
      </c>
      <c r="B23" s="2291" t="s">
        <v>2210</v>
      </c>
      <c r="C23" s="2420"/>
      <c r="D23" s="2421" t="s">
        <v>2210</v>
      </c>
      <c r="E23" s="2422"/>
      <c r="F23" s="2440"/>
      <c r="G23" s="2440"/>
      <c r="H23" s="2440"/>
      <c r="I23" s="2440"/>
      <c r="J23" s="2244"/>
      <c r="K23" s="2399"/>
      <c r="L23" s="121"/>
      <c r="M23" s="2397"/>
      <c r="N23" s="2244"/>
      <c r="O23" s="1669"/>
      <c r="P23" s="2244"/>
      <c r="Q23" s="2244"/>
      <c r="R23" s="2244"/>
      <c r="S23" s="2244"/>
      <c r="T23" s="2244"/>
      <c r="U23" s="2244"/>
      <c r="V23" s="2244"/>
    </row>
    <row r="24" spans="1:28">
      <c r="A24" s="2419"/>
      <c r="B24" s="2291" t="s">
        <v>1059</v>
      </c>
      <c r="C24" s="2269"/>
      <c r="D24" s="2419" t="s">
        <v>1059</v>
      </c>
      <c r="E24" s="2423"/>
      <c r="F24" s="2440"/>
      <c r="G24" s="2440"/>
      <c r="H24" s="2440"/>
      <c r="I24" s="2440"/>
      <c r="J24" s="2244"/>
      <c r="K24" s="2399"/>
      <c r="L24" s="121"/>
      <c r="M24" s="2397"/>
      <c r="N24" s="2244"/>
      <c r="O24" s="1669"/>
      <c r="P24" s="2244"/>
      <c r="Q24" s="2244"/>
      <c r="R24" s="2244"/>
      <c r="S24" s="2244"/>
      <c r="T24" s="2244"/>
      <c r="U24" s="2244"/>
      <c r="V24" s="2244"/>
    </row>
    <row r="25" spans="1:28">
      <c r="A25" s="2419"/>
      <c r="B25" s="2291" t="s">
        <v>1060</v>
      </c>
      <c r="C25" s="2269"/>
      <c r="D25" s="2419" t="s">
        <v>1060</v>
      </c>
      <c r="E25" s="2423"/>
      <c r="F25" s="2440"/>
      <c r="G25" s="2440"/>
      <c r="H25" s="2440"/>
      <c r="I25" s="2440"/>
      <c r="J25" s="2244"/>
      <c r="K25" s="2400"/>
      <c r="L25" s="2397"/>
      <c r="M25" s="2397"/>
      <c r="N25" s="2244"/>
      <c r="O25" s="1669"/>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69"/>
      <c r="P26" s="2244"/>
      <c r="Q26" s="2244"/>
      <c r="R26" s="2244"/>
      <c r="S26" s="2244"/>
      <c r="T26" s="2244"/>
      <c r="U26" s="2244"/>
      <c r="V26" s="2244"/>
    </row>
    <row r="27" spans="1:28" ht="13.8" thickTop="1">
      <c r="A27" s="3277" t="s">
        <v>2211</v>
      </c>
      <c r="B27" s="312" t="s">
        <v>2212</v>
      </c>
      <c r="C27" s="2224"/>
      <c r="D27" s="2225"/>
      <c r="E27" s="2440"/>
      <c r="F27" s="2440"/>
      <c r="G27" s="2440"/>
      <c r="H27" s="2440"/>
      <c r="I27" s="2440"/>
      <c r="J27" s="2244"/>
      <c r="K27" s="2401"/>
      <c r="L27" s="1669"/>
      <c r="M27" s="1669"/>
      <c r="N27" s="2244"/>
      <c r="O27" s="1669"/>
      <c r="P27" s="2244"/>
      <c r="Q27" s="2244"/>
      <c r="R27" s="2244"/>
      <c r="S27" s="2244"/>
      <c r="T27" s="2244"/>
      <c r="U27" s="2244"/>
      <c r="V27" s="2244"/>
    </row>
    <row r="28" spans="1:28">
      <c r="A28" s="3277"/>
      <c r="B28" s="294" t="s">
        <v>2213</v>
      </c>
      <c r="C28" s="2226"/>
      <c r="D28" s="2227"/>
      <c r="E28" s="2440"/>
      <c r="F28" s="2440"/>
      <c r="G28" s="2440"/>
      <c r="H28" s="2440"/>
      <c r="I28" s="2440"/>
      <c r="J28" s="2244"/>
      <c r="K28" s="2400"/>
      <c r="L28" s="2397"/>
      <c r="M28" s="2397"/>
      <c r="N28" s="2244"/>
      <c r="O28" s="1669"/>
      <c r="P28" s="2244"/>
      <c r="Q28" s="2244"/>
      <c r="R28" s="2244"/>
      <c r="S28" s="2244"/>
      <c r="T28" s="2244"/>
      <c r="U28" s="2244"/>
      <c r="V28" s="2244"/>
    </row>
    <row r="29" spans="1:28">
      <c r="A29" s="3277"/>
      <c r="B29" s="294" t="s">
        <v>2214</v>
      </c>
      <c r="C29" s="2228"/>
      <c r="D29" s="2229"/>
      <c r="E29" s="2440"/>
      <c r="F29" s="2440"/>
      <c r="G29" s="2440"/>
      <c r="H29" s="2440"/>
      <c r="I29" s="2440"/>
      <c r="J29" s="2244"/>
      <c r="K29" s="2400"/>
      <c r="L29" s="2397"/>
      <c r="M29" s="2397"/>
      <c r="N29" s="2244"/>
      <c r="O29" s="1669"/>
      <c r="P29" s="2244"/>
      <c r="Q29" s="2244"/>
      <c r="R29" s="2244"/>
      <c r="S29" s="2244"/>
      <c r="T29" s="2244"/>
      <c r="U29" s="2244"/>
      <c r="V29" s="2244"/>
    </row>
    <row r="30" spans="1:28">
      <c r="A30" s="3278"/>
      <c r="B30" s="294" t="s">
        <v>2215</v>
      </c>
      <c r="C30" s="3279"/>
      <c r="D30" s="3280"/>
      <c r="E30" s="2440"/>
      <c r="F30" s="2440"/>
      <c r="G30" s="2440"/>
      <c r="H30" s="2440"/>
      <c r="I30" s="2440"/>
      <c r="J30" s="2244"/>
      <c r="K30" s="2400"/>
      <c r="L30" s="2397"/>
      <c r="M30" s="2397"/>
      <c r="N30" s="2244"/>
      <c r="O30" s="1669"/>
      <c r="P30" s="2244"/>
      <c r="Q30" s="2244"/>
      <c r="R30" s="2244"/>
      <c r="S30" s="2244"/>
      <c r="T30" s="2244"/>
      <c r="U30" s="2244"/>
      <c r="V30" s="2244"/>
    </row>
    <row r="31" spans="1:28">
      <c r="A31" s="3281" t="s">
        <v>2216</v>
      </c>
      <c r="B31" s="2230"/>
      <c r="C31" s="12" t="str">
        <f>IF(B31="现房","成新及维护状况正常否",IF(B31="在建","工程状态是否正常",IF(B31="土地","是否闲置","-")))</f>
        <v>-</v>
      </c>
      <c r="D31" s="1280"/>
      <c r="E31" s="2231"/>
      <c r="F31" s="2440"/>
      <c r="G31" s="2440"/>
      <c r="H31" s="2440"/>
      <c r="I31" s="2440"/>
      <c r="J31" s="2244"/>
      <c r="K31" s="2399"/>
      <c r="L31" s="2397"/>
      <c r="M31" s="2397"/>
      <c r="N31" s="2244"/>
      <c r="O31" s="1669"/>
      <c r="P31" s="2244"/>
      <c r="Q31" s="2244"/>
      <c r="R31" s="2244"/>
      <c r="S31" s="2244"/>
      <c r="T31" s="2244"/>
      <c r="U31" s="2244"/>
      <c r="V31" s="2244"/>
    </row>
    <row r="32" spans="1:28">
      <c r="A32" s="3282"/>
      <c r="B32" s="2230"/>
      <c r="C32" s="12" t="str">
        <f>IF(B32="现房","成新及维护状况是否正常",IF(B32="在建","工程状态是否正常",IF(B32="土地","是否闲置","-")))</f>
        <v>-</v>
      </c>
      <c r="D32" s="1280"/>
      <c r="E32" s="2231"/>
      <c r="F32" s="2440"/>
      <c r="G32" s="2440"/>
      <c r="H32" s="2440"/>
      <c r="I32" s="2440"/>
      <c r="J32" s="2244"/>
      <c r="K32" s="2400"/>
      <c r="L32" s="2397"/>
      <c r="M32" s="2397"/>
      <c r="N32" s="2244"/>
      <c r="O32" s="1669"/>
      <c r="P32" s="2244"/>
      <c r="Q32" s="2244"/>
      <c r="R32" s="2244"/>
      <c r="S32" s="2244"/>
      <c r="T32" s="2244"/>
      <c r="U32" s="2244"/>
      <c r="V32" s="2244"/>
    </row>
    <row r="33" spans="1:30">
      <c r="A33" s="3282"/>
      <c r="B33" s="2233"/>
      <c r="C33" s="1477" t="str">
        <f>IF(B33="现房","成新及维护状况是否正常",IF(B33="在建","工程状态是否正常",IF(B33="土地","是否闲置","-")))</f>
        <v>-</v>
      </c>
      <c r="D33" s="1273"/>
      <c r="E33" s="2234"/>
      <c r="F33" s="2440"/>
      <c r="G33" s="2440"/>
      <c r="H33" s="2440"/>
      <c r="I33" s="2440"/>
      <c r="J33" s="2244"/>
      <c r="K33" s="2400"/>
      <c r="L33" s="2397"/>
      <c r="M33" s="2397"/>
      <c r="N33" s="2244"/>
      <c r="O33" s="1669"/>
      <c r="P33" s="2244"/>
      <c r="Q33" s="2244"/>
      <c r="R33" s="2244"/>
      <c r="S33" s="2244"/>
      <c r="T33" s="2244"/>
      <c r="U33" s="2244"/>
      <c r="V33" s="2244"/>
    </row>
    <row r="34" spans="1:30">
      <c r="A34" s="294" t="s">
        <v>2217</v>
      </c>
      <c r="B34" s="1869"/>
      <c r="C34" s="1869"/>
      <c r="D34" s="1869"/>
      <c r="E34" s="1869"/>
      <c r="F34" s="1869"/>
      <c r="G34" s="1869"/>
      <c r="H34" s="1869"/>
      <c r="I34" s="2440"/>
      <c r="J34" s="2244"/>
      <c r="K34" s="8">
        <f>COUNTIF(B34:H34,"——")</f>
        <v>0</v>
      </c>
      <c r="L34" s="315" t="s">
        <v>2218</v>
      </c>
      <c r="M34" s="315" t="s">
        <v>2219</v>
      </c>
      <c r="N34" s="315" t="s">
        <v>2220</v>
      </c>
      <c r="O34" s="315" t="s">
        <v>2221</v>
      </c>
      <c r="P34" s="315" t="s">
        <v>2222</v>
      </c>
      <c r="Q34" s="315" t="s">
        <v>2223</v>
      </c>
      <c r="R34" s="315" t="s">
        <v>2224</v>
      </c>
      <c r="S34" s="3276" t="s">
        <v>2225</v>
      </c>
      <c r="T34" s="315" t="str">
        <f>NUMBERSTRING(7-K34,1)&amp;"通"</f>
        <v>七通</v>
      </c>
      <c r="U34" s="2244"/>
      <c r="V34" s="2244"/>
    </row>
    <row r="35" spans="1:30">
      <c r="A35" s="2235"/>
      <c r="B35" s="3276" t="s">
        <v>2226</v>
      </c>
      <c r="C35" s="3276"/>
      <c r="D35" s="3276"/>
      <c r="E35" s="3276"/>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6"/>
      <c r="T35" s="138" t="str">
        <f>IF(T34="一通",L35,IF(T34="二通",M35,IF(T34="三通",N35,IF(T34="四通",O35,IF(T34="五通",P35,IF(T34="六通",Q35,R35))))))</f>
        <v>、、、、、、</v>
      </c>
      <c r="U35" s="2244"/>
      <c r="V35" s="2244"/>
    </row>
    <row r="36" spans="1:30">
      <c r="A36" s="2182"/>
      <c r="B36" s="8" t="s">
        <v>2182</v>
      </c>
      <c r="C36" s="8" t="s">
        <v>2183</v>
      </c>
      <c r="D36" s="8" t="s">
        <v>2181</v>
      </c>
      <c r="E36" s="8" t="s">
        <v>2186</v>
      </c>
      <c r="F36" s="2798" t="s">
        <v>2572</v>
      </c>
      <c r="G36" s="2440"/>
      <c r="H36" s="2440"/>
      <c r="I36" s="2440"/>
      <c r="J36" s="2244"/>
      <c r="K36" s="2400"/>
      <c r="L36" s="2397"/>
      <c r="M36" s="2397"/>
      <c r="N36" s="2244"/>
      <c r="O36" s="1669"/>
      <c r="P36" s="2244"/>
      <c r="Q36" s="2244"/>
      <c r="R36" s="2244"/>
      <c r="S36" s="2244"/>
      <c r="T36" s="2244"/>
      <c r="U36" s="2244"/>
      <c r="V36" s="2244"/>
    </row>
    <row r="37" spans="1:30">
      <c r="A37" s="2413" t="s">
        <v>2227</v>
      </c>
      <c r="B37" s="2236"/>
      <c r="C37" s="2236"/>
      <c r="D37" s="3167" t="s">
        <v>184</v>
      </c>
      <c r="E37" s="2236"/>
      <c r="F37" s="2236"/>
      <c r="G37" s="2440"/>
      <c r="H37" s="2440"/>
      <c r="I37" s="2440"/>
      <c r="J37" s="2244"/>
      <c r="K37" s="2400"/>
      <c r="L37" s="2397"/>
      <c r="M37" s="2397"/>
      <c r="N37" s="2244"/>
      <c r="O37" s="1669"/>
      <c r="P37" s="2244"/>
      <c r="Q37" s="2244"/>
      <c r="R37" s="2244"/>
      <c r="S37" s="2244"/>
      <c r="T37" s="2244"/>
      <c r="U37" s="2244"/>
      <c r="V37" s="2244"/>
    </row>
    <row r="38" spans="1:30" ht="13.8" thickBot="1">
      <c r="A38" s="2414" t="s">
        <v>2228</v>
      </c>
      <c r="B38" s="2237"/>
      <c r="C38" s="2237"/>
      <c r="D38" s="3168" t="s">
        <v>251</v>
      </c>
      <c r="E38" s="2237"/>
      <c r="F38" s="2237"/>
      <c r="G38" s="2441"/>
      <c r="H38" s="2441"/>
      <c r="I38" s="2441"/>
      <c r="J38" s="2244"/>
      <c r="K38" s="2400"/>
      <c r="L38" s="2397"/>
      <c r="M38" s="2397"/>
      <c r="N38" s="2244"/>
      <c r="O38" s="1669"/>
      <c r="P38" s="2244"/>
      <c r="Q38" s="2244"/>
      <c r="R38" s="2244"/>
      <c r="S38" s="2244"/>
      <c r="T38" s="2244"/>
      <c r="U38" s="2244"/>
      <c r="V38" s="2244"/>
    </row>
    <row r="39" spans="1:30" s="2240" customFormat="1" ht="14.4" thickTop="1" thickBot="1">
      <c r="A39" s="2238" t="s">
        <v>2229</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4"/>
      <c r="K40" s="2399"/>
      <c r="L40" s="1669"/>
      <c r="M40" s="1669"/>
      <c r="N40" s="2244"/>
      <c r="O40" s="1669"/>
      <c r="P40" s="2244"/>
      <c r="Q40" s="2244"/>
      <c r="R40" s="2244"/>
      <c r="S40" s="2244"/>
      <c r="T40" s="2244"/>
      <c r="U40" s="2244"/>
      <c r="V40" s="2244"/>
    </row>
    <row r="41" spans="1:30">
      <c r="A41" s="2241" t="s">
        <v>2230</v>
      </c>
      <c r="B41" s="1626"/>
      <c r="C41" s="1280"/>
      <c r="D41" s="2181"/>
      <c r="E41" s="2181"/>
      <c r="F41" s="2181"/>
      <c r="G41" s="2181"/>
      <c r="H41" s="2181"/>
      <c r="I41" s="1465"/>
      <c r="J41" s="2244"/>
      <c r="K41" s="2400"/>
      <c r="L41" s="2397"/>
      <c r="M41" s="2397"/>
      <c r="N41" s="2244"/>
      <c r="O41" s="1669"/>
      <c r="P41" s="2244"/>
      <c r="Q41" s="2244"/>
      <c r="R41" s="2244"/>
      <c r="S41" s="2244"/>
      <c r="T41" s="2244"/>
      <c r="U41" s="2244"/>
      <c r="V41" s="2244"/>
    </row>
    <row r="42" spans="1:30" ht="25.2">
      <c r="A42" s="315" t="s">
        <v>2231</v>
      </c>
      <c r="B42" s="8" t="s">
        <v>2232</v>
      </c>
      <c r="C42" s="8" t="s">
        <v>2233</v>
      </c>
      <c r="D42" s="8" t="s">
        <v>2234</v>
      </c>
      <c r="E42" s="8" t="s">
        <v>2235</v>
      </c>
      <c r="F42" s="8" t="s">
        <v>2236</v>
      </c>
      <c r="G42" s="8" t="s">
        <v>2237</v>
      </c>
      <c r="H42" s="8" t="s">
        <v>2238</v>
      </c>
      <c r="I42" s="8" t="s">
        <v>2239</v>
      </c>
      <c r="J42" s="2409" t="s">
        <v>2240</v>
      </c>
      <c r="K42" s="2410" t="s">
        <v>2241</v>
      </c>
      <c r="L42" s="2410" t="s">
        <v>2242</v>
      </c>
      <c r="M42" s="2410" t="s">
        <v>2243</v>
      </c>
      <c r="N42" s="2403" t="s">
        <v>2244</v>
      </c>
      <c r="O42" s="2403" t="s">
        <v>2245</v>
      </c>
      <c r="P42" s="2403" t="s">
        <v>2246</v>
      </c>
      <c r="Q42" s="2404" t="s">
        <v>2247</v>
      </c>
      <c r="R42" s="2404" t="s">
        <v>2248</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8AAFA-114F-4C68-8537-0A8D609F9B9F}">
  <dimension ref="A1:M31"/>
  <sheetViews>
    <sheetView topLeftCell="A4" workbookViewId="0">
      <selection activeCell="D2" sqref="D2"/>
    </sheetView>
  </sheetViews>
  <sheetFormatPr defaultColWidth="10" defaultRowHeight="14.4"/>
  <cols>
    <col min="2" max="2" width="33.21875" customWidth="1"/>
    <col min="5" max="5" width="14.6640625" customWidth="1"/>
    <col min="6" max="6" width="12" customWidth="1"/>
    <col min="7" max="7" width="14.6640625" hidden="1" customWidth="1"/>
    <col min="8" max="8" width="11.77734375" customWidth="1"/>
    <col min="257" max="257" width="33.21875" customWidth="1"/>
    <col min="260" max="260" width="14.6640625" customWidth="1"/>
    <col min="262" max="262" width="14.6640625" customWidth="1"/>
    <col min="513" max="513" width="33.21875" customWidth="1"/>
    <col min="516" max="516" width="14.6640625" customWidth="1"/>
    <col min="518" max="518" width="14.6640625" customWidth="1"/>
    <col min="769" max="769" width="33.21875" customWidth="1"/>
    <col min="772" max="772" width="14.6640625" customWidth="1"/>
    <col min="774" max="774" width="14.6640625" customWidth="1"/>
    <col min="1025" max="1025" width="33.21875" customWidth="1"/>
    <col min="1028" max="1028" width="14.6640625" customWidth="1"/>
    <col min="1030" max="1030" width="14.6640625" customWidth="1"/>
    <col min="1281" max="1281" width="33.21875" customWidth="1"/>
    <col min="1284" max="1284" width="14.6640625" customWidth="1"/>
    <col min="1286" max="1286" width="14.6640625" customWidth="1"/>
    <col min="1537" max="1537" width="33.21875" customWidth="1"/>
    <col min="1540" max="1540" width="14.6640625" customWidth="1"/>
    <col min="1542" max="1542" width="14.6640625" customWidth="1"/>
    <col min="1793" max="1793" width="33.21875" customWidth="1"/>
    <col min="1796" max="1796" width="14.6640625" customWidth="1"/>
    <col min="1798" max="1798" width="14.6640625" customWidth="1"/>
    <col min="2049" max="2049" width="33.21875" customWidth="1"/>
    <col min="2052" max="2052" width="14.6640625" customWidth="1"/>
    <col min="2054" max="2054" width="14.6640625" customWidth="1"/>
    <col min="2305" max="2305" width="33.21875" customWidth="1"/>
    <col min="2308" max="2308" width="14.6640625" customWidth="1"/>
    <col min="2310" max="2310" width="14.6640625" customWidth="1"/>
    <col min="2561" max="2561" width="33.21875" customWidth="1"/>
    <col min="2564" max="2564" width="14.6640625" customWidth="1"/>
    <col min="2566" max="2566" width="14.6640625" customWidth="1"/>
    <col min="2817" max="2817" width="33.21875" customWidth="1"/>
    <col min="2820" max="2820" width="14.6640625" customWidth="1"/>
    <col min="2822" max="2822" width="14.6640625" customWidth="1"/>
    <col min="3073" max="3073" width="33.21875" customWidth="1"/>
    <col min="3076" max="3076" width="14.6640625" customWidth="1"/>
    <col min="3078" max="3078" width="14.6640625" customWidth="1"/>
    <col min="3329" max="3329" width="33.21875" customWidth="1"/>
    <col min="3332" max="3332" width="14.6640625" customWidth="1"/>
    <col min="3334" max="3334" width="14.6640625" customWidth="1"/>
    <col min="3585" max="3585" width="33.21875" customWidth="1"/>
    <col min="3588" max="3588" width="14.6640625" customWidth="1"/>
    <col min="3590" max="3590" width="14.6640625" customWidth="1"/>
    <col min="3841" max="3841" width="33.21875" customWidth="1"/>
    <col min="3844" max="3844" width="14.6640625" customWidth="1"/>
    <col min="3846" max="3846" width="14.6640625" customWidth="1"/>
    <col min="4097" max="4097" width="33.21875" customWidth="1"/>
    <col min="4100" max="4100" width="14.6640625" customWidth="1"/>
    <col min="4102" max="4102" width="14.6640625" customWidth="1"/>
    <col min="4353" max="4353" width="33.21875" customWidth="1"/>
    <col min="4356" max="4356" width="14.6640625" customWidth="1"/>
    <col min="4358" max="4358" width="14.6640625" customWidth="1"/>
    <col min="4609" max="4609" width="33.21875" customWidth="1"/>
    <col min="4612" max="4612" width="14.6640625" customWidth="1"/>
    <col min="4614" max="4614" width="14.6640625" customWidth="1"/>
    <col min="4865" max="4865" width="33.21875" customWidth="1"/>
    <col min="4868" max="4868" width="14.6640625" customWidth="1"/>
    <col min="4870" max="4870" width="14.6640625" customWidth="1"/>
    <col min="5121" max="5121" width="33.21875" customWidth="1"/>
    <col min="5124" max="5124" width="14.6640625" customWidth="1"/>
    <col min="5126" max="5126" width="14.6640625" customWidth="1"/>
    <col min="5377" max="5377" width="33.21875" customWidth="1"/>
    <col min="5380" max="5380" width="14.6640625" customWidth="1"/>
    <col min="5382" max="5382" width="14.6640625" customWidth="1"/>
    <col min="5633" max="5633" width="33.21875" customWidth="1"/>
    <col min="5636" max="5636" width="14.6640625" customWidth="1"/>
    <col min="5638" max="5638" width="14.6640625" customWidth="1"/>
    <col min="5889" max="5889" width="33.21875" customWidth="1"/>
    <col min="5892" max="5892" width="14.6640625" customWidth="1"/>
    <col min="5894" max="5894" width="14.6640625" customWidth="1"/>
    <col min="6145" max="6145" width="33.21875" customWidth="1"/>
    <col min="6148" max="6148" width="14.6640625" customWidth="1"/>
    <col min="6150" max="6150" width="14.6640625" customWidth="1"/>
    <col min="6401" max="6401" width="33.21875" customWidth="1"/>
    <col min="6404" max="6404" width="14.6640625" customWidth="1"/>
    <col min="6406" max="6406" width="14.6640625" customWidth="1"/>
    <col min="6657" max="6657" width="33.21875" customWidth="1"/>
    <col min="6660" max="6660" width="14.6640625" customWidth="1"/>
    <col min="6662" max="6662" width="14.6640625" customWidth="1"/>
    <col min="6913" max="6913" width="33.21875" customWidth="1"/>
    <col min="6916" max="6916" width="14.6640625" customWidth="1"/>
    <col min="6918" max="6918" width="14.6640625" customWidth="1"/>
    <col min="7169" max="7169" width="33.21875" customWidth="1"/>
    <col min="7172" max="7172" width="14.6640625" customWidth="1"/>
    <col min="7174" max="7174" width="14.6640625" customWidth="1"/>
    <col min="7425" max="7425" width="33.21875" customWidth="1"/>
    <col min="7428" max="7428" width="14.6640625" customWidth="1"/>
    <col min="7430" max="7430" width="14.6640625" customWidth="1"/>
    <col min="7681" max="7681" width="33.21875" customWidth="1"/>
    <col min="7684" max="7684" width="14.6640625" customWidth="1"/>
    <col min="7686" max="7686" width="14.6640625" customWidth="1"/>
    <col min="7937" max="7937" width="33.21875" customWidth="1"/>
    <col min="7940" max="7940" width="14.6640625" customWidth="1"/>
    <col min="7942" max="7942" width="14.6640625" customWidth="1"/>
    <col min="8193" max="8193" width="33.21875" customWidth="1"/>
    <col min="8196" max="8196" width="14.6640625" customWidth="1"/>
    <col min="8198" max="8198" width="14.6640625" customWidth="1"/>
    <col min="8449" max="8449" width="33.21875" customWidth="1"/>
    <col min="8452" max="8452" width="14.6640625" customWidth="1"/>
    <col min="8454" max="8454" width="14.6640625" customWidth="1"/>
    <col min="8705" max="8705" width="33.21875" customWidth="1"/>
    <col min="8708" max="8708" width="14.6640625" customWidth="1"/>
    <col min="8710" max="8710" width="14.6640625" customWidth="1"/>
    <col min="8961" max="8961" width="33.21875" customWidth="1"/>
    <col min="8964" max="8964" width="14.6640625" customWidth="1"/>
    <col min="8966" max="8966" width="14.6640625" customWidth="1"/>
    <col min="9217" max="9217" width="33.21875" customWidth="1"/>
    <col min="9220" max="9220" width="14.6640625" customWidth="1"/>
    <col min="9222" max="9222" width="14.6640625" customWidth="1"/>
    <col min="9473" max="9473" width="33.21875" customWidth="1"/>
    <col min="9476" max="9476" width="14.6640625" customWidth="1"/>
    <col min="9478" max="9478" width="14.6640625" customWidth="1"/>
    <col min="9729" max="9729" width="33.21875" customWidth="1"/>
    <col min="9732" max="9732" width="14.6640625" customWidth="1"/>
    <col min="9734" max="9734" width="14.6640625" customWidth="1"/>
    <col min="9985" max="9985" width="33.21875" customWidth="1"/>
    <col min="9988" max="9988" width="14.6640625" customWidth="1"/>
    <col min="9990" max="9990" width="14.6640625" customWidth="1"/>
    <col min="10241" max="10241" width="33.21875" customWidth="1"/>
    <col min="10244" max="10244" width="14.6640625" customWidth="1"/>
    <col min="10246" max="10246" width="14.6640625" customWidth="1"/>
    <col min="10497" max="10497" width="33.21875" customWidth="1"/>
    <col min="10500" max="10500" width="14.6640625" customWidth="1"/>
    <col min="10502" max="10502" width="14.6640625" customWidth="1"/>
    <col min="10753" max="10753" width="33.21875" customWidth="1"/>
    <col min="10756" max="10756" width="14.6640625" customWidth="1"/>
    <col min="10758" max="10758" width="14.6640625" customWidth="1"/>
    <col min="11009" max="11009" width="33.21875" customWidth="1"/>
    <col min="11012" max="11012" width="14.6640625" customWidth="1"/>
    <col min="11014" max="11014" width="14.6640625" customWidth="1"/>
    <col min="11265" max="11265" width="33.21875" customWidth="1"/>
    <col min="11268" max="11268" width="14.6640625" customWidth="1"/>
    <col min="11270" max="11270" width="14.6640625" customWidth="1"/>
    <col min="11521" max="11521" width="33.21875" customWidth="1"/>
    <col min="11524" max="11524" width="14.6640625" customWidth="1"/>
    <col min="11526" max="11526" width="14.6640625" customWidth="1"/>
    <col min="11777" max="11777" width="33.21875" customWidth="1"/>
    <col min="11780" max="11780" width="14.6640625" customWidth="1"/>
    <col min="11782" max="11782" width="14.6640625" customWidth="1"/>
    <col min="12033" max="12033" width="33.21875" customWidth="1"/>
    <col min="12036" max="12036" width="14.6640625" customWidth="1"/>
    <col min="12038" max="12038" width="14.6640625" customWidth="1"/>
    <col min="12289" max="12289" width="33.21875" customWidth="1"/>
    <col min="12292" max="12292" width="14.6640625" customWidth="1"/>
    <col min="12294" max="12294" width="14.6640625" customWidth="1"/>
    <col min="12545" max="12545" width="33.21875" customWidth="1"/>
    <col min="12548" max="12548" width="14.6640625" customWidth="1"/>
    <col min="12550" max="12550" width="14.6640625" customWidth="1"/>
    <col min="12801" max="12801" width="33.21875" customWidth="1"/>
    <col min="12804" max="12804" width="14.6640625" customWidth="1"/>
    <col min="12806" max="12806" width="14.6640625" customWidth="1"/>
    <col min="13057" max="13057" width="33.21875" customWidth="1"/>
    <col min="13060" max="13060" width="14.6640625" customWidth="1"/>
    <col min="13062" max="13062" width="14.6640625" customWidth="1"/>
    <col min="13313" max="13313" width="33.21875" customWidth="1"/>
    <col min="13316" max="13316" width="14.6640625" customWidth="1"/>
    <col min="13318" max="13318" width="14.6640625" customWidth="1"/>
    <col min="13569" max="13569" width="33.21875" customWidth="1"/>
    <col min="13572" max="13572" width="14.6640625" customWidth="1"/>
    <col min="13574" max="13574" width="14.6640625" customWidth="1"/>
    <col min="13825" max="13825" width="33.21875" customWidth="1"/>
    <col min="13828" max="13828" width="14.6640625" customWidth="1"/>
    <col min="13830" max="13830" width="14.6640625" customWidth="1"/>
    <col min="14081" max="14081" width="33.21875" customWidth="1"/>
    <col min="14084" max="14084" width="14.6640625" customWidth="1"/>
    <col min="14086" max="14086" width="14.6640625" customWidth="1"/>
    <col min="14337" max="14337" width="33.21875" customWidth="1"/>
    <col min="14340" max="14340" width="14.6640625" customWidth="1"/>
    <col min="14342" max="14342" width="14.6640625" customWidth="1"/>
    <col min="14593" max="14593" width="33.21875" customWidth="1"/>
    <col min="14596" max="14596" width="14.6640625" customWidth="1"/>
    <col min="14598" max="14598" width="14.6640625" customWidth="1"/>
    <col min="14849" max="14849" width="33.21875" customWidth="1"/>
    <col min="14852" max="14852" width="14.6640625" customWidth="1"/>
    <col min="14854" max="14854" width="14.6640625" customWidth="1"/>
    <col min="15105" max="15105" width="33.21875" customWidth="1"/>
    <col min="15108" max="15108" width="14.6640625" customWidth="1"/>
    <col min="15110" max="15110" width="14.6640625" customWidth="1"/>
    <col min="15361" max="15361" width="33.21875" customWidth="1"/>
    <col min="15364" max="15364" width="14.6640625" customWidth="1"/>
    <col min="15366" max="15366" width="14.6640625" customWidth="1"/>
    <col min="15617" max="15617" width="33.21875" customWidth="1"/>
    <col min="15620" max="15620" width="14.6640625" customWidth="1"/>
    <col min="15622" max="15622" width="14.6640625" customWidth="1"/>
    <col min="15873" max="15873" width="33.21875" customWidth="1"/>
    <col min="15876" max="15876" width="14.6640625" customWidth="1"/>
    <col min="15878" max="15878" width="14.6640625" customWidth="1"/>
    <col min="16129" max="16129" width="33.21875" customWidth="1"/>
    <col min="16132" max="16132" width="14.6640625" customWidth="1"/>
    <col min="16134" max="16134" width="14.6640625" customWidth="1"/>
  </cols>
  <sheetData>
    <row r="1" spans="1:13">
      <c r="A1" s="3191" t="s">
        <v>4056</v>
      </c>
      <c r="B1" s="3191" t="s">
        <v>4057</v>
      </c>
      <c r="C1" s="3191" t="s">
        <v>4058</v>
      </c>
      <c r="D1" s="3191" t="s">
        <v>4059</v>
      </c>
      <c r="E1" s="3191" t="s">
        <v>4060</v>
      </c>
      <c r="F1" s="3192" t="s">
        <v>4061</v>
      </c>
      <c r="G1" s="3191" t="s">
        <v>4062</v>
      </c>
      <c r="H1" s="3192" t="s">
        <v>4021</v>
      </c>
    </row>
    <row r="2" spans="1:13">
      <c r="A2" s="3193">
        <v>1</v>
      </c>
      <c r="B2" s="3191" t="s">
        <v>4063</v>
      </c>
      <c r="C2" s="3193">
        <v>1</v>
      </c>
      <c r="D2" s="3211">
        <v>2703</v>
      </c>
      <c r="E2" s="3193">
        <v>182.59</v>
      </c>
      <c r="F2" s="3195" t="s">
        <v>3399</v>
      </c>
      <c r="G2" s="3194">
        <v>182.59</v>
      </c>
      <c r="H2" s="3195" t="s">
        <v>4065</v>
      </c>
    </row>
    <row r="3" spans="1:13">
      <c r="A3" s="3193">
        <v>2</v>
      </c>
      <c r="B3" s="3191" t="s">
        <v>4063</v>
      </c>
      <c r="C3" s="3193">
        <v>1</v>
      </c>
      <c r="D3" s="3211">
        <v>2803</v>
      </c>
      <c r="E3" s="3193">
        <v>182.59</v>
      </c>
      <c r="F3" s="3195" t="s">
        <v>3399</v>
      </c>
      <c r="G3" s="3194">
        <v>182.59</v>
      </c>
      <c r="H3" s="3195" t="s">
        <v>4065</v>
      </c>
    </row>
    <row r="4" spans="1:13">
      <c r="A4" s="3193">
        <v>3</v>
      </c>
      <c r="B4" s="3191" t="s">
        <v>4063</v>
      </c>
      <c r="C4" s="3193">
        <v>1</v>
      </c>
      <c r="D4" s="3211">
        <v>2901</v>
      </c>
      <c r="E4" s="3193">
        <v>123.43</v>
      </c>
      <c r="F4" s="3195" t="s">
        <v>3399</v>
      </c>
      <c r="G4" s="3194">
        <v>123.43</v>
      </c>
      <c r="H4" s="3195" t="s">
        <v>4065</v>
      </c>
    </row>
    <row r="5" spans="1:13">
      <c r="A5" s="3196">
        <v>4</v>
      </c>
      <c r="B5" s="3191" t="s">
        <v>4063</v>
      </c>
      <c r="C5" s="3196">
        <v>1</v>
      </c>
      <c r="D5" s="3211">
        <v>3201</v>
      </c>
      <c r="E5" s="3193">
        <v>212.16</v>
      </c>
      <c r="F5" s="3195" t="s">
        <v>3399</v>
      </c>
      <c r="G5" s="3194">
        <v>212.16</v>
      </c>
      <c r="H5" s="3195" t="s">
        <v>4065</v>
      </c>
    </row>
    <row r="6" spans="1:13">
      <c r="A6" s="3193">
        <v>5</v>
      </c>
      <c r="B6" s="3191" t="s">
        <v>4063</v>
      </c>
      <c r="C6" s="3196">
        <v>1</v>
      </c>
      <c r="D6" s="3211">
        <v>3202</v>
      </c>
      <c r="E6" s="3193">
        <v>299.51</v>
      </c>
      <c r="F6" s="3195" t="s">
        <v>3399</v>
      </c>
      <c r="G6" s="3194">
        <v>299.51</v>
      </c>
      <c r="H6" s="3195" t="s">
        <v>4066</v>
      </c>
    </row>
    <row r="7" spans="1:13">
      <c r="A7" s="3193">
        <v>6</v>
      </c>
      <c r="B7" s="3191" t="s">
        <v>4063</v>
      </c>
      <c r="C7" s="3196">
        <v>2</v>
      </c>
      <c r="D7" s="3211">
        <v>301</v>
      </c>
      <c r="E7" s="3193">
        <v>286.32</v>
      </c>
      <c r="F7" s="3195" t="s">
        <v>3399</v>
      </c>
      <c r="G7" s="3194">
        <v>286.32</v>
      </c>
      <c r="H7" s="3195" t="s">
        <v>4066</v>
      </c>
    </row>
    <row r="8" spans="1:13">
      <c r="A8" s="3193">
        <v>7</v>
      </c>
      <c r="B8" s="3191" t="s">
        <v>4063</v>
      </c>
      <c r="C8" s="3196">
        <v>2</v>
      </c>
      <c r="D8" s="3211">
        <v>404</v>
      </c>
      <c r="E8" s="3193">
        <v>123.43</v>
      </c>
      <c r="F8" s="3195" t="s">
        <v>3399</v>
      </c>
      <c r="G8" s="3194">
        <v>123.43</v>
      </c>
      <c r="H8" s="3195" t="s">
        <v>4065</v>
      </c>
    </row>
    <row r="9" spans="1:13" s="3156" customFormat="1">
      <c r="A9" s="3193">
        <v>8</v>
      </c>
      <c r="B9" s="3205" t="s">
        <v>4063</v>
      </c>
      <c r="C9" s="3204">
        <v>2</v>
      </c>
      <c r="D9" s="3211">
        <v>2002</v>
      </c>
      <c r="E9" s="3194">
        <v>182.59</v>
      </c>
      <c r="F9" s="3206" t="s">
        <v>3399</v>
      </c>
      <c r="G9" s="3194">
        <v>182.59</v>
      </c>
      <c r="H9" s="3206" t="s">
        <v>4083</v>
      </c>
    </row>
    <row r="10" spans="1:13">
      <c r="A10" s="3193">
        <v>9</v>
      </c>
      <c r="B10" s="3191" t="s">
        <v>4063</v>
      </c>
      <c r="C10" s="3196">
        <v>2</v>
      </c>
      <c r="D10" s="3211">
        <v>2004</v>
      </c>
      <c r="E10" s="3193">
        <v>123.43</v>
      </c>
      <c r="F10" s="3195" t="s">
        <v>3399</v>
      </c>
      <c r="G10" s="3194">
        <v>123.43</v>
      </c>
      <c r="H10" s="3195" t="s">
        <v>4065</v>
      </c>
      <c r="K10" s="1404" t="s">
        <v>4082</v>
      </c>
    </row>
    <row r="11" spans="1:13">
      <c r="A11" s="3196">
        <v>10</v>
      </c>
      <c r="B11" s="3191" t="s">
        <v>4063</v>
      </c>
      <c r="C11" s="3196">
        <v>2</v>
      </c>
      <c r="D11" s="3211">
        <v>2202</v>
      </c>
      <c r="E11" s="3193">
        <v>182.59</v>
      </c>
      <c r="F11" s="3195" t="s">
        <v>3399</v>
      </c>
      <c r="G11" s="3194">
        <v>182.59</v>
      </c>
      <c r="H11" s="3195" t="s">
        <v>4065</v>
      </c>
      <c r="K11" s="3208" t="s">
        <v>4073</v>
      </c>
      <c r="L11" s="3209">
        <v>123</v>
      </c>
      <c r="M11" s="3207" t="s">
        <v>4065</v>
      </c>
    </row>
    <row r="12" spans="1:13">
      <c r="A12" s="3193">
        <v>11</v>
      </c>
      <c r="B12" s="3191" t="s">
        <v>4063</v>
      </c>
      <c r="C12" s="3196">
        <v>2</v>
      </c>
      <c r="D12" s="3211">
        <v>2303</v>
      </c>
      <c r="E12" s="3193">
        <v>252.52</v>
      </c>
      <c r="F12" s="3195" t="s">
        <v>3399</v>
      </c>
      <c r="G12" s="3194">
        <v>252.52</v>
      </c>
      <c r="H12" s="3195" t="s">
        <v>4067</v>
      </c>
      <c r="K12" s="3208" t="s">
        <v>4074</v>
      </c>
      <c r="L12" s="3209">
        <v>253</v>
      </c>
      <c r="M12" s="3195" t="s">
        <v>4067</v>
      </c>
    </row>
    <row r="13" spans="1:13">
      <c r="A13" s="3193">
        <v>12</v>
      </c>
      <c r="B13" s="3191" t="s">
        <v>4063</v>
      </c>
      <c r="C13" s="3196">
        <v>2</v>
      </c>
      <c r="D13" s="3211">
        <v>2304</v>
      </c>
      <c r="E13" s="3193">
        <v>123.43</v>
      </c>
      <c r="F13" s="3195" t="s">
        <v>3399</v>
      </c>
      <c r="G13" s="3194">
        <v>123.43</v>
      </c>
      <c r="H13" s="3195" t="s">
        <v>4065</v>
      </c>
      <c r="K13" s="3208" t="s">
        <v>4075</v>
      </c>
      <c r="L13" s="3209">
        <v>183</v>
      </c>
      <c r="M13" s="3195" t="s">
        <v>4065</v>
      </c>
    </row>
    <row r="14" spans="1:13">
      <c r="A14" s="3193">
        <v>13</v>
      </c>
      <c r="B14" s="3191" t="s">
        <v>4063</v>
      </c>
      <c r="C14" s="3196">
        <v>2</v>
      </c>
      <c r="D14" s="3211">
        <v>2403</v>
      </c>
      <c r="E14" s="3193">
        <v>252.52</v>
      </c>
      <c r="F14" s="3195" t="s">
        <v>3399</v>
      </c>
      <c r="G14" s="3194">
        <v>252.52</v>
      </c>
      <c r="H14" s="3195" t="s">
        <v>4067</v>
      </c>
      <c r="K14" s="3208" t="s">
        <v>4076</v>
      </c>
      <c r="L14" s="3209">
        <v>288</v>
      </c>
      <c r="M14" s="3195" t="s">
        <v>4066</v>
      </c>
    </row>
    <row r="15" spans="1:13">
      <c r="A15" s="3193">
        <v>14</v>
      </c>
      <c r="B15" s="3191" t="s">
        <v>4063</v>
      </c>
      <c r="C15" s="3196">
        <v>2</v>
      </c>
      <c r="D15" s="3211">
        <v>2404</v>
      </c>
      <c r="E15" s="3193">
        <v>123.43</v>
      </c>
      <c r="F15" s="3195" t="s">
        <v>3399</v>
      </c>
      <c r="G15" s="3194">
        <v>123.43</v>
      </c>
      <c r="H15" s="3195" t="s">
        <v>4065</v>
      </c>
      <c r="K15" s="3208" t="s">
        <v>4077</v>
      </c>
      <c r="L15" s="3209">
        <v>463</v>
      </c>
      <c r="M15" s="3195" t="s">
        <v>4080</v>
      </c>
    </row>
    <row r="16" spans="1:13">
      <c r="A16" s="3193">
        <v>15</v>
      </c>
      <c r="B16" s="3191" t="s">
        <v>4063</v>
      </c>
      <c r="C16" s="3196">
        <v>2</v>
      </c>
      <c r="D16" s="3211">
        <v>2501</v>
      </c>
      <c r="E16" s="3193">
        <v>287.55</v>
      </c>
      <c r="F16" s="3195" t="s">
        <v>3399</v>
      </c>
      <c r="G16" s="3194">
        <v>287.55</v>
      </c>
      <c r="H16" s="3195" t="s">
        <v>4066</v>
      </c>
      <c r="K16" s="3208" t="s">
        <v>4078</v>
      </c>
      <c r="L16" s="3209">
        <v>388</v>
      </c>
      <c r="M16" s="3195" t="s">
        <v>4081</v>
      </c>
    </row>
    <row r="17" spans="1:13">
      <c r="A17" s="3196">
        <v>16</v>
      </c>
      <c r="B17" s="3191" t="s">
        <v>4063</v>
      </c>
      <c r="C17" s="3196">
        <v>2</v>
      </c>
      <c r="D17" s="3211">
        <v>2502</v>
      </c>
      <c r="E17" s="3193">
        <v>182.59</v>
      </c>
      <c r="F17" s="3195" t="s">
        <v>3399</v>
      </c>
      <c r="G17" s="3194">
        <v>182.59</v>
      </c>
      <c r="H17" s="3195" t="s">
        <v>4065</v>
      </c>
      <c r="K17" s="3208" t="s">
        <v>4079</v>
      </c>
      <c r="L17" s="3209">
        <v>123</v>
      </c>
      <c r="M17" s="3207" t="s">
        <v>4065</v>
      </c>
    </row>
    <row r="18" spans="1:13">
      <c r="A18" s="3193">
        <v>17</v>
      </c>
      <c r="B18" s="3191" t="s">
        <v>4063</v>
      </c>
      <c r="C18" s="3196">
        <v>2</v>
      </c>
      <c r="D18" s="3211">
        <v>2503</v>
      </c>
      <c r="E18" s="3193">
        <v>252.52</v>
      </c>
      <c r="F18" s="3195" t="s">
        <v>3399</v>
      </c>
      <c r="G18" s="3194">
        <v>252.52</v>
      </c>
      <c r="H18" s="3195" t="s">
        <v>4067</v>
      </c>
      <c r="K18" s="3210"/>
      <c r="L18" s="3210"/>
      <c r="M18" s="3210"/>
    </row>
    <row r="19" spans="1:13">
      <c r="A19" s="3193">
        <v>18</v>
      </c>
      <c r="B19" s="3191" t="s">
        <v>4063</v>
      </c>
      <c r="C19" s="3196">
        <v>2</v>
      </c>
      <c r="D19" s="3211">
        <v>2504</v>
      </c>
      <c r="E19" s="3193">
        <v>123.43</v>
      </c>
      <c r="F19" s="3195" t="s">
        <v>3399</v>
      </c>
      <c r="G19" s="3194">
        <v>123.43</v>
      </c>
      <c r="H19" s="3195" t="s">
        <v>4065</v>
      </c>
    </row>
    <row r="20" spans="1:13">
      <c r="A20" s="3193">
        <v>19</v>
      </c>
      <c r="B20" s="3191" t="s">
        <v>4063</v>
      </c>
      <c r="C20" s="3196">
        <v>2</v>
      </c>
      <c r="D20" s="3211">
        <v>2602</v>
      </c>
      <c r="E20" s="3193">
        <v>182.59</v>
      </c>
      <c r="F20" s="3198" t="s">
        <v>3399</v>
      </c>
      <c r="G20" s="3194">
        <v>182.59</v>
      </c>
      <c r="H20" s="3195" t="s">
        <v>4065</v>
      </c>
    </row>
    <row r="21" spans="1:13">
      <c r="A21" s="3193">
        <v>20</v>
      </c>
      <c r="B21" s="3191" t="s">
        <v>4063</v>
      </c>
      <c r="C21" s="3196">
        <v>2</v>
      </c>
      <c r="D21" s="3211">
        <v>2604</v>
      </c>
      <c r="E21" s="3193">
        <v>123.43</v>
      </c>
      <c r="F21" s="3198" t="s">
        <v>3399</v>
      </c>
      <c r="G21" s="3194">
        <v>123.43</v>
      </c>
      <c r="H21" s="3195" t="s">
        <v>4065</v>
      </c>
    </row>
    <row r="22" spans="1:13">
      <c r="A22" s="3193">
        <v>21</v>
      </c>
      <c r="B22" s="3191" t="s">
        <v>4063</v>
      </c>
      <c r="C22" s="3196">
        <v>2</v>
      </c>
      <c r="D22" s="3211">
        <v>2704</v>
      </c>
      <c r="E22" s="3193">
        <v>123.43</v>
      </c>
      <c r="F22" s="3198" t="s">
        <v>3399</v>
      </c>
      <c r="G22" s="3194">
        <v>123.43</v>
      </c>
      <c r="H22" s="3195" t="s">
        <v>4065</v>
      </c>
    </row>
    <row r="23" spans="1:13">
      <c r="A23" s="3196">
        <v>22</v>
      </c>
      <c r="B23" s="3191" t="s">
        <v>4063</v>
      </c>
      <c r="C23" s="3196">
        <v>2</v>
      </c>
      <c r="D23" s="3211">
        <v>2803</v>
      </c>
      <c r="E23" s="3193">
        <v>252.52</v>
      </c>
      <c r="F23" s="3198" t="s">
        <v>3399</v>
      </c>
      <c r="G23" s="3194">
        <v>252.52</v>
      </c>
      <c r="H23" s="3195" t="s">
        <v>4067</v>
      </c>
    </row>
    <row r="24" spans="1:13">
      <c r="A24" s="3193">
        <v>23</v>
      </c>
      <c r="B24" s="3191" t="s">
        <v>4063</v>
      </c>
      <c r="C24" s="3196">
        <v>2</v>
      </c>
      <c r="D24" s="3211">
        <v>2804</v>
      </c>
      <c r="E24" s="3193">
        <v>123.43</v>
      </c>
      <c r="F24" s="3198" t="s">
        <v>3399</v>
      </c>
      <c r="G24" s="3194">
        <v>123.43</v>
      </c>
      <c r="H24" s="3195" t="s">
        <v>4065</v>
      </c>
    </row>
    <row r="25" spans="1:13">
      <c r="A25" s="3193">
        <v>24</v>
      </c>
      <c r="B25" s="3191" t="s">
        <v>4063</v>
      </c>
      <c r="C25" s="3196">
        <v>2</v>
      </c>
      <c r="D25" s="3211">
        <v>2903</v>
      </c>
      <c r="E25" s="3193">
        <v>252.52</v>
      </c>
      <c r="F25" s="3198" t="s">
        <v>3399</v>
      </c>
      <c r="G25" s="3194">
        <v>252.52</v>
      </c>
      <c r="H25" s="3195" t="s">
        <v>4067</v>
      </c>
    </row>
    <row r="26" spans="1:13">
      <c r="A26" s="3193">
        <v>25</v>
      </c>
      <c r="B26" s="3191" t="s">
        <v>4063</v>
      </c>
      <c r="C26" s="3196">
        <v>2</v>
      </c>
      <c r="D26" s="3211">
        <v>2904</v>
      </c>
      <c r="E26" s="3193">
        <v>123.43</v>
      </c>
      <c r="F26" s="3198" t="s">
        <v>3399</v>
      </c>
      <c r="G26" s="3194">
        <v>123.43</v>
      </c>
      <c r="H26" s="3195" t="s">
        <v>4065</v>
      </c>
    </row>
    <row r="27" spans="1:13">
      <c r="A27" s="3193">
        <v>26</v>
      </c>
      <c r="B27" s="3191" t="s">
        <v>4063</v>
      </c>
      <c r="C27" s="3196">
        <v>2</v>
      </c>
      <c r="D27" s="3211">
        <v>3001</v>
      </c>
      <c r="E27" s="3197">
        <v>388.05</v>
      </c>
      <c r="F27" s="3198" t="s">
        <v>3399</v>
      </c>
      <c r="G27" s="3199">
        <v>388.05</v>
      </c>
      <c r="H27" s="3195" t="s">
        <v>4081</v>
      </c>
    </row>
    <row r="28" spans="1:13">
      <c r="A28" s="3193">
        <v>27</v>
      </c>
      <c r="B28" s="3191" t="s">
        <v>4063</v>
      </c>
      <c r="C28" s="3196">
        <v>2</v>
      </c>
      <c r="D28" s="3211">
        <v>3002</v>
      </c>
      <c r="E28" s="3193">
        <v>463.08</v>
      </c>
      <c r="F28" s="3198" t="s">
        <v>3399</v>
      </c>
      <c r="G28" s="3194">
        <v>463.08</v>
      </c>
      <c r="H28" s="3195" t="s">
        <v>4080</v>
      </c>
    </row>
    <row r="29" spans="1:13">
      <c r="A29" s="3196">
        <v>28</v>
      </c>
      <c r="B29" s="3191" t="s">
        <v>4063</v>
      </c>
      <c r="C29" s="3196">
        <v>2</v>
      </c>
      <c r="D29" s="3211">
        <v>3201</v>
      </c>
      <c r="E29" s="3193">
        <v>299.51</v>
      </c>
      <c r="F29" s="3198" t="s">
        <v>3399</v>
      </c>
      <c r="G29" s="3194">
        <v>299.51</v>
      </c>
      <c r="H29" s="3195" t="s">
        <v>4066</v>
      </c>
    </row>
    <row r="30" spans="1:13">
      <c r="A30" s="3193">
        <v>29</v>
      </c>
      <c r="B30" s="3191" t="s">
        <v>4063</v>
      </c>
      <c r="C30" s="3196">
        <v>2</v>
      </c>
      <c r="D30" s="3211">
        <v>3202</v>
      </c>
      <c r="E30" s="3193">
        <v>212.16</v>
      </c>
      <c r="F30" s="3195" t="s">
        <v>3399</v>
      </c>
      <c r="G30" s="3194">
        <v>212.16</v>
      </c>
      <c r="H30" s="3195" t="s">
        <v>4065</v>
      </c>
    </row>
    <row r="31" spans="1:13">
      <c r="A31" s="3283" t="s">
        <v>4064</v>
      </c>
      <c r="B31" s="3283"/>
      <c r="C31" s="3284"/>
      <c r="D31" s="3284"/>
      <c r="E31" s="3200">
        <f>SUM(E2:E30)</f>
        <v>6040.7800000000007</v>
      </c>
      <c r="F31" s="3201" t="s">
        <v>43</v>
      </c>
      <c r="G31" s="3200">
        <f>SUM(G2:G30)</f>
        <v>6040.7800000000007</v>
      </c>
      <c r="H31" s="3201"/>
    </row>
  </sheetData>
  <autoFilter ref="A1:H31" xr:uid="{EE48AAFA-114F-4C68-8537-0A8D609F9B9F}"/>
  <mergeCells count="1">
    <mergeCell ref="A31:D31"/>
  </mergeCells>
  <phoneticPr fontId="135" type="noConversion"/>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21" sqref="G21"/>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182.59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182.59</v>
      </c>
      <c r="H5" s="13">
        <f t="shared" ref="H5:AT5" si="0">SUM(H13:H656)</f>
        <v>182.59</v>
      </c>
      <c r="I5" s="13">
        <f t="shared" si="0"/>
        <v>182.59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182.59</v>
      </c>
      <c r="BA5" s="15">
        <f t="shared" si="1"/>
        <v>182.59</v>
      </c>
      <c r="BB5" s="15">
        <f t="shared" si="1"/>
        <v>182.59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3411</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3399</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c r="A13" s="31"/>
      <c r="B13" s="31"/>
      <c r="C13" s="3164">
        <f>清单!D9</f>
        <v>2002</v>
      </c>
      <c r="D13" s="1512" t="s">
        <v>3412</v>
      </c>
      <c r="E13" s="13">
        <f>IF($C$3="是",ROUND($A$3*G13/$B$3,2),ROUND($A$3*(G13-AT13)/$B$3,2))</f>
        <v>0</v>
      </c>
      <c r="F13" s="29"/>
      <c r="G13" s="30">
        <f>H13+AC13+AT13</f>
        <v>182.59</v>
      </c>
      <c r="H13" s="17">
        <f>SUMIF(I$12:AB$12,"总值",I13:AB13)</f>
        <v>182.59</v>
      </c>
      <c r="I13" s="3165">
        <f>清单!E9</f>
        <v>182.59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2002</v>
      </c>
      <c r="AY13" s="1259">
        <f>ROUND($AY$6*AZ13/$AZ$5,2)</f>
        <v>0</v>
      </c>
      <c r="AZ13" s="13">
        <f>BA13+BL13</f>
        <v>182.59</v>
      </c>
      <c r="BA13" s="13">
        <f>SUM(BB13:BK13)</f>
        <v>182.59</v>
      </c>
      <c r="BB13" s="13">
        <f>IF($D13="是",I13-J13,0)</f>
        <v>182.59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c r="A14" s="31"/>
      <c r="B14" s="31"/>
      <c r="C14" s="3160"/>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M13" sqref="M1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94" t="s">
        <v>1131</v>
      </c>
      <c r="B2" s="3294"/>
      <c r="C2" s="3294"/>
      <c r="D2" s="747" t="s">
        <v>1107</v>
      </c>
      <c r="E2" s="1522" t="s">
        <v>1108</v>
      </c>
      <c r="F2" s="2437"/>
      <c r="G2" s="2430"/>
      <c r="H2" s="2431"/>
      <c r="I2" s="2145" t="s">
        <v>1132</v>
      </c>
      <c r="J2" s="2437"/>
      <c r="K2" s="2437"/>
      <c r="L2" s="2437"/>
      <c r="M2" s="2437"/>
      <c r="N2" s="2438"/>
      <c r="O2" s="2437"/>
      <c r="P2" s="2437"/>
    </row>
    <row r="3" spans="1:16" ht="15" thickBot="1">
      <c r="A3" s="3295" t="s">
        <v>1105</v>
      </c>
      <c r="B3" s="3295"/>
      <c r="C3" s="3295"/>
      <c r="D3" s="41">
        <f>'数据-基础表'!AY6</f>
        <v>0</v>
      </c>
      <c r="E3" s="41">
        <f>'数据-基础表'!AZ5</f>
        <v>182.59</v>
      </c>
      <c r="F3" s="2437"/>
      <c r="G3" s="42"/>
      <c r="H3" s="43" t="s">
        <v>1106</v>
      </c>
      <c r="I3" s="801" t="e">
        <f>ROUND('数据-基础表'!B3/'数据-基础表'!A3,2)</f>
        <v>#DIV/0!</v>
      </c>
      <c r="J3" s="2437"/>
      <c r="K3" s="2437"/>
      <c r="L3" s="2437"/>
      <c r="M3" s="2437"/>
      <c r="N3" s="2438"/>
      <c r="O3" s="2437"/>
      <c r="P3" s="2437"/>
    </row>
    <row r="4" spans="1:16" ht="14.4">
      <c r="A4" s="3296"/>
      <c r="B4" s="3297"/>
      <c r="C4" s="3298"/>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ht="14.4">
      <c r="A5" s="42" t="s">
        <v>1109</v>
      </c>
      <c r="B5" s="3299" t="s">
        <v>1110</v>
      </c>
      <c r="C5" s="3299"/>
      <c r="D5" s="43">
        <f>ROUND($D$3*E5/$E$3,2)</f>
        <v>0</v>
      </c>
      <c r="E5" s="44">
        <f>SUMIF('数据-基础表'!$11:$11,"住宅",'数据-基础表'!$5:$5)</f>
        <v>182.59</v>
      </c>
      <c r="F5" s="2437"/>
      <c r="G5" s="42"/>
      <c r="H5" s="43" t="s">
        <v>1106</v>
      </c>
      <c r="I5" s="801" t="e">
        <f>ROUND(E31/D31,2)</f>
        <v>#DIV/0!</v>
      </c>
      <c r="J5" s="2437"/>
      <c r="K5" s="2437"/>
      <c r="L5" s="2437"/>
      <c r="M5" s="2437"/>
      <c r="N5" s="2437"/>
      <c r="O5" s="2437"/>
      <c r="P5" s="2437"/>
    </row>
    <row r="6" spans="1:16" ht="15" thickBot="1">
      <c r="A6" s="1526"/>
      <c r="B6" s="3299" t="s">
        <v>1111</v>
      </c>
      <c r="C6" s="3299"/>
      <c r="D6" s="43">
        <f>ROUND($D$3*E6/$E$3,2)</f>
        <v>0</v>
      </c>
      <c r="E6" s="44">
        <f>E3-E5</f>
        <v>0</v>
      </c>
      <c r="F6" s="2437"/>
      <c r="G6" s="1528" t="s">
        <v>1112</v>
      </c>
      <c r="H6" s="45" t="s">
        <v>1113</v>
      </c>
      <c r="I6" s="2433" t="e">
        <f>ROUND(F31/D31,2)</f>
        <v>#DIV/0!</v>
      </c>
      <c r="J6" s="2437"/>
      <c r="K6" s="2437"/>
      <c r="L6" s="2437"/>
      <c r="M6" s="2437"/>
      <c r="N6" s="2437"/>
      <c r="O6" s="2437"/>
      <c r="P6" s="2437"/>
    </row>
    <row r="7" spans="1:16" ht="15" thickBot="1">
      <c r="A7" s="3291"/>
      <c r="B7" s="3292"/>
      <c r="C7" s="3293"/>
      <c r="D7" s="1523" t="s">
        <v>1107</v>
      </c>
      <c r="E7" s="1527" t="s">
        <v>1114</v>
      </c>
      <c r="F7" s="2437"/>
      <c r="G7" s="2434" t="s">
        <v>1115</v>
      </c>
      <c r="H7" s="95"/>
      <c r="I7" s="2435">
        <f t="array" ref="I7">[2]!'!数据-汇总表!R7C9'</f>
        <v>16.417582863402167</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182.59</v>
      </c>
      <c r="F8" s="2437"/>
      <c r="G8" s="2437"/>
      <c r="H8" s="2437"/>
      <c r="I8" s="2437"/>
      <c r="J8" s="2437"/>
      <c r="K8" s="2437"/>
      <c r="L8" s="2437"/>
      <c r="M8" s="2437"/>
      <c r="N8" s="2437"/>
      <c r="O8" s="2437"/>
      <c r="P8" s="2437"/>
    </row>
    <row r="9" spans="1:16" ht="14.4">
      <c r="A9" s="1528"/>
      <c r="B9" s="1529"/>
      <c r="C9" s="43" t="s">
        <v>1119</v>
      </c>
      <c r="D9" s="43">
        <f t="shared" si="0"/>
        <v>0</v>
      </c>
      <c r="E9" s="47">
        <v>0</v>
      </c>
      <c r="F9" s="2437"/>
      <c r="G9" s="2437"/>
      <c r="H9" s="2437"/>
      <c r="I9" s="2437"/>
      <c r="J9" s="2437"/>
      <c r="K9" s="2437"/>
      <c r="L9" s="2437"/>
      <c r="M9" s="2437"/>
      <c r="N9" s="2437"/>
      <c r="O9" s="2437"/>
      <c r="P9" s="2437"/>
    </row>
    <row r="10" spans="1:16" ht="14.4">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6"/>
      <c r="B16" s="1529"/>
      <c r="C16" s="45" t="s">
        <v>1123</v>
      </c>
      <c r="D16" s="45">
        <f>SUM(D8:D15)</f>
        <v>0</v>
      </c>
      <c r="E16" s="48">
        <f>SUM(E8:E15)</f>
        <v>182.59</v>
      </c>
      <c r="F16" s="2437"/>
      <c r="G16" s="2437"/>
      <c r="H16" s="1530" t="s">
        <v>1135</v>
      </c>
      <c r="I16" s="1531"/>
      <c r="J16" s="1070"/>
      <c r="K16" s="3288" t="s">
        <v>1135</v>
      </c>
      <c r="L16" s="3289"/>
      <c r="M16" s="3289"/>
      <c r="N16" s="3289"/>
      <c r="O16" s="3289"/>
      <c r="P16" s="3290"/>
    </row>
    <row r="17" spans="1:19" ht="14.4">
      <c r="A17" s="1532" t="s">
        <v>1136</v>
      </c>
      <c r="B17" s="1533" t="s">
        <v>1137</v>
      </c>
      <c r="C17" s="1534" t="s">
        <v>1138</v>
      </c>
      <c r="D17" s="1535" t="s">
        <v>1126</v>
      </c>
      <c r="E17" s="1536" t="s">
        <v>1127</v>
      </c>
      <c r="F17" s="1537"/>
      <c r="G17" s="1538"/>
      <c r="H17" s="1539" t="s">
        <v>1139</v>
      </c>
      <c r="I17" s="1540" t="s">
        <v>1124</v>
      </c>
      <c r="J17" s="1070"/>
      <c r="K17" s="3285" t="s">
        <v>1140</v>
      </c>
      <c r="L17" s="3286"/>
      <c r="M17" s="3287"/>
      <c r="N17" s="3285" t="s">
        <v>1141</v>
      </c>
      <c r="O17" s="3286"/>
      <c r="P17" s="3287"/>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3" t="s">
        <v>3399</v>
      </c>
      <c r="D19" s="43">
        <f>ROUND($D$3*E19/$E$3,2)</f>
        <v>0</v>
      </c>
      <c r="E19" s="51">
        <f t="shared" ref="E19:E26" si="1">SUM(F19:G19)</f>
        <v>182.59</v>
      </c>
      <c r="F19" s="2555">
        <f>'数据-基础表'!I13</f>
        <v>182.59</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182.59</v>
      </c>
    </row>
    <row r="20" spans="1:19" ht="14.4">
      <c r="A20" s="1548"/>
      <c r="B20" s="45" t="s">
        <v>1153</v>
      </c>
      <c r="C20" s="3113"/>
      <c r="D20" s="43">
        <f t="shared" ref="D20:D26" si="6">ROUND($D$3*E20/$E$3,2)</f>
        <v>0</v>
      </c>
      <c r="E20" s="51">
        <f t="shared" si="1"/>
        <v>0</v>
      </c>
      <c r="F20" s="2555"/>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182.59</v>
      </c>
      <c r="F27" s="1071">
        <f>IF(SUM(F19:F26)=E8,SUM(F19:F26),"地上面积有误")</f>
        <v>182.59</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182.59</v>
      </c>
    </row>
    <row r="28" spans="1:19" ht="14.4">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6"/>
      <c r="B31" s="96"/>
      <c r="C31" s="784" t="s">
        <v>1158</v>
      </c>
      <c r="D31" s="642">
        <f>D27+D30</f>
        <v>0</v>
      </c>
      <c r="E31" s="642">
        <f>E27+E30</f>
        <v>182.59</v>
      </c>
      <c r="F31" s="643">
        <f>F27+F30</f>
        <v>182.59</v>
      </c>
      <c r="G31" s="644">
        <f>G27+G30</f>
        <v>0</v>
      </c>
      <c r="H31" s="2437"/>
      <c r="I31" s="2437"/>
      <c r="J31" s="2437"/>
      <c r="K31" s="2437"/>
      <c r="L31" s="2437"/>
      <c r="M31" s="2437"/>
      <c r="N31" s="2437"/>
      <c r="O31" s="2437"/>
      <c r="P31" s="2437"/>
    </row>
    <row r="32" spans="1:19" ht="14.4">
      <c r="A32" s="1525"/>
      <c r="B32" s="1525" t="s">
        <v>1159</v>
      </c>
      <c r="C32" s="1525"/>
      <c r="D32" s="1525"/>
      <c r="E32" s="989">
        <f>SUMIF(C19:C26,"*住宅*",E19:E26)</f>
        <v>182.59</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O19" sqref="O19"/>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 thickBot="1">
      <c r="A2" s="1561" t="s">
        <v>1161</v>
      </c>
      <c r="B2" s="983">
        <f>项目基本情况!D3</f>
        <v>45825</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3413</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住宅</v>
      </c>
      <c r="B6" s="1586" t="str">
        <f>IF(A6=0,"","经营性")</f>
        <v>经营性</v>
      </c>
      <c r="C6" s="1587" t="s">
        <v>3399</v>
      </c>
      <c r="D6" s="804">
        <f>SUMIF(项目基本情况!C$12:I$12,C6,项目基本情况!C$14:I$14)</f>
        <v>70</v>
      </c>
      <c r="E6" s="803">
        <f>IF(B6="","",SUMIF(项目基本情况!C$12:I$12,C6,项目基本情况!C$13:I$13))</f>
        <v>63414</v>
      </c>
      <c r="F6" s="61">
        <f>SUMIF(项目基本情况!C$12:I$12,C6,项目基本情况!C$15:I$15)</f>
        <v>48.18</v>
      </c>
      <c r="G6" s="62">
        <f>IF(ISERROR(ROUND(POWER(1+H6,D6-F6)*(POWER(1+H6,F6)-1)/(POWER(1+H6,D6)-1),3)),0,ROUND(POWER(1+H6,D6-F6)*(POWER(1+H6,F6)-1)/(POWER(1+H6,D6)-1),3))</f>
        <v>0.90700000000000003</v>
      </c>
      <c r="H6" s="3170">
        <v>0.04</v>
      </c>
      <c r="I6" s="3170">
        <v>4.4999999999999998E-2</v>
      </c>
      <c r="J6" s="3169">
        <v>7.0000000000000007E-2</v>
      </c>
      <c r="K6" s="969">
        <f>SUMIF('数据-汇总表'!C$19:C$33,A6,'数据-汇总表'!E$19:E$33)</f>
        <v>182.59</v>
      </c>
      <c r="L6" s="691">
        <v>16000</v>
      </c>
      <c r="M6" s="64">
        <f t="shared" ref="M6:M14" si="0">ROUND(K6*L6/10000,0)</f>
        <v>292</v>
      </c>
      <c r="N6" s="689">
        <f>O22</f>
        <v>0.87</v>
      </c>
      <c r="O6" s="64" t="str">
        <f>IF($N$5="成新度","——",ROUND(M6*N6,0))</f>
        <v>——</v>
      </c>
      <c r="P6" s="65" t="str">
        <f>IF($N$5="成新度","——",M6-O6)</f>
        <v>——</v>
      </c>
      <c r="Q6" s="692">
        <v>0.25</v>
      </c>
      <c r="R6" s="66">
        <f ca="1">SUMIF('数据-汇总表'!C$19:C$33,A6,'数据-汇总表'!R$19:R$27)</f>
        <v>0</v>
      </c>
      <c r="S6" s="49">
        <f>IF('数据-汇总表'!$I$17="按面积比例",SUMIF('数据-汇总表'!C$19:C$33,A6,'数据-汇总表'!K$19:K$33),SUMIF('数据-汇总表'!C$19:C$33,A6,'数据-汇总表'!N$19:N$33))</f>
        <v>0</v>
      </c>
      <c r="T6" s="1091">
        <f>ROUND($L$14*S6/10000,0)</f>
        <v>0</v>
      </c>
      <c r="U6" s="3124"/>
      <c r="V6" s="67"/>
      <c r="W6" s="67"/>
      <c r="X6" s="978"/>
      <c r="Y6" s="68"/>
      <c r="Z6" s="69"/>
      <c r="AA6" s="63"/>
      <c r="AB6" s="63"/>
      <c r="AC6" s="978"/>
      <c r="AD6" s="70"/>
      <c r="AE6" s="979">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2921440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5"/>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0.90700000000000003</v>
      </c>
      <c r="H16" s="84">
        <f>ROUND(SUMPRODUCT(H6:H13,K6:K13)/SUMPRODUCT((H6:H13&gt;0)*(K6:K13)),3)</f>
        <v>0.04</v>
      </c>
      <c r="I16" s="85"/>
      <c r="J16" s="85"/>
      <c r="K16" s="86">
        <f>SUM(K6:K15)</f>
        <v>182.59</v>
      </c>
      <c r="L16" s="87">
        <f>ROUND(M16*10000/SUM(K6:K14),0)</f>
        <v>15992</v>
      </c>
      <c r="M16" s="87">
        <f>SUM(M6:M14)</f>
        <v>292</v>
      </c>
      <c r="N16" s="88">
        <f>ROUND(SUMPRODUCT(M6:M14,N6:N14)/M16,3)</f>
        <v>0.87</v>
      </c>
      <c r="O16" s="87">
        <f>SUM(O6:O14)</f>
        <v>0</v>
      </c>
      <c r="P16" s="87">
        <f>SUM(P6:P14)</f>
        <v>0</v>
      </c>
      <c r="Q16" s="89">
        <f>ROUND(SUMPRODUCT(Q6:Q13,K6:K13)/SUMPRODUCT((Q6:Q13&gt;0)*(K6:K13)),2)</f>
        <v>0.25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5" t="s">
        <v>1211</v>
      </c>
      <c r="B19" s="97">
        <v>0</v>
      </c>
      <c r="C19" s="2558" t="s">
        <v>2295</v>
      </c>
      <c r="D19" s="2449"/>
      <c r="E19" s="2437"/>
      <c r="F19" s="2437"/>
      <c r="G19" s="2437"/>
      <c r="H19" s="2437"/>
      <c r="I19" s="2437"/>
      <c r="J19" s="2437"/>
      <c r="K19" s="2447"/>
      <c r="L19" s="2447"/>
      <c r="M19" s="2446"/>
      <c r="N19" s="3161" t="s">
        <v>3414</v>
      </c>
      <c r="O19" s="2446">
        <v>2010</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98">
        <v>3</v>
      </c>
      <c r="C20" s="2559" t="s">
        <v>2293</v>
      </c>
      <c r="D20" s="2449"/>
      <c r="E20" s="2437"/>
      <c r="F20" s="2437"/>
      <c r="G20" s="2437"/>
      <c r="H20" s="2437"/>
      <c r="I20" s="2437"/>
      <c r="J20" s="2437"/>
      <c r="K20" s="2447"/>
      <c r="L20" s="2447"/>
      <c r="M20" s="2446"/>
      <c r="N20" s="3161" t="s">
        <v>3415</v>
      </c>
      <c r="O20" s="2446">
        <f>ROUND(1-(1-0)*(2025-O19)/60,2)</f>
        <v>0.75</v>
      </c>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98">
        <f>B20</f>
        <v>3</v>
      </c>
      <c r="C21" s="2437"/>
      <c r="D21" s="2449"/>
      <c r="E21" s="2437"/>
      <c r="F21" s="2437"/>
      <c r="G21" s="2437"/>
      <c r="H21" s="2437"/>
      <c r="I21" s="2437"/>
      <c r="J21" s="2437"/>
      <c r="K21" s="2447"/>
      <c r="L21" s="2447"/>
      <c r="M21" s="2446"/>
      <c r="N21" s="3161" t="s">
        <v>3416</v>
      </c>
      <c r="O21" s="2446">
        <v>0.98</v>
      </c>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9">
        <f>B19+B20</f>
        <v>3</v>
      </c>
      <c r="C22" s="2437"/>
      <c r="D22" s="2449"/>
      <c r="E22" s="2437"/>
      <c r="F22" s="2437"/>
      <c r="G22" s="2437"/>
      <c r="H22" s="2437"/>
      <c r="I22" s="2437"/>
      <c r="J22" s="2437"/>
      <c r="K22" s="2447"/>
      <c r="L22" s="2447"/>
      <c r="M22" s="2446"/>
      <c r="N22" s="3161" t="s">
        <v>458</v>
      </c>
      <c r="O22" s="2446">
        <f>ROUND((O21+O20)/2,2)</f>
        <v>0.87</v>
      </c>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7" t="s">
        <v>1215</v>
      </c>
      <c r="B23" s="99">
        <f>B19+B21</f>
        <v>3</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8"/>
      <c r="B25" s="1541"/>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1">
        <v>160</v>
      </c>
      <c r="C27" s="2560" t="s">
        <v>2297</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105">
        <f>ROUND(B28*K16/10000,0)</f>
        <v>4</v>
      </c>
      <c r="C29" s="2561" t="s">
        <v>2287</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7">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8"/>
      <c r="C32" s="2453"/>
      <c r="D32" s="2449"/>
      <c r="E32" s="2437">
        <f ca="1">结果表!G19</f>
        <v>3034</v>
      </c>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39">
        <v>0.08</v>
      </c>
      <c r="C33" s="2562" t="s">
        <v>3376</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6">
        <v>0.08</v>
      </c>
      <c r="C34" s="2562" t="s">
        <v>2288</v>
      </c>
      <c r="D34" s="2457" t="s">
        <v>2294</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3">
        <v>200</v>
      </c>
      <c r="C35" s="2562" t="s">
        <v>2289</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0.02</v>
      </c>
      <c r="C36" s="2562" t="s">
        <v>3394</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8">
        <v>0.02</v>
      </c>
      <c r="C37" s="2562" t="s">
        <v>3377</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6">
        <v>0.03</v>
      </c>
      <c r="C38" s="2562" t="s">
        <v>3378</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2303</v>
      </c>
      <c r="B40" s="1014">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112">
        <v>7.0000000000000007E-2</v>
      </c>
      <c r="C44" s="2562" t="s">
        <v>3379</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10">
        <v>0.03</v>
      </c>
      <c r="C45" s="2561" t="s">
        <v>2290</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10">
        <v>0.02</v>
      </c>
      <c r="C46" s="2561" t="s">
        <v>2291</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2298</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4">
        <v>0.03</v>
      </c>
      <c r="C48" s="2561" t="s">
        <v>2290</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2292</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t="s">
        <v>144</v>
      </c>
      <c r="C53" s="2438" t="s">
        <v>1246</v>
      </c>
      <c r="D53" s="2563" t="s">
        <v>2296</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4" type="noConversion"/>
  <dataValidations count="8">
    <dataValidation type="list" allowBlank="1" showInputMessage="1" showErrorMessage="1" sqref="B44" xr:uid="{0684FDBC-2CFA-4F7D-9FB5-42834A486097}">
      <formula1>"7%,5%,1%"</formula1>
    </dataValidation>
    <dataValidation type="list" allowBlank="1" showInputMessage="1" showErrorMessage="1" sqref="B53" xr:uid="{1DC8AB0E-C101-49C7-8A0C-1465E84E883D}">
      <formula1>城镇土地纳税等级分级范围</formula1>
    </dataValidation>
    <dataValidation type="list" allowBlank="1" showInputMessage="1" showErrorMessage="1" sqref="N5" xr:uid="{91FE56AF-498B-4287-8182-61B2888E2AA9}">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0" customWidth="1"/>
    <col min="19" max="29" width="9" style="750"/>
    <col min="30" max="16384" width="9" style="1521"/>
  </cols>
  <sheetData>
    <row r="1" spans="1:29" s="2258" customFormat="1" ht="18" thickBot="1">
      <c r="A1" s="3300" t="s">
        <v>2279</v>
      </c>
      <c r="B1" s="3301"/>
      <c r="C1" s="3301"/>
      <c r="D1" s="3301"/>
      <c r="E1" s="3301"/>
      <c r="F1" s="3301"/>
      <c r="G1" s="330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2275</v>
      </c>
      <c r="D2" s="1594"/>
      <c r="E2" s="2259"/>
      <c r="F2" s="2262"/>
      <c r="G2" s="2261" t="s">
        <v>2276</v>
      </c>
      <c r="H2" s="750"/>
      <c r="I2" s="750"/>
      <c r="J2" s="750"/>
      <c r="K2" s="750"/>
      <c r="L2" s="750"/>
      <c r="M2" s="750"/>
      <c r="N2" s="750"/>
      <c r="O2" s="750"/>
      <c r="P2" s="750"/>
      <c r="Q2" s="750"/>
    </row>
    <row r="3" spans="1:29" ht="39.6">
      <c r="A3" s="2246" t="s">
        <v>2277</v>
      </c>
      <c r="B3" s="2263" t="s">
        <v>2249</v>
      </c>
      <c r="C3" s="3173" t="s">
        <v>3967</v>
      </c>
      <c r="D3" s="2264"/>
      <c r="E3" s="2247" t="s">
        <v>2277</v>
      </c>
      <c r="F3" s="2265" t="s">
        <v>2250</v>
      </c>
      <c r="G3" s="2266" t="s">
        <v>2278</v>
      </c>
      <c r="H3" s="750"/>
      <c r="I3" s="750"/>
      <c r="J3" s="750"/>
      <c r="K3" s="750"/>
      <c r="L3" s="750"/>
      <c r="M3" s="750"/>
      <c r="N3" s="750"/>
      <c r="O3" s="750"/>
      <c r="P3" s="750"/>
      <c r="Q3" s="750"/>
    </row>
    <row r="4" spans="1:29" ht="36">
      <c r="A4" s="2247"/>
      <c r="B4" s="315" t="s">
        <v>2251</v>
      </c>
      <c r="C4" s="2267"/>
      <c r="D4" s="2264"/>
      <c r="E4" s="2268"/>
      <c r="F4" s="1280" t="s">
        <v>2252</v>
      </c>
      <c r="G4" s="2269" t="s">
        <v>2253</v>
      </c>
      <c r="H4" s="750"/>
      <c r="I4" s="750"/>
      <c r="J4" s="750"/>
      <c r="K4" s="750"/>
      <c r="L4" s="750"/>
      <c r="M4" s="750"/>
      <c r="N4" s="750"/>
      <c r="O4" s="750"/>
      <c r="P4" s="750"/>
      <c r="Q4" s="750"/>
    </row>
    <row r="5" spans="1:29" ht="24">
      <c r="A5" s="2247"/>
      <c r="B5" s="315" t="s">
        <v>2254</v>
      </c>
      <c r="C5" s="2267"/>
      <c r="D5" s="2264"/>
      <c r="E5" s="2268"/>
      <c r="F5" s="315" t="s">
        <v>2255</v>
      </c>
      <c r="G5" s="2269" t="s">
        <v>2256</v>
      </c>
      <c r="H5" s="750"/>
      <c r="I5" s="750"/>
      <c r="J5" s="750"/>
      <c r="K5" s="750"/>
      <c r="L5" s="750"/>
      <c r="M5" s="750"/>
      <c r="N5" s="750"/>
      <c r="O5" s="750"/>
      <c r="P5" s="750"/>
      <c r="Q5" s="750"/>
    </row>
    <row r="6" spans="1:29" ht="57" customHeight="1">
      <c r="A6" s="2247"/>
      <c r="B6" s="315" t="s">
        <v>2257</v>
      </c>
      <c r="C6" s="3174" t="s">
        <v>3968</v>
      </c>
      <c r="D6" s="2264"/>
      <c r="E6" s="2268"/>
      <c r="F6" s="315" t="s">
        <v>2258</v>
      </c>
      <c r="G6" s="2269" t="s">
        <v>2259</v>
      </c>
      <c r="H6" s="750"/>
      <c r="I6" s="750"/>
      <c r="J6" s="750"/>
      <c r="K6" s="750"/>
      <c r="L6" s="750"/>
      <c r="M6" s="750"/>
      <c r="N6" s="750"/>
      <c r="O6" s="750"/>
      <c r="P6" s="750"/>
      <c r="Q6" s="750"/>
    </row>
    <row r="7" spans="1:29" ht="48.6" thickBot="1">
      <c r="A7" s="2247"/>
      <c r="B7" s="315" t="s">
        <v>2255</v>
      </c>
      <c r="C7" s="3174" t="s">
        <v>3965</v>
      </c>
      <c r="D7" s="2244"/>
      <c r="E7" s="2270"/>
      <c r="F7" s="2271" t="s">
        <v>2260</v>
      </c>
      <c r="G7" s="2272" t="s">
        <v>2261</v>
      </c>
      <c r="H7" s="750"/>
      <c r="I7" s="750"/>
      <c r="J7" s="750"/>
      <c r="K7" s="750"/>
      <c r="L7" s="750"/>
      <c r="M7" s="750"/>
      <c r="N7" s="750"/>
      <c r="O7" s="750"/>
      <c r="P7" s="750"/>
      <c r="Q7" s="750"/>
    </row>
    <row r="8" spans="1:29" ht="24">
      <c r="A8" s="2247"/>
      <c r="B8" s="315" t="s">
        <v>2258</v>
      </c>
      <c r="C8" s="2269" t="s">
        <v>2259</v>
      </c>
      <c r="D8" s="2244"/>
      <c r="E8" s="2244"/>
      <c r="F8" s="121"/>
      <c r="G8" s="121"/>
      <c r="H8" s="750"/>
      <c r="I8" s="750"/>
      <c r="J8" s="750"/>
      <c r="K8" s="750"/>
      <c r="L8" s="750"/>
      <c r="M8" s="750"/>
      <c r="N8" s="750"/>
      <c r="O8" s="750"/>
      <c r="P8" s="750"/>
      <c r="Q8" s="750"/>
    </row>
    <row r="9" spans="1:29" ht="60">
      <c r="A9" s="2247"/>
      <c r="B9" s="315" t="s">
        <v>2262</v>
      </c>
      <c r="C9" s="3175" t="s">
        <v>3966</v>
      </c>
      <c r="D9" s="2264"/>
      <c r="E9" s="2244"/>
      <c r="F9" s="121"/>
      <c r="G9" s="121"/>
      <c r="H9" s="750"/>
      <c r="I9" s="750"/>
      <c r="J9" s="750"/>
      <c r="K9" s="750"/>
      <c r="L9" s="750"/>
      <c r="M9" s="750"/>
      <c r="N9" s="750"/>
      <c r="O9" s="750"/>
      <c r="P9" s="750"/>
      <c r="Q9" s="750"/>
    </row>
    <row r="10" spans="1:29" ht="14.4" thickBot="1">
      <c r="A10" s="2248"/>
      <c r="B10" s="2273" t="s">
        <v>2263</v>
      </c>
      <c r="C10" s="2274"/>
      <c r="D10" s="2264"/>
      <c r="E10" s="2264"/>
      <c r="F10" s="121"/>
      <c r="G10" s="121"/>
      <c r="J10" s="2276"/>
      <c r="M10" s="2276"/>
      <c r="P10" s="2276"/>
      <c r="R10" s="2275"/>
    </row>
    <row r="11" spans="1:29">
      <c r="A11" s="2277"/>
      <c r="B11" s="2244"/>
      <c r="C11" s="2264"/>
      <c r="D11" s="2264"/>
      <c r="E11" s="2264"/>
      <c r="F11" s="2244"/>
      <c r="G11" s="2244"/>
      <c r="J11" s="2276"/>
      <c r="M11" s="2276"/>
      <c r="P11" s="2276"/>
      <c r="R11" s="2275"/>
    </row>
    <row r="12" spans="1:29" s="2258" customFormat="1" ht="17.399999999999999">
      <c r="A12" s="2277"/>
      <c r="B12" s="2244"/>
      <c r="C12" s="2264"/>
      <c r="D12" s="2278"/>
      <c r="E12" s="2264"/>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2280</v>
      </c>
      <c r="B13" s="2278"/>
      <c r="C13" s="2278"/>
      <c r="D13" s="2277"/>
      <c r="E13" s="2278"/>
      <c r="F13" s="2278"/>
      <c r="G13" s="2278"/>
    </row>
    <row r="14" spans="1:29" ht="14.4" thickBot="1">
      <c r="A14" s="2283"/>
      <c r="B14" s="2283"/>
      <c r="C14" s="2284" t="s">
        <v>2264</v>
      </c>
      <c r="D14" s="2264"/>
      <c r="E14" s="2285"/>
      <c r="F14" s="2285"/>
      <c r="G14" s="2261" t="s">
        <v>2265</v>
      </c>
    </row>
    <row r="15" spans="1:29" ht="39.6">
      <c r="A15" s="2249" t="s">
        <v>2266</v>
      </c>
      <c r="B15" s="2286" t="s">
        <v>2249</v>
      </c>
      <c r="C15" s="2287" t="str">
        <f>C3</f>
        <v>万国城MOMA、梵悦万国府、使馆壹号院等多个，较好</v>
      </c>
      <c r="D15" s="2264"/>
      <c r="E15" s="2250" t="s">
        <v>2267</v>
      </c>
      <c r="F15" s="2286" t="s">
        <v>2268</v>
      </c>
      <c r="G15" s="2288" t="str">
        <f>G3</f>
        <v>估价对象位于XX开发区，园区建设成熟度XX，产业集聚程度XX</v>
      </c>
    </row>
    <row r="16" spans="1:29" ht="39.6">
      <c r="A16" s="2251"/>
      <c r="B16" s="2289" t="s">
        <v>2251</v>
      </c>
      <c r="C16" s="2290">
        <f>C4</f>
        <v>0</v>
      </c>
      <c r="D16" s="2264"/>
      <c r="E16" s="2252"/>
      <c r="F16" s="2291" t="s">
        <v>2252</v>
      </c>
      <c r="G16" s="2292" t="str">
        <f>G4</f>
        <v>估价对象周边道路状况、公共交通通达情况、停车便捷程度，综合评价交通便捷度较好</v>
      </c>
    </row>
    <row r="17" spans="1:17">
      <c r="A17" s="2251"/>
      <c r="B17" s="2289" t="s">
        <v>2254</v>
      </c>
      <c r="C17" s="2290">
        <f>C5</f>
        <v>0</v>
      </c>
      <c r="D17" s="2244"/>
      <c r="E17" s="2252"/>
      <c r="F17" s="2291" t="s">
        <v>2269</v>
      </c>
      <c r="G17" s="2293"/>
    </row>
    <row r="18" spans="1:17" ht="52.8">
      <c r="A18" s="2251"/>
      <c r="B18" s="2291" t="s">
        <v>2257</v>
      </c>
      <c r="C18" s="2292" t="str">
        <f>C6</f>
        <v>2、13、17、机场快线等多个地铁线路；3、359、915、123、515等多条，东直门长途汽车站，较好</v>
      </c>
      <c r="D18" s="2244"/>
      <c r="E18" s="2252"/>
      <c r="F18" s="2291" t="s">
        <v>2260</v>
      </c>
      <c r="G18" s="2292" t="str">
        <f>G7</f>
        <v>该园区内是否有污染型企业，绿化情况，卫生条件，整体环境状况判断</v>
      </c>
    </row>
    <row r="19" spans="1:17" ht="26.4">
      <c r="A19" s="2251"/>
      <c r="B19" s="2291" t="s">
        <v>2270</v>
      </c>
      <c r="C19" s="2293"/>
      <c r="D19" s="2264"/>
      <c r="E19" s="2252"/>
      <c r="F19" s="315" t="s">
        <v>2255</v>
      </c>
      <c r="G19" s="2292" t="str">
        <f>G5</f>
        <v>估价对象所在区域公共配套设施齐备情况</v>
      </c>
    </row>
    <row r="20" spans="1:17" ht="66">
      <c r="A20" s="2251"/>
      <c r="B20" s="2291" t="s">
        <v>2271</v>
      </c>
      <c r="C20" s="2290" t="str">
        <f>C9</f>
        <v>区域自然环境：亮马河公园、左家庄公园、亮马河；人文环境：使馆区、北京自来水博物馆；综合评价环境状况较好</v>
      </c>
      <c r="D20" s="2244"/>
      <c r="E20" s="2252"/>
      <c r="F20" s="315" t="s">
        <v>2258</v>
      </c>
      <c r="G20" s="2292" t="str">
        <f>G6</f>
        <v>估价对象所在区域基础设施水平</v>
      </c>
    </row>
    <row r="21" spans="1:17" ht="52.8">
      <c r="A21" s="2251"/>
      <c r="B21" s="315" t="s">
        <v>2255</v>
      </c>
      <c r="C21" s="2292" t="str">
        <f>C7</f>
        <v>工商银行、华夏银行；来福士、银座MALL；东直门中学、清华附中朝阳学校；北京中医院大学东直门医院等</v>
      </c>
      <c r="D21" s="2264"/>
      <c r="E21" s="2252"/>
      <c r="F21" s="2291" t="s">
        <v>2272</v>
      </c>
      <c r="G21" s="2294"/>
    </row>
    <row r="22" spans="1:17" ht="13.5" customHeight="1">
      <c r="A22" s="2251"/>
      <c r="B22" s="315" t="s">
        <v>2258</v>
      </c>
      <c r="C22" s="2292" t="str">
        <f>C8</f>
        <v>估价对象所在区域基础设施水平</v>
      </c>
      <c r="D22" s="2264"/>
      <c r="E22" s="2252"/>
      <c r="F22" s="2291" t="s">
        <v>2263</v>
      </c>
      <c r="G22" s="2293"/>
    </row>
    <row r="23" spans="1:17" s="750" customFormat="1" ht="14.4" thickBot="1">
      <c r="A23" s="2251"/>
      <c r="B23" s="2291" t="s">
        <v>2272</v>
      </c>
      <c r="C23" s="2294"/>
      <c r="D23" s="1613"/>
      <c r="E23" s="2253"/>
      <c r="F23" s="2295" t="s">
        <v>2273</v>
      </c>
      <c r="G23" s="2296"/>
      <c r="H23" s="2275"/>
      <c r="I23" s="2275"/>
      <c r="J23" s="2275"/>
      <c r="K23" s="2275"/>
      <c r="L23" s="2275"/>
      <c r="M23" s="2275"/>
      <c r="N23" s="2275"/>
      <c r="O23" s="2275"/>
      <c r="P23" s="2275"/>
      <c r="Q23" s="2275"/>
    </row>
    <row r="24" spans="1:17" s="750" customFormat="1" ht="14.4" thickBot="1">
      <c r="A24" s="2254"/>
      <c r="B24" s="2295" t="s">
        <v>2274</v>
      </c>
      <c r="C24" s="2297">
        <f>C10</f>
        <v>0</v>
      </c>
      <c r="D24" s="1613"/>
      <c r="E24" s="2244"/>
      <c r="F24" s="2244"/>
      <c r="G24" s="2244"/>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O11" sqref="O11"/>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6040.7800000000007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45825</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101634</v>
      </c>
      <c r="C5" s="2298">
        <f ca="1">IF(B5=D14,结果表!H102,ROUND(B5*10000/$B$1,0))</f>
        <v>166165</v>
      </c>
      <c r="D5" s="2298" t="e">
        <f ca="1">ROUND(B5*10000/$B$2,0)</f>
        <v>#DIV/0!</v>
      </c>
      <c r="E5" s="2459"/>
      <c r="F5" s="2460"/>
      <c r="G5" s="2460"/>
      <c r="H5" s="2460"/>
      <c r="I5" s="2460"/>
      <c r="J5" s="2460"/>
      <c r="K5" s="2460"/>
    </row>
    <row r="6" spans="1:11" ht="15.6">
      <c r="A6" s="2298" t="s">
        <v>656</v>
      </c>
      <c r="B6" s="2298">
        <f ca="1">SUM(G14:G23)</f>
        <v>101634</v>
      </c>
      <c r="C6" s="2298">
        <f ca="1">IF(B6=G14,结果表!H108,ROUND(B6*10000/$B$1,0))</f>
        <v>166165</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f ca="1">IF(B8=I14,结果表!H112,ROUND(B8*10000/$B$1,0))</f>
        <v>78044</v>
      </c>
      <c r="D8" s="2298" t="e">
        <f>ROUND(B8*10000/$B$2,0)</f>
        <v>#DIV/0!</v>
      </c>
      <c r="E8" s="2459"/>
      <c r="F8" s="2460"/>
      <c r="G8" s="2460"/>
      <c r="H8" s="2460"/>
      <c r="I8" s="2460"/>
      <c r="J8" s="2460"/>
      <c r="K8" s="2460"/>
    </row>
    <row r="9" spans="1:11" ht="15.6">
      <c r="A9" s="2298" t="s">
        <v>655</v>
      </c>
      <c r="B9" s="1243"/>
      <c r="C9" s="2459"/>
      <c r="D9" s="2459"/>
      <c r="E9" s="2459"/>
      <c r="F9" s="2460"/>
      <c r="G9" s="2460"/>
      <c r="H9" s="2460"/>
      <c r="I9" s="2460"/>
      <c r="J9" s="2460"/>
      <c r="K9" s="2460"/>
    </row>
    <row r="10" spans="1:11" ht="15.6">
      <c r="A10" s="2298" t="s">
        <v>654</v>
      </c>
      <c r="B10" s="2298">
        <f>IF(E10="",0,ROUND(B1*(E10*365/G10)/10000,0))</f>
        <v>0</v>
      </c>
      <c r="C10" s="2298" t="s">
        <v>3349</v>
      </c>
      <c r="D10" s="2298" t="s">
        <v>3350</v>
      </c>
      <c r="E10" s="3134"/>
      <c r="F10" s="3138" t="s">
        <v>3351</v>
      </c>
      <c r="G10" s="3135"/>
      <c r="H10" s="2460"/>
      <c r="I10" s="2460"/>
      <c r="J10" s="2460"/>
      <c r="K10" s="2460"/>
    </row>
    <row r="11" spans="1:11" ht="15.6">
      <c r="A11" s="2298" t="s">
        <v>670</v>
      </c>
      <c r="B11" s="1243"/>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典型户型修正!B22</f>
        <v>6040.7800000000007</v>
      </c>
      <c r="C14" s="2304"/>
      <c r="D14" s="2304">
        <f ca="1">典型户型修正!S22</f>
        <v>101634</v>
      </c>
      <c r="E14" s="2304">
        <f ca="1">ROUND(D14*10000/B14,0)</f>
        <v>168246</v>
      </c>
      <c r="F14" s="2304" t="e">
        <f ca="1">ROUND(D14*10000/C14,0)</f>
        <v>#DIV/0!</v>
      </c>
      <c r="G14" s="2304">
        <f ca="1">D14</f>
        <v>101634</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5.6">
      <c r="A16" s="2303" t="s">
        <v>648</v>
      </c>
      <c r="B16" s="2305"/>
      <c r="C16" s="2305"/>
      <c r="D16" s="2305"/>
      <c r="E16" s="2304" t="e">
        <f t="shared" si="0"/>
        <v>#DIV/0!</v>
      </c>
      <c r="F16" s="2304" t="e">
        <f t="shared" si="1"/>
        <v>#DIV/0!</v>
      </c>
      <c r="G16" s="1243"/>
      <c r="H16" s="1243"/>
      <c r="I16" s="2305"/>
      <c r="J16" s="2460"/>
      <c r="K16" s="2460"/>
    </row>
    <row r="17" spans="1:11" ht="15.6">
      <c r="A17" s="2303" t="s">
        <v>647</v>
      </c>
      <c r="B17" s="2305"/>
      <c r="C17" s="2305"/>
      <c r="D17" s="2305"/>
      <c r="E17" s="2304" t="e">
        <f t="shared" si="0"/>
        <v>#DIV/0!</v>
      </c>
      <c r="F17" s="2304" t="e">
        <f t="shared" si="1"/>
        <v>#DIV/0!</v>
      </c>
      <c r="G17" s="1243"/>
      <c r="H17" s="1243"/>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11" sqref="J11"/>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3399</v>
      </c>
      <c r="D1" s="645"/>
      <c r="E1" s="645"/>
      <c r="F1" s="1620" t="s">
        <v>1263</v>
      </c>
      <c r="G1" s="1452" t="s">
        <v>3432</v>
      </c>
      <c r="H1" s="1620" t="str">
        <f>IF(G1="现房","——","估价对象范围")</f>
        <v>——</v>
      </c>
      <c r="I1" s="1621" t="s">
        <v>3433</v>
      </c>
    </row>
    <row r="2" spans="1:12" ht="21.75" customHeight="1" thickBot="1">
      <c r="A2" s="3369" t="str">
        <f>项目基本情况!S2</f>
        <v>北京市朝阳区东直门外斜街8号院房地产</v>
      </c>
      <c r="B2" s="3370"/>
      <c r="C2" s="3370"/>
      <c r="D2" s="3370"/>
      <c r="E2" s="3370"/>
      <c r="F2" s="3370"/>
      <c r="G2" s="3370"/>
      <c r="H2" s="3370"/>
      <c r="I2" s="3371"/>
    </row>
    <row r="3" spans="1:12" ht="13.2">
      <c r="A3" s="3373" t="s">
        <v>1264</v>
      </c>
      <c r="B3" s="3374"/>
      <c r="C3" s="3374"/>
      <c r="D3" s="3374"/>
      <c r="E3" s="3374"/>
      <c r="F3" s="3374"/>
      <c r="G3" s="3374"/>
      <c r="H3" s="3374"/>
      <c r="I3" s="3374"/>
    </row>
    <row r="4" spans="1:12" ht="14.4">
      <c r="A4" s="1623" t="s">
        <v>1265</v>
      </c>
      <c r="B4" s="1624" t="s">
        <v>1266</v>
      </c>
      <c r="C4" s="1625" t="s">
        <v>4054</v>
      </c>
      <c r="D4" s="1625" t="s">
        <v>4055</v>
      </c>
      <c r="E4" s="3378" t="s">
        <v>1267</v>
      </c>
      <c r="F4" s="3379"/>
      <c r="G4" s="3379"/>
      <c r="H4" s="3379"/>
      <c r="I4" s="338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3.2">
      <c r="A5" s="3317" t="s">
        <v>1268</v>
      </c>
      <c r="B5" s="3372">
        <v>25</v>
      </c>
      <c r="C5" s="3375"/>
      <c r="D5" s="3363"/>
      <c r="E5" s="123" t="s">
        <v>1269</v>
      </c>
      <c r="F5" s="1626"/>
      <c r="G5" s="1626"/>
      <c r="H5" s="1626"/>
      <c r="I5" s="1280"/>
    </row>
    <row r="6" spans="1:12" ht="13.2">
      <c r="A6" s="3317"/>
      <c r="B6" s="3372"/>
      <c r="C6" s="3377"/>
      <c r="D6" s="3363"/>
      <c r="E6" s="123" t="s">
        <v>1270</v>
      </c>
      <c r="F6" s="1626"/>
      <c r="G6" s="1626"/>
      <c r="H6" s="1626"/>
      <c r="I6" s="1280"/>
    </row>
    <row r="7" spans="1:12" ht="13.2">
      <c r="A7" s="3317"/>
      <c r="B7" s="3372"/>
      <c r="C7" s="3376"/>
      <c r="D7" s="3363"/>
      <c r="E7" s="123" t="s">
        <v>1271</v>
      </c>
      <c r="F7" s="1626"/>
      <c r="G7" s="1626"/>
      <c r="H7" s="1626"/>
      <c r="I7" s="1280"/>
    </row>
    <row r="8" spans="1:12" ht="13.2">
      <c r="A8" s="3317" t="s">
        <v>1272</v>
      </c>
      <c r="B8" s="3372">
        <v>15</v>
      </c>
      <c r="C8" s="3375"/>
      <c r="D8" s="3363"/>
      <c r="E8" s="123" t="s">
        <v>1273</v>
      </c>
      <c r="F8" s="1626"/>
      <c r="G8" s="1626"/>
      <c r="H8" s="1626"/>
      <c r="I8" s="1280"/>
    </row>
    <row r="9" spans="1:12" ht="13.2">
      <c r="A9" s="3317"/>
      <c r="B9" s="3372"/>
      <c r="C9" s="3376"/>
      <c r="D9" s="3363"/>
      <c r="E9" s="123" t="s">
        <v>1274</v>
      </c>
      <c r="F9" s="1626"/>
      <c r="G9" s="1626"/>
      <c r="H9" s="1626"/>
      <c r="I9" s="1280"/>
    </row>
    <row r="10" spans="1:12" ht="13.2">
      <c r="A10" s="3317" t="s">
        <v>1275</v>
      </c>
      <c r="B10" s="3372">
        <v>15</v>
      </c>
      <c r="C10" s="3375"/>
      <c r="D10" s="3363"/>
      <c r="E10" s="123" t="s">
        <v>1276</v>
      </c>
      <c r="F10" s="1626"/>
      <c r="G10" s="1626"/>
      <c r="H10" s="1626"/>
      <c r="I10" s="1280"/>
    </row>
    <row r="11" spans="1:12" ht="13.2">
      <c r="A11" s="3317"/>
      <c r="B11" s="3372"/>
      <c r="C11" s="3376"/>
      <c r="D11" s="3363"/>
      <c r="E11" s="123" t="s">
        <v>1277</v>
      </c>
      <c r="F11" s="1626"/>
      <c r="G11" s="1626"/>
      <c r="H11" s="1626"/>
      <c r="I11" s="1280"/>
    </row>
    <row r="12" spans="1:12" ht="13.2">
      <c r="A12" s="3317" t="s">
        <v>1278</v>
      </c>
      <c r="B12" s="3372">
        <v>15</v>
      </c>
      <c r="C12" s="3375"/>
      <c r="D12" s="3363"/>
      <c r="E12" s="123" t="s">
        <v>1279</v>
      </c>
      <c r="F12" s="1626"/>
      <c r="G12" s="1626"/>
      <c r="H12" s="1626"/>
      <c r="I12" s="1280"/>
    </row>
    <row r="13" spans="1:12" ht="13.2">
      <c r="A13" s="3317"/>
      <c r="B13" s="3372"/>
      <c r="C13" s="3376"/>
      <c r="D13" s="3363"/>
      <c r="E13" s="123" t="s">
        <v>1280</v>
      </c>
      <c r="F13" s="1626"/>
      <c r="G13" s="1626"/>
      <c r="H13" s="1626"/>
      <c r="I13" s="1280"/>
    </row>
    <row r="14" spans="1:12" ht="13.2" customHeight="1">
      <c r="A14" s="3317" t="s">
        <v>1281</v>
      </c>
      <c r="B14" s="3372">
        <v>30</v>
      </c>
      <c r="C14" s="3375">
        <v>6</v>
      </c>
      <c r="D14" s="3363">
        <v>4</v>
      </c>
      <c r="E14" s="123" t="s">
        <v>1282</v>
      </c>
      <c r="F14" s="1626"/>
      <c r="G14" s="1626"/>
      <c r="H14" s="1626"/>
      <c r="I14" s="1280"/>
    </row>
    <row r="15" spans="1:12" ht="13.2" customHeight="1">
      <c r="A15" s="3317"/>
      <c r="B15" s="3372"/>
      <c r="C15" s="3377"/>
      <c r="D15" s="3363"/>
      <c r="E15" s="123" t="s">
        <v>1283</v>
      </c>
      <c r="F15" s="1626"/>
      <c r="G15" s="1626"/>
      <c r="H15" s="1626"/>
      <c r="I15" s="1280"/>
    </row>
    <row r="16" spans="1:12" ht="13.2" customHeight="1">
      <c r="A16" s="3317"/>
      <c r="B16" s="3372"/>
      <c r="C16" s="3376"/>
      <c r="D16" s="3363"/>
      <c r="E16" s="123" t="s">
        <v>1284</v>
      </c>
      <c r="F16" s="1626"/>
      <c r="G16" s="1626"/>
      <c r="H16" s="1626"/>
      <c r="I16" s="1280"/>
    </row>
    <row r="17" spans="1:36" ht="14.4">
      <c r="A17" s="1627" t="s">
        <v>1285</v>
      </c>
      <c r="B17" s="54"/>
      <c r="C17" s="124">
        <f>SUM(C5:C16)</f>
        <v>6</v>
      </c>
      <c r="D17" s="124">
        <f>SUM(D5:D16)</f>
        <v>4</v>
      </c>
      <c r="E17" s="121"/>
      <c r="F17" s="121"/>
      <c r="G17" s="121"/>
      <c r="H17" s="121"/>
      <c r="I17" s="121"/>
      <c r="K17" s="294"/>
      <c r="L17" s="294" t="s">
        <v>1286</v>
      </c>
      <c r="M17" s="294" t="s">
        <v>1287</v>
      </c>
    </row>
    <row r="18" spans="1:36" ht="31.95" customHeight="1" thickBot="1">
      <c r="A18" s="1628" t="s">
        <v>1288</v>
      </c>
      <c r="B18" s="1541"/>
      <c r="C18" s="125">
        <f>ROUND(C17/SUM(C17:D17),2)</f>
        <v>0.6</v>
      </c>
      <c r="D18" s="125">
        <f>1-C18</f>
        <v>0.4</v>
      </c>
      <c r="E18" s="3394" t="s">
        <v>2128</v>
      </c>
      <c r="F18" s="3395"/>
      <c r="G18" s="3395"/>
      <c r="H18" s="3395"/>
      <c r="I18" s="3395"/>
      <c r="K18" s="294" t="s">
        <v>1289</v>
      </c>
      <c r="L18" s="294">
        <f>IF(C1="",'数据-汇总表'!E3,SUMIF(项目类型,C1,'数据-汇总表'!E17:E26)+SUMIF(项目类型,C1,'数据-汇总表'!I17:I26))</f>
        <v>182.59</v>
      </c>
      <c r="M18" s="294">
        <f>IF(C1="",'数据-汇总表'!E3,SUMIF(项目类型,C1,'数据-汇总表'!E17:E26))</f>
        <v>182.59</v>
      </c>
    </row>
    <row r="19" spans="1:36" ht="14.4">
      <c r="A19" s="1629" t="s">
        <v>1290</v>
      </c>
      <c r="B19" s="1630" t="s">
        <v>1291</v>
      </c>
      <c r="C19" s="126">
        <f ca="1">SUMIF(INDIRECT("'"&amp;C4&amp;"'"&amp;"!A:A"),结果表!B19,INDIRECT("'"&amp;C4&amp;"'"&amp;"!B:B"))</f>
        <v>3368.7855</v>
      </c>
      <c r="D19" s="127">
        <f ca="1">SUMIF(INDIRECT("'"&amp;D4&amp;"'"&amp;"!A:A"),结果表!B19,INDIRECT("'"&amp;D4&amp;"'"&amp;"!B:B"))</f>
        <v>2531.2883999999999</v>
      </c>
      <c r="E19" s="1629" t="s">
        <v>1292</v>
      </c>
      <c r="F19" s="1630" t="s">
        <v>1291</v>
      </c>
      <c r="G19" s="128">
        <f ca="1">ROUND(C19*$C$18+D19*$D$18,0)</f>
        <v>3034</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184500</v>
      </c>
      <c r="D20" s="130">
        <f ca="1">SUMIF(INDIRECT("'"&amp;D4&amp;"'"&amp;"!A:A"),结果表!B20,INDIRECT("'"&amp;D4&amp;"'"&amp;"!B:B"))</f>
        <v>138632</v>
      </c>
      <c r="E20" s="1632"/>
      <c r="F20" s="43" t="s">
        <v>1295</v>
      </c>
      <c r="G20" s="131">
        <f ca="1">ROUND(C20*$C$18+D20*$D$18,0)</f>
        <v>166153</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0.3308580326129571</v>
      </c>
      <c r="E22" s="121"/>
      <c r="F22" s="121"/>
      <c r="G22" s="121"/>
      <c r="H22" s="121"/>
      <c r="I22" s="121"/>
    </row>
    <row r="23" spans="1:36" ht="13.8" thickBot="1">
      <c r="A23" s="645"/>
      <c r="B23" s="645"/>
      <c r="C23" s="645"/>
      <c r="D23" s="645"/>
      <c r="E23" s="121"/>
      <c r="F23" s="121"/>
      <c r="G23" s="121"/>
      <c r="H23" s="121"/>
      <c r="I23" s="121"/>
    </row>
    <row r="24" spans="1:36" ht="14.4">
      <c r="A24" s="3387" t="s">
        <v>1299</v>
      </c>
      <c r="B24" s="1630" t="s">
        <v>1291</v>
      </c>
      <c r="C24" s="128">
        <f>IF(B30=0,0,D30)</f>
        <v>0</v>
      </c>
      <c r="D24" s="1636"/>
      <c r="E24" s="121"/>
      <c r="F24" s="121"/>
      <c r="G24" s="121"/>
      <c r="H24" s="121"/>
      <c r="I24" s="121"/>
    </row>
    <row r="25" spans="1:36" ht="14.4">
      <c r="A25" s="3388"/>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2129</v>
      </c>
      <c r="F30" s="121"/>
      <c r="G30" s="121"/>
      <c r="H30" s="121"/>
      <c r="I30" s="121"/>
    </row>
    <row r="31" spans="1:36" s="2132" customFormat="1" ht="26.4" customHeight="1" thickTop="1" thickBot="1">
      <c r="A31" s="2127"/>
      <c r="B31" s="2128"/>
      <c r="C31" s="2128"/>
      <c r="D31" s="2128"/>
      <c r="E31" s="2128"/>
      <c r="F31" s="2128"/>
      <c r="G31" s="2128"/>
      <c r="H31" s="2128"/>
      <c r="I31" s="2129" t="s">
        <v>2130</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3034</v>
      </c>
      <c r="D32" s="1640" t="s">
        <v>3444</v>
      </c>
      <c r="E32" s="121"/>
      <c r="F32" s="121"/>
      <c r="G32" s="121"/>
      <c r="H32" s="121"/>
      <c r="I32" s="121"/>
    </row>
    <row r="33" spans="1:15" ht="14.4">
      <c r="A33" s="739" t="s">
        <v>1306</v>
      </c>
      <c r="B33" s="123"/>
      <c r="C33" s="1641" t="s">
        <v>3445</v>
      </c>
      <c r="D33" s="1642" t="s">
        <v>3443</v>
      </c>
      <c r="E33" s="1643" t="s">
        <v>1307</v>
      </c>
      <c r="F33" s="1644" t="str">
        <f>IF(D32="楼面单价","取值（单价）","取值（总价）")</f>
        <v>取值（总价）</v>
      </c>
      <c r="G33" s="121"/>
      <c r="H33" s="121"/>
      <c r="I33" s="121"/>
    </row>
    <row r="34" spans="1:15" ht="14.4">
      <c r="A34" s="1645"/>
      <c r="B34" s="1646" t="s">
        <v>1308</v>
      </c>
      <c r="C34" s="140" t="e">
        <f ca="1">IF(C33="自定义",F34,C32-C35)</f>
        <v>#N/A</v>
      </c>
      <c r="D34" s="807" t="e">
        <f ca="1">IF(C33="自定义",ROUND(C34/C32,3),IF(C33="收益比率",SUMIF(INDIRECT("'"&amp;D33&amp;"'"&amp;"!b:b"),"土地收益比率",INDIRECT("'"&amp;D33&amp;"'"&amp;"!c:c")),SUMIF(INDIRECT("'"&amp;D33&amp;"'"&amp;"!b:b"),"土地成本比率",INDIRECT("'"&amp;D33&amp;"'"&amp;"!c:c"))))</f>
        <v>#N/A</v>
      </c>
      <c r="E34" s="1647" t="s">
        <v>1309</v>
      </c>
      <c r="F34" s="1242"/>
      <c r="G34" s="121"/>
      <c r="H34" s="121"/>
      <c r="I34" s="121"/>
    </row>
    <row r="35" spans="1:15" ht="15" thickBot="1">
      <c r="A35" s="1648"/>
      <c r="B35" s="1649" t="s">
        <v>1310</v>
      </c>
      <c r="C35" s="1089" t="e">
        <f ca="1">IF(C33="自定义",F35,ROUND(C32*D35,0))</f>
        <v>#N/A</v>
      </c>
      <c r="D35" s="1090" t="e">
        <f ca="1">IF(C33="自定义",ROUND(C35/C32,3),IF(C33="收益比率",SUMIF(INDIRECT("'"&amp;D33&amp;"'"&amp;"!b:b"),"建筑物收益比率",INDIRECT("'"&amp;D33&amp;"'"&amp;"!c:c")),SUMIF(INDIRECT("'"&amp;D33&amp;"'"&amp;"!b:b"),"建筑物成本比率",INDIRECT("'"&amp;D33&amp;"'"&amp;"!c:c"))))</f>
        <v>#N/A</v>
      </c>
      <c r="E35" s="1650" t="s">
        <v>1311</v>
      </c>
      <c r="F35" s="146"/>
      <c r="G35" s="121"/>
      <c r="H35" s="121"/>
      <c r="I35" s="121"/>
    </row>
    <row r="36" spans="1:15" ht="15" thickBot="1">
      <c r="A36" s="3364" t="s">
        <v>1312</v>
      </c>
      <c r="B36" s="1651" t="s">
        <v>1313</v>
      </c>
      <c r="C36" s="137"/>
      <c r="D36" s="1652"/>
      <c r="E36" s="1566"/>
      <c r="F36" s="1653"/>
      <c r="G36" s="121"/>
      <c r="H36" s="121"/>
      <c r="I36" s="121"/>
    </row>
    <row r="37" spans="1:15" ht="15" thickBot="1">
      <c r="A37" s="3365"/>
      <c r="B37" s="1554" t="s">
        <v>1314</v>
      </c>
      <c r="C37" s="139"/>
      <c r="D37" s="1070"/>
      <c r="E37" s="1070"/>
      <c r="F37" s="1653"/>
      <c r="G37" s="121"/>
      <c r="H37" s="121"/>
      <c r="I37" s="121"/>
    </row>
    <row r="38" spans="1:15" ht="15" thickBot="1">
      <c r="A38" s="3366"/>
      <c r="B38" s="1654" t="s">
        <v>1315</v>
      </c>
      <c r="C38" s="640"/>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84" t="s">
        <v>1326</v>
      </c>
      <c r="B45" s="3385"/>
      <c r="C45" s="3386"/>
      <c r="D45" s="147">
        <f ca="1">ROUND(H101*F45,0)</f>
        <v>3034</v>
      </c>
      <c r="E45" s="148" t="s">
        <v>1327</v>
      </c>
      <c r="F45" s="149">
        <v>1</v>
      </c>
      <c r="G45" s="150" t="s">
        <v>1328</v>
      </c>
      <c r="H45" s="121"/>
      <c r="I45" s="121"/>
      <c r="J45" s="3304" t="s">
        <v>1329</v>
      </c>
      <c r="K45" s="3304"/>
      <c r="L45" s="3304"/>
      <c r="M45" s="3304"/>
      <c r="N45" s="3304"/>
      <c r="O45" s="3304"/>
    </row>
    <row r="46" spans="1:15" ht="14.25" customHeight="1">
      <c r="A46" s="3381" t="s">
        <v>1330</v>
      </c>
      <c r="B46" s="3382"/>
      <c r="C46" s="3382"/>
      <c r="D46" s="3382"/>
      <c r="E46" s="3382"/>
      <c r="F46" s="3382"/>
      <c r="G46" s="3383"/>
      <c r="H46" s="1667"/>
      <c r="I46" s="151"/>
      <c r="J46" s="2308">
        <v>1</v>
      </c>
      <c r="K46" s="3305" t="s">
        <v>1331</v>
      </c>
      <c r="L46" s="3305"/>
      <c r="M46" s="3306"/>
      <c r="N46" s="3306"/>
      <c r="O46" s="3306"/>
    </row>
    <row r="47" spans="1:15" ht="12" customHeight="1">
      <c r="A47" s="152" t="s">
        <v>1332</v>
      </c>
      <c r="B47" s="153"/>
      <c r="C47" s="154"/>
      <c r="D47" s="1023" t="s">
        <v>1333</v>
      </c>
      <c r="E47" s="294" t="s">
        <v>1334</v>
      </c>
      <c r="F47" s="155" t="s">
        <v>1335</v>
      </c>
      <c r="G47" s="2331" t="s">
        <v>1336</v>
      </c>
      <c r="H47" s="2332"/>
      <c r="I47" s="151"/>
      <c r="J47" s="2308">
        <v>2</v>
      </c>
      <c r="K47" s="3305" t="s">
        <v>1337</v>
      </c>
      <c r="L47" s="3305"/>
      <c r="M47" s="3307">
        <f>'数据-取费表'!B2</f>
        <v>45825</v>
      </c>
      <c r="N47" s="3307"/>
      <c r="O47" s="3307"/>
    </row>
    <row r="48" spans="1:15" ht="26.4">
      <c r="A48" s="3367" t="s">
        <v>1338</v>
      </c>
      <c r="B48" s="3368"/>
      <c r="C48" s="3368"/>
      <c r="D48" s="12">
        <f ca="1">IF(H48="情况1",0,IF(H48="情况2",D52,IF(H48="情况3",D53,IF(H48="情况4",D54))))</f>
        <v>162</v>
      </c>
      <c r="E48" s="1255" t="str">
        <f>IF(H48="情况4","(销售额-原购置价)×税（费）率","销售额×税（费）率")</f>
        <v>销售额×税（费）率</v>
      </c>
      <c r="F48" s="2333">
        <f>IF(H48="情况1","免征",'数据-取费表'!B41)</f>
        <v>5.6000000000000001E-2</v>
      </c>
      <c r="G48" s="2334" t="s">
        <v>1339</v>
      </c>
      <c r="H48" s="2335" t="s">
        <v>3436</v>
      </c>
      <c r="I48" s="1667"/>
      <c r="J48" s="2308">
        <v>3</v>
      </c>
      <c r="K48" s="3305" t="s">
        <v>1340</v>
      </c>
      <c r="L48" s="3305"/>
      <c r="M48" s="3308">
        <f ca="1">H101</f>
        <v>3034</v>
      </c>
      <c r="N48" s="3308"/>
      <c r="O48" s="3308"/>
    </row>
    <row r="49" spans="1:35" ht="25.5" customHeight="1">
      <c r="A49" s="2151" t="s">
        <v>1341</v>
      </c>
      <c r="B49" s="3353" t="s">
        <v>1342</v>
      </c>
      <c r="C49" s="3353"/>
      <c r="D49" s="1477">
        <v>0</v>
      </c>
      <c r="E49" s="316" t="s">
        <v>1343</v>
      </c>
      <c r="F49" s="2232" t="s">
        <v>28</v>
      </c>
      <c r="G49" s="3336"/>
      <c r="H49" s="2133" t="s">
        <v>2131</v>
      </c>
      <c r="I49" s="2134"/>
      <c r="J49" s="2308">
        <v>4</v>
      </c>
      <c r="K49" s="3305" t="str">
        <f>IF(项目基本情况!E8="房地产抵押价值","房地产抵押价值","抵押担保权已注销时的房地产抵押价值")</f>
        <v>房地产抵押价值</v>
      </c>
      <c r="L49" s="3305"/>
      <c r="M49" s="3308">
        <f ca="1">IF(项目基本情况!E8="房地产抵押价值",H107,H109)</f>
        <v>3034</v>
      </c>
      <c r="N49" s="3308"/>
      <c r="O49" s="3308"/>
    </row>
    <row r="50" spans="1:35" ht="25.5" customHeight="1">
      <c r="A50" s="2336"/>
      <c r="B50" s="3353" t="s">
        <v>1344</v>
      </c>
      <c r="C50" s="3353"/>
      <c r="D50" s="2188"/>
      <c r="E50" s="323"/>
      <c r="F50" s="2232"/>
      <c r="G50" s="3337"/>
      <c r="H50" s="2135" t="s">
        <v>2132</v>
      </c>
      <c r="I50" s="2134"/>
      <c r="J50" s="3304" t="s">
        <v>1345</v>
      </c>
      <c r="K50" s="3304"/>
      <c r="L50" s="3304"/>
      <c r="M50" s="3304"/>
      <c r="N50" s="3304"/>
      <c r="O50" s="3304"/>
    </row>
    <row r="51" spans="1:35" ht="20.399999999999999" customHeight="1">
      <c r="A51" s="2337"/>
      <c r="B51" s="3353" t="s">
        <v>1346</v>
      </c>
      <c r="C51" s="3353"/>
      <c r="D51" s="1023"/>
      <c r="E51" s="319"/>
      <c r="F51" s="2232"/>
      <c r="G51" s="3338"/>
      <c r="H51" s="2135" t="s">
        <v>2133</v>
      </c>
      <c r="I51" s="2134"/>
      <c r="J51" s="2309" t="s">
        <v>1347</v>
      </c>
      <c r="K51" s="3305" t="s">
        <v>1348</v>
      </c>
      <c r="L51" s="3305"/>
      <c r="M51" s="2309" t="s">
        <v>1349</v>
      </c>
      <c r="N51" s="2309" t="s">
        <v>1350</v>
      </c>
      <c r="O51" s="2309" t="s">
        <v>1351</v>
      </c>
    </row>
    <row r="52" spans="1:35" ht="24" customHeight="1">
      <c r="A52" s="2152" t="s">
        <v>1352</v>
      </c>
      <c r="B52" s="3353" t="s">
        <v>1353</v>
      </c>
      <c r="C52" s="3353"/>
      <c r="D52" s="1023">
        <f ca="1">ROUND(D45*'数据-取费表'!B41/(1+'数据-取费表'!C42),0)</f>
        <v>162</v>
      </c>
      <c r="E52" s="1255" t="s">
        <v>1354</v>
      </c>
      <c r="F52" s="2338">
        <f>'数据-取费表'!B41</f>
        <v>5.6000000000000001E-2</v>
      </c>
      <c r="G52" s="2339"/>
      <c r="H52" s="2329"/>
      <c r="I52" s="1668"/>
      <c r="J52" s="2308">
        <v>1</v>
      </c>
      <c r="K52" s="3330" t="s">
        <v>1355</v>
      </c>
      <c r="L52" s="3330"/>
      <c r="M52" s="2310">
        <f ca="1">D48</f>
        <v>162</v>
      </c>
      <c r="N52" s="2308" t="str">
        <f>E48</f>
        <v>销售额×税（费）率</v>
      </c>
      <c r="O52" s="2311">
        <f>F48</f>
        <v>5.6000000000000001E-2</v>
      </c>
    </row>
    <row r="53" spans="1:35" ht="12" customHeight="1">
      <c r="A53" s="2152" t="s">
        <v>1356</v>
      </c>
      <c r="B53" s="3354" t="s">
        <v>2284</v>
      </c>
      <c r="C53" s="3355"/>
      <c r="D53" s="1023">
        <f ca="1">ROUND(D45*'数据-取费表'!B41/(1+'数据-取费表'!C42),0)</f>
        <v>162</v>
      </c>
      <c r="E53" s="1255" t="s">
        <v>1354</v>
      </c>
      <c r="F53" s="2338">
        <f>'数据-取费表'!B41</f>
        <v>5.6000000000000001E-2</v>
      </c>
      <c r="G53" s="2339"/>
      <c r="H53" s="2329"/>
      <c r="I53" s="1668"/>
      <c r="J53" s="2308">
        <v>2</v>
      </c>
      <c r="K53" s="3330" t="s">
        <v>1357</v>
      </c>
      <c r="L53" s="3330"/>
      <c r="M53" s="2310">
        <f t="shared" ref="M53:O54" ca="1" si="0">D55</f>
        <v>2</v>
      </c>
      <c r="N53" s="2308" t="str">
        <f t="shared" si="0"/>
        <v>销售额×税（费）率</v>
      </c>
      <c r="O53" s="2311">
        <f t="shared" si="0"/>
        <v>5.0000000000000001E-4</v>
      </c>
    </row>
    <row r="54" spans="1:35" ht="12" customHeight="1">
      <c r="A54" s="2152" t="s">
        <v>1358</v>
      </c>
      <c r="B54" s="3354" t="s">
        <v>2285</v>
      </c>
      <c r="C54" s="3355"/>
      <c r="D54" s="1023">
        <f ca="1">C68</f>
        <v>162</v>
      </c>
      <c r="E54" s="319" t="s">
        <v>1359</v>
      </c>
      <c r="F54" s="2338">
        <f>'数据-取费表'!B41</f>
        <v>5.6000000000000001E-2</v>
      </c>
      <c r="G54" s="2339"/>
      <c r="H54" s="2340"/>
      <c r="I54" s="1668"/>
      <c r="J54" s="2308">
        <v>3</v>
      </c>
      <c r="K54" s="3330" t="s">
        <v>1360</v>
      </c>
      <c r="L54" s="3330"/>
      <c r="M54" s="2310">
        <f t="shared" ca="1" si="0"/>
        <v>1445</v>
      </c>
      <c r="N54" s="2308" t="str">
        <f t="shared" si="0"/>
        <v>增值额×税（费）率</v>
      </c>
      <c r="O54" s="2312" t="str">
        <f t="shared" si="0"/>
        <v>——</v>
      </c>
    </row>
    <row r="55" spans="1:35" ht="24" customHeight="1">
      <c r="A55" s="3390" t="s">
        <v>1361</v>
      </c>
      <c r="B55" s="3368"/>
      <c r="C55" s="3368"/>
      <c r="D55" s="12">
        <f ca="1">IF(H55="个人住宅",0,ROUND(D45*I55,0))</f>
        <v>2</v>
      </c>
      <c r="E55" s="1255" t="s">
        <v>1362</v>
      </c>
      <c r="F55" s="2338">
        <f>IF(H55="正常",I55,"免征")</f>
        <v>5.0000000000000001E-4</v>
      </c>
      <c r="G55" s="2339"/>
      <c r="H55" s="2335" t="s">
        <v>3437</v>
      </c>
      <c r="I55" s="157">
        <f>'数据-取费表'!B49</f>
        <v>5.0000000000000001E-4</v>
      </c>
      <c r="J55" s="2308" t="str">
        <f>IF(H59="非个人房产","",4)</f>
        <v/>
      </c>
      <c r="K55" s="3330" t="str">
        <f>IF(H59="非个人房产","——","个人所得税")</f>
        <v>——</v>
      </c>
      <c r="L55" s="3330"/>
      <c r="M55" s="2313" t="str">
        <f>D59</f>
        <v>——</v>
      </c>
      <c r="N55" s="1882" t="str">
        <f>E59</f>
        <v>——</v>
      </c>
      <c r="O55" s="2314" t="str">
        <f>F59</f>
        <v>——</v>
      </c>
    </row>
    <row r="56" spans="1:35" ht="25.2">
      <c r="A56" s="3390" t="s">
        <v>1363</v>
      </c>
      <c r="B56" s="3368"/>
      <c r="C56" s="3368"/>
      <c r="D56" s="12">
        <f ca="1">IF(H56="个人住宅",D57,D58)</f>
        <v>1445</v>
      </c>
      <c r="E56" s="1255" t="s">
        <v>1364</v>
      </c>
      <c r="F56" s="2338" t="str">
        <f>IF(H56="正常",F58,"免征")</f>
        <v>——</v>
      </c>
      <c r="G56" s="2341" t="s">
        <v>1365</v>
      </c>
      <c r="H56" s="2342" t="s">
        <v>3437</v>
      </c>
      <c r="I56" s="1669"/>
      <c r="J56" s="2308" t="str">
        <f>IF(项目基本情况!K6="上海银行",IF(J55="",4,J55+1),"")</f>
        <v/>
      </c>
      <c r="K56" s="3311" t="str">
        <f>IF(项目基本情况!K6="上海银行","其他处置费用","")</f>
        <v/>
      </c>
      <c r="L56" s="3312"/>
      <c r="M56" s="2310" t="str">
        <f>IF(项目基本情况!K6="上海银行",M69,"")</f>
        <v/>
      </c>
      <c r="N56" s="3311" t="str">
        <f>IF(项目基本情况!K6="上海银行","包含处置中涉及的律师、诉讼、拍卖、评估等费用","")</f>
        <v/>
      </c>
      <c r="O56" s="3314"/>
    </row>
    <row r="57" spans="1:35" ht="13.2">
      <c r="A57" s="2152" t="s">
        <v>1341</v>
      </c>
      <c r="B57" s="3354" t="s">
        <v>1366</v>
      </c>
      <c r="C57" s="3355"/>
      <c r="D57" s="1477">
        <v>0</v>
      </c>
      <c r="E57" s="316" t="s">
        <v>1343</v>
      </c>
      <c r="F57" s="294"/>
      <c r="G57" s="2339"/>
      <c r="H57" s="2343"/>
      <c r="I57" s="1669"/>
      <c r="J57" s="3330">
        <f>IF(AND(J55="",J56=""),4,IF(项目基本情况!K6="上海银行",结果表!J56+1,结果表!J55+1))</f>
        <v>4</v>
      </c>
      <c r="K57" s="3330" t="s">
        <v>1367</v>
      </c>
      <c r="L57" s="2315" t="s">
        <v>1368</v>
      </c>
      <c r="M57" s="2316"/>
      <c r="N57" s="2317">
        <f ca="1">SUMIF(M52:M56,"&lt;9e307")</f>
        <v>1609</v>
      </c>
      <c r="O57" s="2318"/>
      <c r="P57" s="2462">
        <f ca="1">N57/M49</f>
        <v>0.53032300593276205</v>
      </c>
    </row>
    <row r="58" spans="1:35" ht="25.2">
      <c r="A58" s="2152" t="s">
        <v>1352</v>
      </c>
      <c r="B58" s="3354" t="s">
        <v>1369</v>
      </c>
      <c r="C58" s="3353"/>
      <c r="D58" s="12">
        <f ca="1">IF(H58="转让取得",C81,C97)</f>
        <v>1445</v>
      </c>
      <c r="E58" s="1255" t="s">
        <v>1364</v>
      </c>
      <c r="F58" s="294" t="s">
        <v>28</v>
      </c>
      <c r="G58" s="2339"/>
      <c r="H58" s="2342" t="s">
        <v>3438</v>
      </c>
      <c r="I58" s="1669"/>
      <c r="J58" s="3330"/>
      <c r="K58" s="3330"/>
      <c r="L58" s="2315" t="s">
        <v>1370</v>
      </c>
      <c r="M58" s="2319"/>
      <c r="N58" s="2320" t="str">
        <f ca="1">NUMBERSTRING(INT(N57*10000),2)&amp;"元整"</f>
        <v>壹仟陆佰零玖万元整</v>
      </c>
      <c r="O58" s="2321"/>
    </row>
    <row r="59" spans="1:35" ht="24.6" thickBot="1">
      <c r="A59" s="3334" t="s">
        <v>1371</v>
      </c>
      <c r="B59" s="3335"/>
      <c r="C59" s="3335"/>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7" t="s">
        <v>3439</v>
      </c>
      <c r="I59" s="2136" t="s">
        <v>2134</v>
      </c>
      <c r="J59" s="3332">
        <f>J57+1</f>
        <v>5</v>
      </c>
      <c r="K59" s="3330" t="s">
        <v>1372</v>
      </c>
      <c r="L59" s="2308" t="s">
        <v>1368</v>
      </c>
      <c r="M59" s="2322"/>
      <c r="N59" s="2323">
        <f ca="1">M49-N57</f>
        <v>1425</v>
      </c>
      <c r="O59" s="2324"/>
    </row>
    <row r="60" spans="1:35" ht="12" customHeight="1">
      <c r="A60" s="1670"/>
      <c r="B60" s="645"/>
      <c r="C60" s="645"/>
      <c r="D60" s="645"/>
      <c r="E60" s="1465"/>
      <c r="F60" s="1669"/>
      <c r="G60" s="1669"/>
      <c r="H60" s="151"/>
      <c r="I60" s="121"/>
      <c r="J60" s="3333"/>
      <c r="K60" s="3330"/>
      <c r="L60" s="2315" t="s">
        <v>1370</v>
      </c>
      <c r="M60" s="2319"/>
      <c r="N60" s="2320" t="str">
        <f ca="1">NUMBERSTRING(INT(N59*10000),2)&amp;"元整"</f>
        <v>壹仟肆佰贰拾伍万元整</v>
      </c>
      <c r="O60" s="2321"/>
    </row>
    <row r="61" spans="1:35" ht="13.8" thickBot="1">
      <c r="A61" s="3389" t="s">
        <v>1373</v>
      </c>
      <c r="B61" s="3389"/>
      <c r="C61" s="3389"/>
      <c r="D61" s="3389"/>
      <c r="E61" s="3389"/>
      <c r="F61" s="1669"/>
      <c r="G61" s="1669"/>
      <c r="H61" s="151"/>
      <c r="I61" s="121"/>
      <c r="J61" s="2308">
        <f>J59+1</f>
        <v>6</v>
      </c>
      <c r="K61" s="3330" t="s">
        <v>1374</v>
      </c>
      <c r="L61" s="3330"/>
      <c r="M61" s="2325"/>
      <c r="N61" s="2326">
        <f ca="1">ROUND(N59*10000/'数据-汇总表'!E3,0)</f>
        <v>78044</v>
      </c>
      <c r="O61" s="2327"/>
    </row>
    <row r="62" spans="1:35" ht="13.2">
      <c r="A62" s="3349" t="s">
        <v>1375</v>
      </c>
      <c r="B62" s="3350"/>
      <c r="C62" s="1864"/>
      <c r="D62" s="1864" t="s">
        <v>1376</v>
      </c>
      <c r="E62" s="158" t="s">
        <v>1377</v>
      </c>
      <c r="F62" s="1669"/>
      <c r="G62" s="1669"/>
      <c r="H62" s="151"/>
      <c r="I62" s="121"/>
    </row>
    <row r="63" spans="1:35" ht="13.2">
      <c r="A63" s="165" t="s">
        <v>330</v>
      </c>
      <c r="B63" s="159" t="s">
        <v>1378</v>
      </c>
      <c r="C63" s="2348">
        <f ca="1">ROUND((C64+C65)/(1+'数据-取费表'!C42),0)</f>
        <v>2890</v>
      </c>
      <c r="D63" s="159"/>
      <c r="E63" s="160"/>
      <c r="F63" s="1669"/>
      <c r="G63" s="1669"/>
      <c r="H63" s="151"/>
      <c r="I63" s="121"/>
      <c r="J63" s="3313" t="s">
        <v>1379</v>
      </c>
      <c r="K63" s="1244" t="s">
        <v>1380</v>
      </c>
      <c r="L63" s="1244">
        <f ca="1">IF(M49&gt;10000,M49*0.5%,IF(AND(M49&gt;1000,M49&lt;=10000),M49*1%,IF(AND(M49&gt;100,M49&lt;=1000),M49*3%,IF(AND(M49&gt;10,M49&lt;=100),M49*5%,M49*8%))))</f>
        <v>30.34</v>
      </c>
      <c r="M63" s="294">
        <f ca="1">ROUND(L63,1)</f>
        <v>30.3</v>
      </c>
      <c r="N63" s="2328"/>
      <c r="Z63" s="1622"/>
      <c r="AI63" s="1560"/>
    </row>
    <row r="64" spans="1:35" ht="14.25" customHeight="1">
      <c r="A64" s="161" t="s">
        <v>325</v>
      </c>
      <c r="B64" s="162" t="s">
        <v>1381</v>
      </c>
      <c r="C64" s="2349">
        <f ca="1">D45</f>
        <v>3034</v>
      </c>
      <c r="D64" s="162" t="s">
        <v>26</v>
      </c>
      <c r="E64" s="164"/>
      <c r="F64" s="1669"/>
      <c r="G64" s="1669"/>
      <c r="H64" s="151"/>
      <c r="I64" s="121"/>
      <c r="J64" s="3313"/>
      <c r="K64" s="1244" t="s">
        <v>1382</v>
      </c>
      <c r="L64" s="1244">
        <f ca="1">IF(M49&gt;2000,M49*0.5%,IF(AND(M49&gt;1000,M49&lt;=2000),M49*0.6%,IF(AND(M49&gt;500,M49&lt;=1000),M49*0.7%,IF(AND(M49&gt;200,M49&lt;=500),M49*0.8%,IF(AND(M49&gt;100,M49&lt;=200),M49*0.9%,IF(AND(M49&gt;50,M49&lt;=100),M49*1%,IF(AND(M49&gt;20,M49&lt;=50),M49*1.5%,IF(AND(M49&gt;10,M49&lt;=20),M49*2%,IF(AND(M49&gt;1,M49&lt;=10),M49*2.5%)))))))))</f>
        <v>15.17</v>
      </c>
      <c r="M64" s="294">
        <f t="shared" ref="M64:M65" ca="1" si="1">ROUND(L64,1)</f>
        <v>15.2</v>
      </c>
      <c r="N64" s="2329" t="s">
        <v>1383</v>
      </c>
      <c r="Z64" s="1622"/>
      <c r="AI64" s="1560"/>
    </row>
    <row r="65" spans="1:35" ht="14.25" customHeight="1">
      <c r="A65" s="161" t="s">
        <v>326</v>
      </c>
      <c r="B65" s="162" t="s">
        <v>1384</v>
      </c>
      <c r="C65" s="2350"/>
      <c r="D65" s="162"/>
      <c r="E65" s="164"/>
      <c r="F65" s="1669"/>
      <c r="G65" s="1669"/>
      <c r="H65" s="151"/>
      <c r="I65" s="121"/>
      <c r="J65" s="3313"/>
      <c r="K65" s="1244" t="s">
        <v>1385</v>
      </c>
      <c r="L65" s="1244">
        <f ca="1">IF(M49&gt;1000,M49*0.1%,IF(AND(M49&gt;500,M49&lt;=1000),M49*0.5%,IF(AND(M49&gt;50,M49&lt;=500),M49*1%,IF(AND(M49&gt;1,M49&lt;=50),M49*1.5%))))</f>
        <v>3.0340000000000003</v>
      </c>
      <c r="M65" s="294">
        <f t="shared" ca="1" si="1"/>
        <v>3</v>
      </c>
      <c r="N65" s="2329" t="s">
        <v>1383</v>
      </c>
      <c r="Z65" s="1622"/>
      <c r="AI65" s="1560"/>
    </row>
    <row r="66" spans="1:35" ht="14.25" customHeight="1">
      <c r="A66" s="165" t="s">
        <v>327</v>
      </c>
      <c r="B66" s="166" t="s">
        <v>1386</v>
      </c>
      <c r="C66" s="2351"/>
      <c r="D66" s="166" t="s">
        <v>26</v>
      </c>
      <c r="E66" s="1250" t="s">
        <v>671</v>
      </c>
      <c r="F66" s="1669"/>
      <c r="G66" s="1669"/>
      <c r="H66" s="151"/>
      <c r="I66" s="121"/>
      <c r="J66" s="3313"/>
      <c r="K66" s="1244" t="s">
        <v>1387</v>
      </c>
      <c r="L66" s="1244">
        <f ca="1">M49*0.5%</f>
        <v>15.17</v>
      </c>
      <c r="M66" s="294">
        <f ca="1">IF(L66&gt;0.5,0.5,ROUND(L66,0))</f>
        <v>0.5</v>
      </c>
      <c r="N66" s="2329" t="s">
        <v>1388</v>
      </c>
      <c r="Z66" s="1622"/>
      <c r="AI66" s="1560"/>
    </row>
    <row r="67" spans="1:35" ht="14.25" customHeight="1">
      <c r="A67" s="165" t="s">
        <v>328</v>
      </c>
      <c r="B67" s="166" t="s">
        <v>1389</v>
      </c>
      <c r="C67" s="2352">
        <f ca="1">C63-C66</f>
        <v>2890</v>
      </c>
      <c r="D67" s="162" t="s">
        <v>26</v>
      </c>
      <c r="E67" s="164"/>
      <c r="F67" s="1669"/>
      <c r="G67" s="1669"/>
      <c r="H67" s="151"/>
      <c r="I67" s="121"/>
      <c r="J67" s="3313"/>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2"/>
      <c r="AI67" s="1560"/>
    </row>
    <row r="68" spans="1:35" ht="14.25" customHeight="1" thickBot="1">
      <c r="A68" s="168" t="s">
        <v>329</v>
      </c>
      <c r="B68" s="169" t="s">
        <v>1391</v>
      </c>
      <c r="C68" s="2353">
        <f ca="1">IF(C67&lt;=0,0,ROUND(C67*D68,0))</f>
        <v>162</v>
      </c>
      <c r="D68" s="2354">
        <f>'数据-取费表'!B41</f>
        <v>5.6000000000000001E-2</v>
      </c>
      <c r="E68" s="170"/>
      <c r="F68" s="1669"/>
      <c r="G68" s="1669"/>
      <c r="H68" s="151"/>
      <c r="I68" s="121"/>
      <c r="J68" s="3313"/>
      <c r="K68" s="1244" t="s">
        <v>1392</v>
      </c>
      <c r="L68" s="1244">
        <f ca="1">IF(M49&gt;10000,M49*0.5%,IF(AND(M49&gt;5000,M49&lt;=10000),M49*1%,IF(AND(M49&gt;1000,M49&lt;=5000),M49*2%,IF(AND(M49&gt;200,M49&lt;=1000),M49*3%,M49*5%))))</f>
        <v>60.68</v>
      </c>
      <c r="M68" s="294">
        <f ca="1">ROUND(L68,1)</f>
        <v>60.7</v>
      </c>
      <c r="N68" s="2328"/>
      <c r="Z68" s="1622"/>
      <c r="AI68" s="1560"/>
    </row>
    <row r="69" spans="1:35" ht="16.5" customHeight="1">
      <c r="A69" s="1671"/>
      <c r="B69" s="1672"/>
      <c r="C69" s="1673"/>
      <c r="D69" s="1674"/>
      <c r="E69" s="1675"/>
      <c r="F69" s="1465"/>
      <c r="G69" s="1465"/>
      <c r="H69" s="1466"/>
      <c r="I69" s="645"/>
      <c r="J69" s="3313"/>
      <c r="K69" s="1244" t="s">
        <v>1393</v>
      </c>
      <c r="L69" s="1244"/>
      <c r="M69" s="294">
        <f ca="1">ROUND(SUM(M63:M68),0)</f>
        <v>112</v>
      </c>
      <c r="N69" s="2330">
        <f ca="1">M69/M49</f>
        <v>3.6914963744232039E-2</v>
      </c>
      <c r="Z69" s="1622"/>
      <c r="AI69" s="1560"/>
    </row>
    <row r="70" spans="1:35" s="641" customFormat="1" ht="14.4" thickBot="1">
      <c r="A70" s="3357" t="s">
        <v>1394</v>
      </c>
      <c r="B70" s="3358"/>
      <c r="C70" s="3358"/>
      <c r="D70" s="3358"/>
      <c r="E70" s="3358"/>
      <c r="F70" s="3358"/>
      <c r="G70" s="3358"/>
      <c r="H70" s="335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49" t="s">
        <v>1375</v>
      </c>
      <c r="B71" s="335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52">
        <f ca="1">ROUND(D45/(1+'数据-取费表'!C42),0)</f>
        <v>2890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52">
        <f ca="1">C74+C78</f>
        <v>17</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8">
        <v>0.05</v>
      </c>
      <c r="E76" s="3354" t="s">
        <v>1402</v>
      </c>
      <c r="F76" s="3353"/>
      <c r="G76" s="3353"/>
      <c r="H76" s="335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0">
        <f ca="1">ROUND(D45*D78/(1+'数据-取费表'!C42),0)</f>
        <v>17</v>
      </c>
      <c r="D78" s="2361">
        <f>'数据-取费表'!B43</f>
        <v>6.000000000000001E-3</v>
      </c>
      <c r="E78" s="3346" t="s">
        <v>1406</v>
      </c>
      <c r="F78" s="3347"/>
      <c r="G78" s="3347"/>
      <c r="H78" s="334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1407</v>
      </c>
      <c r="C79" s="2352">
        <f ca="1">C72-C73</f>
        <v>2873</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2">
        <f ca="1">IF(C79&lt;=0,0,C79/C73)</f>
        <v>169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3">
        <f ca="1">ROUND(IF(C79&lt;=0,0,IF(C80&gt;=200%,C79*60%-C73*35%,IF(C80&gt;=100%,C79*50%-C73*15%,IF(C80&gt;=50%,C79*40%-C73*5%,IF(C80&lt;50%,C79*30%,0))))),0)</f>
        <v>1718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57" t="s">
        <v>1410</v>
      </c>
      <c r="B83" s="3358"/>
      <c r="C83" s="3358"/>
      <c r="D83" s="3358"/>
      <c r="E83" s="3358"/>
      <c r="F83" s="3358"/>
      <c r="G83" s="3358"/>
      <c r="H83" s="335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49" t="s">
        <v>1375</v>
      </c>
      <c r="B84" s="3350"/>
      <c r="C84" s="1864"/>
      <c r="D84" s="1864" t="s">
        <v>1376</v>
      </c>
      <c r="E84" s="171" t="s">
        <v>1377</v>
      </c>
      <c r="F84" s="172"/>
      <c r="G84" s="172"/>
      <c r="H84" s="183"/>
      <c r="I84" s="1680"/>
      <c r="J84" s="1677"/>
      <c r="K84" s="1677">
        <f>'数据-汇总表'!F19</f>
        <v>182.59</v>
      </c>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52">
        <f ca="1">ROUND(D45/(1+'数据-取费表'!C42),0)</f>
        <v>2890</v>
      </c>
      <c r="D85" s="162" t="s">
        <v>26</v>
      </c>
      <c r="E85" s="1256"/>
      <c r="F85" s="1254"/>
      <c r="G85" s="1254"/>
      <c r="H85" s="184"/>
      <c r="I85" s="1680"/>
      <c r="J85" s="1677"/>
      <c r="K85" s="1677">
        <v>11899.22</v>
      </c>
      <c r="L85" s="3162">
        <v>5000</v>
      </c>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52">
        <f ca="1">IF(H88="仅含出让金",C87+C90+C91+C92+C93+C94,C87+C91+C92+C93+C94)</f>
        <v>304</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60">
        <f>C88+C89</f>
        <v>130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26.4">
      <c r="A88" s="161" t="s">
        <v>331</v>
      </c>
      <c r="B88" s="162" t="s">
        <v>1412</v>
      </c>
      <c r="C88" s="2366">
        <f>ROUND((K85-L85)*K84/10000,0)</f>
        <v>126</v>
      </c>
      <c r="D88" s="2361"/>
      <c r="E88" s="185" t="s">
        <v>1413</v>
      </c>
      <c r="F88" s="2147"/>
      <c r="G88" s="186" t="s">
        <v>1414</v>
      </c>
      <c r="H88" s="1683" t="s">
        <v>3434</v>
      </c>
      <c r="I88" s="1680"/>
      <c r="J88" s="2306" t="s">
        <v>2281</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60">
        <f>ROUND(C88*D89,0)</f>
        <v>4</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6"/>
      <c r="D90" s="2361"/>
      <c r="E90" s="185" t="str">
        <f>IF(H88="-","土地取得成本中已包含该笔费用"," ")</f>
        <v xml:space="preserve"> </v>
      </c>
      <c r="F90" s="2147"/>
      <c r="G90" s="3315" t="s">
        <v>2126</v>
      </c>
      <c r="H90" s="3316"/>
      <c r="I90" s="1680"/>
      <c r="J90" s="2306" t="s">
        <v>2282</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0">
        <f>IF(H91="——",成本法!C33,I91)</f>
        <v>91</v>
      </c>
      <c r="D91" s="2361"/>
      <c r="E91" s="3346" t="s">
        <v>1419</v>
      </c>
      <c r="F91" s="3347"/>
      <c r="G91" s="3347"/>
      <c r="H91" s="1684" t="s">
        <v>3435</v>
      </c>
      <c r="I91" s="1685">
        <f>ROUND(K84*L85/10000,0)</f>
        <v>91</v>
      </c>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0">
        <f>ROUND((C87+C90+C91)*D92,0)</f>
        <v>22</v>
      </c>
      <c r="D92" s="2367">
        <v>0.1</v>
      </c>
      <c r="E92" s="3346" t="s">
        <v>1422</v>
      </c>
      <c r="F92" s="3347"/>
      <c r="G92" s="3347"/>
      <c r="H92" s="3348"/>
      <c r="I92" s="1680"/>
      <c r="J92" s="2307" t="s">
        <v>2283</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0">
        <f ca="1">ROUND(D45*D93/(1+'数据-取费表'!C42),0)</f>
        <v>17</v>
      </c>
      <c r="D93" s="2361">
        <f>'数据-取费表'!B43</f>
        <v>6.000000000000001E-3</v>
      </c>
      <c r="E93" s="3346" t="s">
        <v>1406</v>
      </c>
      <c r="F93" s="3347"/>
      <c r="G93" s="3347"/>
      <c r="H93" s="334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6">
        <f>ROUND((C87+C90+C91)*D94,0)</f>
        <v>44</v>
      </c>
      <c r="D94" s="2361">
        <v>0.2</v>
      </c>
      <c r="E94" s="3391" t="s">
        <v>1426</v>
      </c>
      <c r="F94" s="3392"/>
      <c r="G94" s="3392"/>
      <c r="H94" s="339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1407</v>
      </c>
      <c r="C95" s="2352">
        <f ca="1">ROUND(C85-C86,0)</f>
        <v>2586</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2">
        <f ca="1">IF(C95&lt;=0,0,C95/C86)</f>
        <v>8.5065789473684212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3">
        <f ca="1">ROUND(IF(C95&lt;=0,0,IF(C96&gt;=200%,C95*60%-C86*35%,IF(C96&gt;=100%,C95*50%-C86*15%,IF(C96&gt;=50%,C95*40%-C86*5%,IF(C96&lt;50%,C95*30%,0))))),0)</f>
        <v>1445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96" t="s">
        <v>1428</v>
      </c>
      <c r="B100" s="3297"/>
      <c r="C100" s="3297"/>
      <c r="D100" s="3331"/>
      <c r="E100" s="3297" t="s">
        <v>1429</v>
      </c>
      <c r="F100" s="3297"/>
      <c r="G100" s="3297"/>
      <c r="H100" s="3331"/>
      <c r="I100" s="121"/>
    </row>
    <row r="101" spans="1:35" ht="18.75" customHeight="1">
      <c r="A101" s="3339" t="s">
        <v>1430</v>
      </c>
      <c r="B101" s="3340"/>
      <c r="C101" s="2369" t="str">
        <f>C4</f>
        <v>比较法-住宅</v>
      </c>
      <c r="D101" s="2370" t="str">
        <f>D4</f>
        <v>成本法 (元)</v>
      </c>
      <c r="E101" s="3309" t="s">
        <v>1431</v>
      </c>
      <c r="F101" s="3310"/>
      <c r="G101" s="1686" t="s">
        <v>1432</v>
      </c>
      <c r="H101" s="2379">
        <f ca="1">H118</f>
        <v>3034</v>
      </c>
      <c r="I101" s="121"/>
    </row>
    <row r="102" spans="1:35" ht="18.75" customHeight="1">
      <c r="A102" s="3341" t="s">
        <v>1433</v>
      </c>
      <c r="B102" s="2368" t="s">
        <v>1432</v>
      </c>
      <c r="C102" s="2369">
        <f ca="1">IF(D32="楼面单价",ROUND(C19,0),C19)</f>
        <v>3368.7855</v>
      </c>
      <c r="D102" s="2370">
        <f ca="1">IF(D32="楼面单价",ROUND(D19,0),D19)</f>
        <v>2531.2883999999999</v>
      </c>
      <c r="E102" s="3309"/>
      <c r="F102" s="3310"/>
      <c r="G102" s="1686" t="s">
        <v>1434</v>
      </c>
      <c r="H102" s="2339">
        <f ca="1">I118</f>
        <v>166165</v>
      </c>
      <c r="I102" s="121"/>
    </row>
    <row r="103" spans="1:35" ht="42.75" customHeight="1">
      <c r="A103" s="3341"/>
      <c r="B103" s="2368" t="s">
        <v>1434</v>
      </c>
      <c r="C103" s="2371">
        <f ca="1">C20</f>
        <v>184500</v>
      </c>
      <c r="D103" s="2372">
        <f ca="1">D20</f>
        <v>138632</v>
      </c>
      <c r="E103" s="3302" t="s">
        <v>1435</v>
      </c>
      <c r="F103" s="3303"/>
      <c r="G103" s="1687" t="s">
        <v>1436</v>
      </c>
      <c r="H103" s="2379">
        <f>IF(D36="正常操作",H104+H105+H106,H105+H106)</f>
        <v>0</v>
      </c>
      <c r="I103" s="121"/>
    </row>
    <row r="104" spans="1:35" ht="18.75" customHeight="1">
      <c r="A104" s="3341" t="s">
        <v>1437</v>
      </c>
      <c r="B104" s="2373" t="s">
        <v>1432</v>
      </c>
      <c r="C104" s="2374">
        <f ca="1">H118</f>
        <v>3034</v>
      </c>
      <c r="D104" s="2375"/>
      <c r="E104" s="1554" t="s">
        <v>1438</v>
      </c>
      <c r="F104" s="1547"/>
      <c r="G104" s="1687" t="s">
        <v>1436</v>
      </c>
      <c r="H104" s="2380">
        <f>IF(D36="同一抵押权人同一抵押物续贷",C36&amp;"（续贷，未扣减，详见特别提示）",C36)</f>
        <v>0</v>
      </c>
      <c r="I104" s="121"/>
    </row>
    <row r="105" spans="1:35" ht="18.75" customHeight="1" thickBot="1">
      <c r="A105" s="3351"/>
      <c r="B105" s="2376" t="s">
        <v>1434</v>
      </c>
      <c r="C105" s="2377">
        <f ca="1">I118</f>
        <v>166165</v>
      </c>
      <c r="D105" s="2378"/>
      <c r="E105" s="1554" t="s">
        <v>1439</v>
      </c>
      <c r="F105" s="1547"/>
      <c r="G105" s="1687" t="s">
        <v>1436</v>
      </c>
      <c r="H105" s="2381">
        <f>C37</f>
        <v>0</v>
      </c>
      <c r="I105" s="121"/>
    </row>
    <row r="106" spans="1:35" ht="18.75" customHeight="1">
      <c r="A106" s="645" t="s">
        <v>1440</v>
      </c>
      <c r="B106" s="645"/>
      <c r="C106" s="645"/>
      <c r="D106" s="645"/>
      <c r="E106" s="1688" t="s">
        <v>1441</v>
      </c>
      <c r="F106" s="1547"/>
      <c r="G106" s="1687" t="s">
        <v>1436</v>
      </c>
      <c r="H106" s="2381">
        <f>C38</f>
        <v>0</v>
      </c>
      <c r="I106" s="121"/>
    </row>
    <row r="107" spans="1:35" ht="18.75" customHeight="1">
      <c r="A107" s="121"/>
      <c r="B107" s="121"/>
      <c r="C107" s="121"/>
      <c r="D107" s="121"/>
      <c r="E107" s="3342" t="str">
        <f>IF(项目基本情况!E8="已注销","——","3.房地产抵押价值")</f>
        <v>3.房地产抵押价值</v>
      </c>
      <c r="F107" s="3310"/>
      <c r="G107" s="1686" t="s">
        <v>1432</v>
      </c>
      <c r="H107" s="2379">
        <f ca="1">IF(E107="——","——",H101-H103)</f>
        <v>3034</v>
      </c>
      <c r="I107" s="121"/>
    </row>
    <row r="108" spans="1:35" ht="18.75" customHeight="1">
      <c r="A108" s="121"/>
      <c r="B108" s="121"/>
      <c r="C108" s="121"/>
      <c r="D108" s="121"/>
      <c r="E108" s="3342"/>
      <c r="F108" s="3310"/>
      <c r="G108" s="1686" t="s">
        <v>1434</v>
      </c>
      <c r="H108" s="2339">
        <f ca="1">IF(H107=H101,H102,ROUND(H107*10000/'数据-汇总表'!E3,0))</f>
        <v>166165</v>
      </c>
      <c r="I108" s="121"/>
    </row>
    <row r="109" spans="1:35" ht="18.75" customHeight="1">
      <c r="A109" s="121"/>
      <c r="B109" s="121"/>
      <c r="C109" s="121"/>
      <c r="D109" s="121"/>
      <c r="E109" s="3342" t="str">
        <f>IF(项目基本情况!E8="已注销及未注销","4.抵押担保权已注销时的房地产抵押价值",IF(项目基本情况!E8="已注销","3.抵押担保权已注销时的房地产抵押价值","——"))</f>
        <v>——</v>
      </c>
      <c r="F109" s="3310"/>
      <c r="G109" s="1686" t="s">
        <v>1432</v>
      </c>
      <c r="H109" s="2382" t="str">
        <f>IF(E109="——","——",H101-H105-H106)</f>
        <v>——</v>
      </c>
      <c r="I109" s="121"/>
    </row>
    <row r="110" spans="1:35" ht="18.75" customHeight="1">
      <c r="A110" s="121"/>
      <c r="B110" s="121"/>
      <c r="C110" s="121"/>
      <c r="D110" s="121"/>
      <c r="E110" s="3342"/>
      <c r="F110" s="3310"/>
      <c r="G110" s="1686" t="s">
        <v>1434</v>
      </c>
      <c r="H110" s="2339"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4.抵押净值</v>
      </c>
      <c r="F111" s="3329"/>
      <c r="G111" s="1686" t="s">
        <v>1432</v>
      </c>
      <c r="H111" s="2379">
        <f ca="1">IF(E111="——","——",N59)</f>
        <v>1425</v>
      </c>
      <c r="I111" s="121"/>
    </row>
    <row r="112" spans="1:35" ht="18.75" customHeight="1" thickBot="1">
      <c r="A112" s="121"/>
      <c r="B112" s="121"/>
      <c r="C112" s="121"/>
      <c r="D112" s="121"/>
      <c r="E112" s="3344"/>
      <c r="F112" s="3345"/>
      <c r="G112" s="1689" t="s">
        <v>1434</v>
      </c>
      <c r="H112" s="2383">
        <f ca="1">IF(E111="——","——",N61)</f>
        <v>78044</v>
      </c>
      <c r="I112" s="121"/>
    </row>
    <row r="113" spans="1:27" ht="18.75" customHeight="1">
      <c r="A113" s="121"/>
      <c r="B113" s="121"/>
      <c r="C113" s="121"/>
      <c r="D113" s="121"/>
      <c r="E113" s="3352" t="s">
        <v>1440</v>
      </c>
      <c r="F113" s="3352"/>
      <c r="G113" s="3352"/>
      <c r="H113" s="3352"/>
      <c r="I113" s="121"/>
    </row>
    <row r="114" spans="1:27" ht="3.75" customHeight="1">
      <c r="A114" s="645"/>
      <c r="B114" s="645"/>
      <c r="C114" s="645"/>
      <c r="D114" s="645"/>
      <c r="E114" s="1670"/>
      <c r="F114" s="1670"/>
      <c r="G114" s="1670"/>
      <c r="H114" s="1670"/>
      <c r="I114" s="645"/>
    </row>
    <row r="115" spans="1:27" ht="18.75" customHeight="1">
      <c r="A115" s="3360" t="s">
        <v>1442</v>
      </c>
      <c r="B115" s="3361"/>
      <c r="C115" s="3361"/>
      <c r="D115" s="3361"/>
      <c r="E115" s="3361"/>
      <c r="F115" s="3361"/>
      <c r="G115" s="3361"/>
      <c r="H115" s="3361"/>
      <c r="I115" s="3362"/>
    </row>
    <row r="116" spans="1:27" ht="27" customHeight="1">
      <c r="A116" s="3317" t="s">
        <v>1443</v>
      </c>
      <c r="B116" s="3321" t="s">
        <v>1444</v>
      </c>
      <c r="C116" s="3321" t="s">
        <v>1445</v>
      </c>
      <c r="D116" s="3327" t="s">
        <v>1446</v>
      </c>
      <c r="E116" s="3328"/>
      <c r="F116" s="3359" t="s">
        <v>1447</v>
      </c>
      <c r="G116" s="3359"/>
      <c r="H116" s="3317" t="s">
        <v>1448</v>
      </c>
      <c r="I116" s="3317"/>
    </row>
    <row r="117" spans="1:27" ht="18.75" customHeight="1">
      <c r="A117" s="3317"/>
      <c r="B117" s="3322"/>
      <c r="C117" s="3322"/>
      <c r="D117" s="2149" t="s">
        <v>1449</v>
      </c>
      <c r="E117" s="2149" t="s">
        <v>1450</v>
      </c>
      <c r="F117" s="2149" t="s">
        <v>1449</v>
      </c>
      <c r="G117" s="2149" t="s">
        <v>1451</v>
      </c>
      <c r="H117" s="2149" t="s">
        <v>1449</v>
      </c>
      <c r="I117" s="2149" t="s">
        <v>1451</v>
      </c>
    </row>
    <row r="118" spans="1:27" ht="24.75" customHeight="1">
      <c r="A118" s="2384" t="str">
        <f>项目基本情况!S2</f>
        <v>北京市朝阳区东直门外斜街8号院房地产</v>
      </c>
      <c r="B118" s="2149">
        <f>M18</f>
        <v>182.59</v>
      </c>
      <c r="C118" s="2149">
        <f>M19</f>
        <v>0</v>
      </c>
      <c r="D118" s="2149" t="e">
        <f ca="1">ROUND(IF(D32="总价",C34,E118*B118/10000),0)</f>
        <v>#N/A</v>
      </c>
      <c r="E118" s="2149" t="e">
        <f ca="1">ROUND(IF(C33="自定义",IF(D32="楼面单价",C34,D118*10000/B118),I118-G118),0)</f>
        <v>#N/A</v>
      </c>
      <c r="F118" s="2149" t="e">
        <f ca="1">ROUND(IF(D32="总价",C35,G118*B118/10000),0)</f>
        <v>#N/A</v>
      </c>
      <c r="G118" s="2149" t="e">
        <f ca="1">ROUND(IF(D32="楼面单价",C35,F118*10000/B118),0)</f>
        <v>#N/A</v>
      </c>
      <c r="H118" s="2149">
        <f ca="1">ROUND(IF(D32="总价",C32,I118*B118/10000),0)</f>
        <v>3034</v>
      </c>
      <c r="I118" s="2149">
        <f ca="1">ROUND(IF(D32="楼面单价",C32,H118*10000/B118),0)</f>
        <v>166165</v>
      </c>
    </row>
    <row r="119" spans="1:27" ht="18.75" customHeight="1">
      <c r="A119" s="3317" t="s">
        <v>1452</v>
      </c>
      <c r="B119" s="3317"/>
      <c r="C119" s="3317"/>
      <c r="D119" s="3323" t="e">
        <f ca="1">NUMBERSTRING(INT(D118*10000),2)&amp;"元整"</f>
        <v>#N/A</v>
      </c>
      <c r="E119" s="3324"/>
      <c r="F119" s="3323" t="e">
        <f ca="1">NUMBERSTRING(INT(F118*10000),2)&amp;"元整"</f>
        <v>#N/A</v>
      </c>
      <c r="G119" s="3324"/>
      <c r="H119" s="3323" t="str">
        <f ca="1">NUMBERSTRING(INT(H118*10000),2)&amp;"元整"</f>
        <v>叁仟零叁拾肆万元整</v>
      </c>
      <c r="I119" s="3324"/>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3" t="s">
        <v>1452</v>
      </c>
      <c r="B121" s="3325"/>
      <c r="C121" s="3324"/>
      <c r="D121" s="3323" t="str">
        <f>IF(D120=0,"零元整",NUMBERSTRING(INT(D120*10000),2)&amp;"元整")</f>
        <v>零元整</v>
      </c>
      <c r="E121" s="3325"/>
      <c r="F121" s="3325"/>
      <c r="G121" s="3325"/>
      <c r="H121" s="3325"/>
      <c r="I121" s="3324"/>
      <c r="AA121" s="683"/>
    </row>
    <row r="122" spans="1:27" ht="18.75" customHeight="1">
      <c r="A122" s="3329" t="str">
        <f>IF(项目基本情况!B9="房地产市场价值","",MID(E107,3,LEN(E107)-2))</f>
        <v>房地产抵押价值</v>
      </c>
      <c r="B122" s="3329"/>
      <c r="C122" s="3329"/>
      <c r="D122" s="3318">
        <f ca="1">H107</f>
        <v>3034</v>
      </c>
      <c r="E122" s="3319"/>
      <c r="F122" s="3319"/>
      <c r="G122" s="3319"/>
      <c r="H122" s="3319"/>
      <c r="I122" s="3320"/>
      <c r="AA122" s="683"/>
    </row>
    <row r="123" spans="1:27" ht="18.75" customHeight="1">
      <c r="A123" s="3317" t="s">
        <v>1452</v>
      </c>
      <c r="B123" s="3317"/>
      <c r="C123" s="3317"/>
      <c r="D123" s="3323" t="str">
        <f ca="1">NUMBERSTRING(INT(D122*10000),2)&amp;"元整"</f>
        <v>叁仟零叁拾肆万元整</v>
      </c>
      <c r="E123" s="3325"/>
      <c r="F123" s="3325"/>
      <c r="G123" s="3325"/>
      <c r="H123" s="3325"/>
      <c r="I123" s="3324"/>
      <c r="AA123" s="683"/>
    </row>
    <row r="124" spans="1:27" ht="18.75" customHeight="1">
      <c r="A124" s="3329" t="str">
        <f>IF(项目基本情况!B9="房地产市场价值","",MID(E109,3,LEN(E109)-2))</f>
        <v/>
      </c>
      <c r="B124" s="3329"/>
      <c r="C124" s="3329"/>
      <c r="D124" s="3318" t="str">
        <f>H109</f>
        <v>——</v>
      </c>
      <c r="E124" s="3319"/>
      <c r="F124" s="3319"/>
      <c r="G124" s="3319"/>
      <c r="H124" s="3319"/>
      <c r="I124" s="3320"/>
      <c r="AA124" s="683"/>
    </row>
    <row r="125" spans="1:27" ht="18.75" customHeight="1">
      <c r="A125" s="3317" t="s">
        <v>1452</v>
      </c>
      <c r="B125" s="3317"/>
      <c r="C125" s="3317"/>
      <c r="D125" s="3323" t="e">
        <f>NUMBERSTRING(INT(D124*10000),2)&amp;"元整"</f>
        <v>#VALUE!</v>
      </c>
      <c r="E125" s="3325"/>
      <c r="F125" s="3325"/>
      <c r="G125" s="3325"/>
      <c r="H125" s="3325"/>
      <c r="I125" s="3324"/>
      <c r="AA125" s="683"/>
    </row>
    <row r="126" spans="1:27" ht="18.75" customHeight="1">
      <c r="A126" s="3329" t="str">
        <f>IF(项目基本情况!B9="房地产市场价值","",MID(E111,3,LEN(E111)-2))</f>
        <v>抵押净值</v>
      </c>
      <c r="B126" s="3329"/>
      <c r="C126" s="3329"/>
      <c r="D126" s="3318">
        <f ca="1">H111</f>
        <v>1425</v>
      </c>
      <c r="E126" s="3319"/>
      <c r="F126" s="3319"/>
      <c r="G126" s="3319"/>
      <c r="H126" s="3319"/>
      <c r="I126" s="3320"/>
      <c r="AA126" s="683"/>
    </row>
    <row r="127" spans="1:27" ht="18.75" customHeight="1">
      <c r="A127" s="3317" t="s">
        <v>1452</v>
      </c>
      <c r="B127" s="3317"/>
      <c r="C127" s="3317"/>
      <c r="D127" s="3323" t="str">
        <f ca="1">NUMBERSTRING(INT(D126*10000),2)&amp;"元整"</f>
        <v>壹仟肆佰贰拾伍万元整</v>
      </c>
      <c r="E127" s="3325"/>
      <c r="F127" s="3325"/>
      <c r="G127" s="3325"/>
      <c r="H127" s="3325"/>
      <c r="I127" s="3324"/>
      <c r="AA127" s="683"/>
    </row>
    <row r="128" spans="1:27" ht="21.75" customHeight="1">
      <c r="A128" s="3326" t="s">
        <v>1453</v>
      </c>
      <c r="B128" s="3326"/>
      <c r="C128" s="3326"/>
      <c r="D128" s="3326"/>
      <c r="E128" s="3326"/>
      <c r="F128" s="3326"/>
      <c r="G128" s="3326"/>
      <c r="H128" s="3326"/>
      <c r="I128" s="3326"/>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4" stopIfTrue="1">
      <formula>$H$88&lt;&gt;"仅含出让金"</formula>
    </cfRule>
  </conditionalFormatting>
  <conditionalFormatting sqref="C91">
    <cfRule type="expression" dxfId="136" priority="3" stopIfTrue="1">
      <formula>$H$91="由企业提供"</formula>
    </cfRule>
  </conditionalFormatting>
  <conditionalFormatting sqref="C5:D7">
    <cfRule type="cellIs" dxfId="135" priority="11" stopIfTrue="1" operator="equal">
      <formula>25</formula>
    </cfRule>
  </conditionalFormatting>
  <conditionalFormatting sqref="C8:D13">
    <cfRule type="cellIs" dxfId="134" priority="9" stopIfTrue="1" operator="equal">
      <formula>15</formula>
    </cfRule>
  </conditionalFormatting>
  <conditionalFormatting sqref="C14:D16">
    <cfRule type="cellIs" dxfId="133" priority="1" stopIfTrue="1" operator="equal">
      <formula>30</formula>
    </cfRule>
  </conditionalFormatting>
  <conditionalFormatting sqref="E36">
    <cfRule type="expression" dxfId="132" priority="2"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12" t="str">
        <f>项目基本情况!B1</f>
        <v>北京市朝阳区东直门外斜街8号院房地产抵押价值预评估</v>
      </c>
      <c r="C37" s="3212"/>
      <c r="D37" s="3212"/>
      <c r="E37" s="3212"/>
      <c r="F37" s="3212"/>
      <c r="G37" s="3212"/>
      <c r="H37" s="3212"/>
      <c r="I37" s="3212"/>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郑燚（注册号：1120070131)、吴薇（注册号：1419970001)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8" zoomScale="70" zoomScaleNormal="70" zoomScaleSheetLayoutView="70" workbookViewId="0">
      <selection activeCell="C57" sqref="C5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21</v>
      </c>
      <c r="C1" s="190"/>
      <c r="D1" s="190"/>
      <c r="E1" s="190"/>
      <c r="F1" s="190"/>
      <c r="G1" s="1061" t="e">
        <f>MATCH(B1,'数据-取费表'!A6:A16,0)+5</f>
        <v>#N/A</v>
      </c>
    </row>
    <row r="2" spans="1:9" s="192" customFormat="1" ht="18" customHeight="1">
      <c r="A2" s="193" t="s">
        <v>1462</v>
      </c>
      <c r="B2" s="194" t="e">
        <f ca="1">IF(D2="——",C52,C52-E2)</f>
        <v>#DIV/0!</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#DIV/0!</v>
      </c>
      <c r="D5" s="203" t="s">
        <v>1469</v>
      </c>
      <c r="E5" s="204" t="s">
        <v>1470</v>
      </c>
      <c r="F5" s="204" t="s">
        <v>1471</v>
      </c>
      <c r="G5" s="205"/>
    </row>
    <row r="6" spans="1:9" s="206" customFormat="1" ht="13.5" customHeight="1">
      <c r="A6" s="731" t="s">
        <v>1472</v>
      </c>
      <c r="B6" s="207" t="s">
        <v>1473</v>
      </c>
      <c r="C6" s="208" t="e">
        <f>基准地价修正!E33</f>
        <v>#DIV/0!</v>
      </c>
      <c r="D6" s="209"/>
      <c r="E6" s="210"/>
      <c r="F6" s="210"/>
      <c r="G6" s="211"/>
    </row>
    <row r="7" spans="1:9" s="206" customFormat="1" ht="13.5" customHeight="1">
      <c r="A7" s="731" t="s">
        <v>1474</v>
      </c>
      <c r="B7" s="207" t="s">
        <v>1475</v>
      </c>
      <c r="C7" s="212" t="e">
        <f>ROUND(C6*F7,0)</f>
        <v>#DIV/0!</v>
      </c>
      <c r="D7" s="212"/>
      <c r="E7" s="210"/>
      <c r="F7" s="213">
        <f>IF(项目基本情况!B8="出让",0,'数据-取费表'!B48+'数据-取费表'!B49)</f>
        <v>3.0499999999999999E-2</v>
      </c>
      <c r="G7" s="211"/>
    </row>
    <row r="8" spans="1:9" s="215" customFormat="1">
      <c r="A8" s="731" t="s">
        <v>1476</v>
      </c>
      <c r="B8" s="207" t="s">
        <v>1477</v>
      </c>
      <c r="C8" s="212" t="e">
        <f ca="1">IF(G8="已包含在土地购买价格中","0",IF(B1="",'数据-取费表'!B29,IF(G9="全部缴纳",C9+C10,H9)))</f>
        <v>#N/A</v>
      </c>
      <c r="D8" s="214"/>
      <c r="E8" s="212"/>
      <c r="F8" s="213"/>
      <c r="G8" s="1713" t="s">
        <v>3427</v>
      </c>
    </row>
    <row r="9" spans="1:9" s="206" customFormat="1" ht="13.5" customHeight="1">
      <c r="A9" s="732" t="s">
        <v>355</v>
      </c>
      <c r="B9" s="216" t="s">
        <v>1478</v>
      </c>
      <c r="C9" s="217" t="e">
        <f ca="1">ROUND(D9*E9/10000,0)</f>
        <v>#N/A</v>
      </c>
      <c r="D9" s="794" t="e">
        <f ca="1">IF(B1="",'数据-汇总表'!E5,IF(INDIRECT("'数据-取费表'!c"&amp;$G$1)="住宅",INDIRECT("'数据-取费表'!k"&amp;$G$1),0))</f>
        <v>#N/A</v>
      </c>
      <c r="E9" s="217">
        <f>'数据-取费表'!B27</f>
        <v>160</v>
      </c>
      <c r="F9" s="213"/>
      <c r="G9" s="1714" t="s">
        <v>3442</v>
      </c>
      <c r="H9" s="1069"/>
      <c r="I9" s="1715" t="s">
        <v>1479</v>
      </c>
    </row>
    <row r="10" spans="1:9" s="206" customFormat="1" ht="13.5" customHeight="1">
      <c r="A10" s="732" t="s">
        <v>356</v>
      </c>
      <c r="B10" s="216" t="s">
        <v>1480</v>
      </c>
      <c r="C10" s="217" t="e">
        <f ca="1">ROUND(D10*E10/10000,0)</f>
        <v>#N/A</v>
      </c>
      <c r="D10" s="794"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3" t="s">
        <v>3428</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0" t="e">
        <f ca="1">ROUND(SUM(C23:C25),0)</f>
        <v>#DIV/0!</v>
      </c>
      <c r="D22" s="227">
        <f ca="1">C26</f>
        <v>1.4E-3</v>
      </c>
      <c r="E22" s="228" t="s">
        <v>1498</v>
      </c>
      <c r="F22" s="229">
        <f ca="1">'数据-取费表'!B40</f>
        <v>0.03</v>
      </c>
      <c r="G22" s="226" t="str">
        <f>IF('数据-取费表'!B22&lt;=1,"单利计息","复利计息")</f>
        <v>复利计息</v>
      </c>
    </row>
    <row r="23" spans="1:7" s="206" customFormat="1" ht="13.5" customHeight="1">
      <c r="A23" s="733" t="s">
        <v>1502</v>
      </c>
      <c r="B23" s="207" t="s">
        <v>1503</v>
      </c>
      <c r="C23" s="1041" t="e">
        <f ca="1">ROUND(IF('数据-取费表'!B22&lt;=1,C5*F22*'数据-取费表'!B23,C5*(POWER((1+F22),'数据-取费表'!B23)-1)),0)</f>
        <v>#DIV/0!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t="e">
        <f ca="1">ROUND(IF('数据-取费表'!B22&lt;=1,C20*F22*'数据-取费表'!B23/2,C20*(POWER((1+F22),'数据-取费表'!B23/2)-1)),0)</f>
        <v>#DIV/0!</v>
      </c>
      <c r="D25" s="230"/>
      <c r="E25" s="233"/>
      <c r="F25" s="231"/>
      <c r="G25" s="234" t="s">
        <v>1510</v>
      </c>
    </row>
    <row r="26" spans="1:7" s="206" customFormat="1">
      <c r="A26" s="733" t="s">
        <v>350</v>
      </c>
      <c r="B26" s="207" t="s">
        <v>1511</v>
      </c>
      <c r="C26" s="230">
        <f ca="1">ROUND(IF('数据-取费表'!B22&lt;=1,F21*F22*'数据-取费表'!B23/2,F21*(POWER((1+F22),'数据-取费表'!B23/2)-1)),4)</f>
        <v>1.4E-3</v>
      </c>
      <c r="D26" s="230"/>
      <c r="E26" s="233"/>
      <c r="F26" s="231"/>
      <c r="G26" s="235"/>
    </row>
    <row r="27" spans="1:7" s="206" customFormat="1" ht="26.4">
      <c r="A27" s="247" t="s">
        <v>1512</v>
      </c>
      <c r="B27" s="236" t="s">
        <v>1513</v>
      </c>
      <c r="C27" s="237" t="e">
        <f ca="1">C28</f>
        <v>#DIV/0!</v>
      </c>
      <c r="D27" s="227" t="e">
        <f ca="1">C29</f>
        <v>#N/A</v>
      </c>
      <c r="E27" s="228" t="s">
        <v>1514</v>
      </c>
      <c r="F27" s="238" t="e">
        <f ca="1">IF(B1="",'数据-取费表'!Q16,INDIRECT("'数据-取费表'!q"&amp;$G$1))</f>
        <v>#N/A</v>
      </c>
      <c r="G27" s="239" t="s">
        <v>1515</v>
      </c>
    </row>
    <row r="28" spans="1:7" s="206" customFormat="1" ht="13.5" customHeight="1">
      <c r="A28" s="733" t="s">
        <v>346</v>
      </c>
      <c r="B28" s="240" t="s">
        <v>1516</v>
      </c>
      <c r="C28" s="241" t="e">
        <f ca="1">ROUND((C5+C19+C20)*F27*'数据-取费表'!B21/'数据-取费表'!B20,0)</f>
        <v>#DIV/0!</v>
      </c>
      <c r="D28" s="227"/>
      <c r="E28" s="228"/>
      <c r="F28" s="238"/>
      <c r="G28" s="239"/>
    </row>
    <row r="29" spans="1:7" s="206" customFormat="1" ht="13.5" customHeight="1">
      <c r="A29" s="733"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3"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3" t="s">
        <v>351</v>
      </c>
      <c r="B35" s="207" t="s">
        <v>1527</v>
      </c>
      <c r="C35" s="212" t="e">
        <f ca="1">ROUND(C34*F35,0)</f>
        <v>#N/A</v>
      </c>
      <c r="D35" s="212"/>
      <c r="E35" s="212"/>
      <c r="F35" s="251">
        <f>'数据-取费表'!B33</f>
        <v>0.08</v>
      </c>
      <c r="G35" s="211" t="s">
        <v>1528</v>
      </c>
    </row>
    <row r="36" spans="1:7" ht="24">
      <c r="A36" s="733"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0.08</v>
      </c>
      <c r="G36" s="252" t="s">
        <v>1530</v>
      </c>
    </row>
    <row r="37" spans="1:7" s="250" customFormat="1" ht="13.5" customHeight="1">
      <c r="A37" s="733" t="s">
        <v>353</v>
      </c>
      <c r="B37" s="207" t="s">
        <v>1531</v>
      </c>
      <c r="C37" s="241" t="e">
        <f ca="1">ROUND(E37*D37*F34/10000,0)</f>
        <v>#N/A</v>
      </c>
      <c r="D37" s="209" t="e">
        <f ca="1">D19</f>
        <v>#N/A</v>
      </c>
      <c r="E37" s="241">
        <f>'数据-取费表'!B35</f>
        <v>200</v>
      </c>
      <c r="F37" s="251"/>
      <c r="G37" s="253" t="s">
        <v>1532</v>
      </c>
    </row>
    <row r="38" spans="1:7" ht="13.5" customHeight="1">
      <c r="A38" s="733"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t="e">
        <f ca="1">ROUND(SUM(C42:C43),0)</f>
        <v>#N/A</v>
      </c>
      <c r="D41" s="227">
        <f ca="1">C44</f>
        <v>1.4E-3</v>
      </c>
      <c r="E41" s="228" t="s">
        <v>1539</v>
      </c>
      <c r="F41" s="229">
        <f ca="1">F22</f>
        <v>0.03</v>
      </c>
      <c r="G41" s="226" t="str">
        <f>IF('数据-取费表'!B22&lt;=1,"单利计息","复利计息")</f>
        <v>复利计息</v>
      </c>
    </row>
    <row r="42" spans="1:7" ht="13.5" customHeight="1">
      <c r="A42" s="733" t="s">
        <v>346</v>
      </c>
      <c r="B42" s="207" t="s">
        <v>1543</v>
      </c>
      <c r="C42" s="230" t="e">
        <f ca="1">ROUND(IF('数据-取费表'!B22&lt;=1,C33*F22*'数据-取费表'!B21/2,C33*(POWER((1+F22),'数据-取费表'!B21/2)-1)),0)</f>
        <v>#N/A</v>
      </c>
      <c r="D42" s="230"/>
      <c r="E42" s="230"/>
      <c r="F42" s="231"/>
      <c r="G42" s="3396" t="s">
        <v>1544</v>
      </c>
    </row>
    <row r="43" spans="1:7" ht="13.5" customHeight="1">
      <c r="A43" s="733" t="s">
        <v>347</v>
      </c>
      <c r="B43" s="207" t="s">
        <v>1545</v>
      </c>
      <c r="C43" s="230" t="e">
        <f ca="1">ROUND(IF('数据-取费表'!B22&lt;=1,C39*F22*'数据-取费表'!B21/2,C39*(POWER((1+F22),'数据-取费表'!B21/2)-1)),0)</f>
        <v>#N/A</v>
      </c>
      <c r="D43" s="230"/>
      <c r="E43" s="230"/>
      <c r="F43" s="231"/>
      <c r="G43" s="3397"/>
    </row>
    <row r="44" spans="1:7" ht="13.5" customHeight="1">
      <c r="A44" s="733" t="s">
        <v>348</v>
      </c>
      <c r="B44" s="207" t="s">
        <v>1546</v>
      </c>
      <c r="C44" s="230">
        <f ca="1">ROUND(IF('数据-取费表'!B22&lt;=1,C40*F22*'数据-取费表'!B21/2,C40*(POWER((1+F22),'数据-取费表'!B21/2)-1)),4)</f>
        <v>1.4E-3</v>
      </c>
      <c r="D44" s="230"/>
      <c r="E44" s="230"/>
      <c r="F44" s="231"/>
      <c r="G44" s="3398"/>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3" t="s">
        <v>346</v>
      </c>
      <c r="B46" s="240" t="s">
        <v>1549</v>
      </c>
      <c r="C46" s="241" t="e">
        <f ca="1">ROUND((C33+C39)*F27,0)</f>
        <v>#N/A</v>
      </c>
      <c r="D46" s="255"/>
      <c r="E46" s="228"/>
      <c r="F46" s="238"/>
      <c r="G46" s="239"/>
    </row>
    <row r="47" spans="1:7" s="206" customFormat="1" ht="13.5" customHeight="1">
      <c r="A47" s="733"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0.87</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D32" sqref="D32"/>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1925</v>
      </c>
      <c r="B1" s="189"/>
      <c r="C1" s="193" t="s">
        <v>1926</v>
      </c>
      <c r="D1" s="333">
        <f>SUM(D33:D34,D37:D42)</f>
        <v>182.59</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6">
      <c r="A2" s="193" t="s">
        <v>1933</v>
      </c>
      <c r="B2" s="196" t="e">
        <f>C30</f>
        <v>#DIV/0!</v>
      </c>
      <c r="C2" s="1845" t="s">
        <v>1934</v>
      </c>
      <c r="D2" s="162" t="s">
        <v>1935</v>
      </c>
      <c r="E2" s="3118" t="s">
        <v>21</v>
      </c>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6">
      <c r="A3" s="195" t="s">
        <v>1939</v>
      </c>
      <c r="B3" s="196" t="e">
        <f>ROUND(B2*10000/D1,0)</f>
        <v>#DIV/0!</v>
      </c>
      <c r="C3" s="1845" t="s">
        <v>1940</v>
      </c>
      <c r="D3" s="162" t="s">
        <v>1941</v>
      </c>
      <c r="E3" s="3116" t="s">
        <v>3417</v>
      </c>
      <c r="F3" s="1847" t="s">
        <v>3418</v>
      </c>
      <c r="G3" s="707">
        <f>IF(F3="宗地容积率",'数据-汇总表'!I4,IF(F3="估价对象容积率",'数据-汇总表'!I6,'数据-汇总表'!I7))</f>
        <v>16.417582863402167</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6">
      <c r="A4" s="3406"/>
      <c r="B4" s="3407"/>
      <c r="C4" s="3407"/>
      <c r="D4" s="3408"/>
      <c r="E4" s="3408"/>
      <c r="F4" s="3408"/>
      <c r="G4" s="3408"/>
      <c r="H4" s="3408"/>
      <c r="I4" s="3408"/>
      <c r="J4" s="3409"/>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v>
      </c>
      <c r="T5" s="3061" t="e">
        <f t="shared" si="0"/>
        <v>#DIV/0!</v>
      </c>
      <c r="U5" s="1129"/>
      <c r="V5" s="3061" t="e">
        <f t="shared" si="1"/>
        <v>#DIV/0!</v>
      </c>
      <c r="W5" s="1132"/>
      <c r="X5" s="1132"/>
      <c r="Y5" s="1132"/>
      <c r="Z5" s="1132"/>
      <c r="AA5" s="1132"/>
      <c r="AB5" s="1132"/>
      <c r="AC5" s="1854"/>
      <c r="AD5" s="1855"/>
      <c r="AE5" s="1855"/>
      <c r="AF5" s="1855"/>
      <c r="AG5" s="1855"/>
      <c r="AH5" s="1855"/>
      <c r="AI5" s="1855"/>
      <c r="AJ5" s="1856"/>
    </row>
    <row r="6" spans="1:36" ht="15.6"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v>
      </c>
      <c r="T6" s="3061" t="e">
        <f t="shared" si="0"/>
        <v>#DIV/0!</v>
      </c>
      <c r="U6" s="1129"/>
      <c r="V6" s="3061" t="e">
        <f t="shared" si="1"/>
        <v>#DIV/0!</v>
      </c>
      <c r="W6" s="1132"/>
      <c r="X6" s="1132"/>
      <c r="Y6" s="1132"/>
      <c r="Z6" s="1132"/>
      <c r="AA6" s="1132"/>
      <c r="AB6" s="1132"/>
      <c r="AC6" s="1854"/>
      <c r="AD6" s="1855"/>
      <c r="AE6" s="1855"/>
      <c r="AF6" s="1855"/>
      <c r="AG6" s="1855"/>
      <c r="AH6" s="1855"/>
      <c r="AI6" s="1855"/>
      <c r="AJ6" s="1856"/>
    </row>
    <row r="7" spans="1:36" ht="24.6" thickBot="1">
      <c r="A7" s="3010" t="s">
        <v>3230</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5"/>
      <c r="T7" s="3061" t="e">
        <f t="shared" si="0"/>
        <v>#DIV/0!</v>
      </c>
      <c r="U7" s="1129"/>
      <c r="V7" s="3061" t="e">
        <f t="shared" si="1"/>
        <v>#DIV/0!</v>
      </c>
      <c r="W7" s="1266" t="s">
        <v>1954</v>
      </c>
      <c r="X7" s="1130">
        <f>G2</f>
        <v>0</v>
      </c>
      <c r="Y7" s="1130" t="s">
        <v>1955</v>
      </c>
      <c r="Z7" s="1131">
        <f>G3</f>
        <v>16.417582863402167</v>
      </c>
      <c r="AA7" s="1132"/>
      <c r="AB7" s="1132"/>
      <c r="AC7" s="1133"/>
      <c r="AD7" s="1134"/>
      <c r="AE7" s="1134"/>
      <c r="AF7" s="1134"/>
      <c r="AG7" s="1134"/>
      <c r="AH7" s="1134"/>
      <c r="AI7" s="1134"/>
      <c r="AJ7" s="1135"/>
    </row>
    <row r="8" spans="1:36" ht="26.4">
      <c r="A8" s="3007"/>
      <c r="B8" s="162" t="s">
        <v>1956</v>
      </c>
      <c r="C8" s="1869" t="s">
        <v>3419</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1" t="e">
        <f t="shared" si="0"/>
        <v>#DIV/0!</v>
      </c>
      <c r="U8" s="1129"/>
      <c r="V8" s="3061" t="e">
        <f t="shared" si="1"/>
        <v>#DIV/0!</v>
      </c>
      <c r="W8" s="3403" t="s">
        <v>1959</v>
      </c>
      <c r="X8" s="3404"/>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7"/>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1" t="e">
        <f t="shared" si="0"/>
        <v>#DIV/0!</v>
      </c>
      <c r="U9" s="1129"/>
      <c r="V9" s="3061" t="e">
        <f t="shared" si="1"/>
        <v>#DIV/0!</v>
      </c>
      <c r="W9" s="3405"/>
      <c r="X9" s="3062" t="s">
        <v>3261</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1" t="e">
        <f t="shared" si="0"/>
        <v>#DIV/0!</v>
      </c>
      <c r="U10" s="1129"/>
      <c r="V10" s="3061" t="e">
        <f t="shared" si="1"/>
        <v>#DIV/0!</v>
      </c>
      <c r="W10" s="340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8" thickBot="1">
      <c r="A12" s="3010" t="s">
        <v>3231</v>
      </c>
      <c r="B12" s="3011" t="s">
        <v>3232</v>
      </c>
      <c r="C12" s="3012">
        <v>1.02</v>
      </c>
      <c r="D12" s="3013" t="s">
        <v>3233</v>
      </c>
      <c r="E12" s="3014" t="s">
        <v>3234</v>
      </c>
      <c r="F12" s="3015"/>
      <c r="G12" s="3016"/>
      <c r="H12" s="3016"/>
      <c r="I12" s="3016"/>
      <c r="J12" s="3017"/>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24.6" thickBot="1">
      <c r="A13" s="3010" t="s">
        <v>3235</v>
      </c>
      <c r="B13" s="1877" t="s">
        <v>1981</v>
      </c>
      <c r="C13" s="710">
        <f>ROUND(C16*D16*E16*F16*G16*H16*I16*J16,4)</f>
        <v>0</v>
      </c>
      <c r="D13" s="1878" t="s">
        <v>1982</v>
      </c>
      <c r="E13" s="1879"/>
      <c r="F13" s="1879"/>
      <c r="G13" s="1880"/>
      <c r="H13" s="1880"/>
      <c r="I13" s="1880"/>
      <c r="J13" s="1881"/>
      <c r="K13" s="1055"/>
      <c r="L13" s="3"/>
      <c r="M13" s="4"/>
      <c r="N13" s="3008"/>
      <c r="O13" s="1055"/>
      <c r="P13" s="1055"/>
      <c r="Q13" s="1055"/>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24">
      <c r="A14" s="3006"/>
      <c r="B14" s="1882" t="s">
        <v>1984</v>
      </c>
      <c r="C14" s="1883" t="s">
        <v>1985</v>
      </c>
      <c r="D14" s="1260" t="s">
        <v>1986</v>
      </c>
      <c r="E14" s="27" t="s">
        <v>1987</v>
      </c>
      <c r="F14" s="3018" t="s">
        <v>3236</v>
      </c>
      <c r="G14" s="3018" t="s">
        <v>3236</v>
      </c>
      <c r="H14" s="3018" t="s">
        <v>3236</v>
      </c>
      <c r="I14" s="3018" t="s">
        <v>3236</v>
      </c>
      <c r="J14" s="3018" t="s">
        <v>3236</v>
      </c>
      <c r="K14" s="1055"/>
      <c r="L14" s="1055"/>
      <c r="M14" s="1055"/>
      <c r="N14" s="1055"/>
      <c r="O14" s="1055"/>
      <c r="P14" s="1055"/>
      <c r="Q14" s="1055"/>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3237</v>
      </c>
      <c r="G15" s="1927"/>
      <c r="H15" s="3019"/>
      <c r="I15" s="3020"/>
      <c r="J15" s="3021"/>
      <c r="K15" s="1055"/>
      <c r="L15" s="1055"/>
      <c r="M15" s="1055"/>
      <c r="N15" s="1055"/>
      <c r="O15" s="1055"/>
      <c r="P15" s="1055"/>
      <c r="Q15" s="1055"/>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6" thickBot="1">
      <c r="A16" s="3006"/>
      <c r="B16" s="3024" t="s">
        <v>1988</v>
      </c>
      <c r="C16" s="3022"/>
      <c r="D16" s="3022"/>
      <c r="E16" s="3022"/>
      <c r="F16" s="3022">
        <v>1</v>
      </c>
      <c r="G16" s="3022">
        <v>1</v>
      </c>
      <c r="H16" s="3022">
        <v>1</v>
      </c>
      <c r="I16" s="3022">
        <v>1</v>
      </c>
      <c r="J16" s="3023">
        <v>1</v>
      </c>
      <c r="K16" s="1055"/>
      <c r="L16" s="1843"/>
      <c r="M16" s="1843"/>
      <c r="N16" s="1843"/>
      <c r="O16" s="1843"/>
      <c r="P16" s="1843"/>
      <c r="Q16" s="1055"/>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ht="24">
      <c r="A17" s="3033" t="s">
        <v>3238</v>
      </c>
      <c r="B17" s="3025" t="s">
        <v>3239</v>
      </c>
      <c r="C17" s="3034">
        <f>ROUND(IF(OR(E2="工业",E2="公共服务"),1,IF(AND(E18=0,E19=0),1,IF(AND(E18=J24,E19=G19),0.8,IF(E19=0,1+E17*(-0.2),1+E17*G17*(-0.2))))),4)</f>
        <v>1</v>
      </c>
      <c r="D17" s="3026" t="s">
        <v>3240</v>
      </c>
      <c r="E17" s="3034">
        <f>ROUND(G18/I18,2)</f>
        <v>0</v>
      </c>
      <c r="F17" s="3026" t="s">
        <v>3243</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8"/>
      <c r="C18" s="3032"/>
      <c r="D18" s="3027" t="s">
        <v>3241</v>
      </c>
      <c r="E18" s="2355"/>
      <c r="F18" s="3028" t="s">
        <v>3244</v>
      </c>
      <c r="G18" s="3032">
        <f>ROUND(1-(1/(POWER(1+G24,E18))),4)</f>
        <v>0</v>
      </c>
      <c r="H18" s="3028" t="s">
        <v>3246</v>
      </c>
      <c r="I18" s="3032">
        <f>ROUND(1-(1/(POWER(1+G24,J24))),4)</f>
        <v>0.93120000000000003</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3242</v>
      </c>
      <c r="E19" s="3041"/>
      <c r="F19" s="3042" t="s">
        <v>3245</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1"/>
      <c r="AJ19" s="561"/>
      <c r="AK19" s="1898"/>
    </row>
    <row r="20" spans="1:37" s="1857" customFormat="1" ht="13.8">
      <c r="A20" s="3410" t="s">
        <v>3247</v>
      </c>
      <c r="B20" s="159" t="s">
        <v>1993</v>
      </c>
      <c r="C20" s="3029" t="e">
        <f>ROUND(IF(F21="与级别开发程度一致",0,(G21-E21)/C21),0)</f>
        <v>#DIV/0!</v>
      </c>
      <c r="D20" s="3044" t="s">
        <v>1997</v>
      </c>
      <c r="E20" s="3045"/>
      <c r="F20" s="3416" t="s">
        <v>1994</v>
      </c>
      <c r="G20" s="3417"/>
      <c r="H20" s="3030" t="s">
        <v>3421</v>
      </c>
      <c r="I20" s="3030" t="s">
        <v>3422</v>
      </c>
      <c r="J20" s="3031" t="s">
        <v>3423</v>
      </c>
      <c r="K20" s="1888" t="s">
        <v>3424</v>
      </c>
      <c r="L20" s="1888" t="s">
        <v>3425</v>
      </c>
      <c r="M20" s="1888" t="s">
        <v>43</v>
      </c>
      <c r="N20" s="1888" t="s">
        <v>3426</v>
      </c>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411"/>
      <c r="B21" s="2001" t="s">
        <v>1996</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t="s">
        <v>3420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1999</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5" t="s">
        <v>2001</v>
      </c>
      <c r="E23" s="716">
        <v>44197</v>
      </c>
      <c r="F23" s="1895" t="s">
        <v>2002</v>
      </c>
      <c r="G23" s="717">
        <f>'数据-取费表'!B2</f>
        <v>45825</v>
      </c>
      <c r="H23" s="3046" t="s">
        <v>3249</v>
      </c>
      <c r="I23" s="3047" t="str">
        <f>IF(H23="季度增幅（自定义）",SUMIF(N25:N28,E2,O25:O28),"")</f>
        <v/>
      </c>
      <c r="J23" s="3139" t="s">
        <v>3248</v>
      </c>
      <c r="K23" s="1060"/>
      <c r="L23" s="1896" t="s">
        <v>2003</v>
      </c>
      <c r="M23" s="1240">
        <f>ROUND(SUMIF(地价!B2:G2,E2,地价!B16:G16),0)</f>
        <v>350</v>
      </c>
      <c r="N23" s="1897" t="s">
        <v>2004</v>
      </c>
      <c r="O23" s="718">
        <f>ROUNDDOWN(DATEDIF(E23,G23,"M")/3,0)</f>
        <v>17</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2005</v>
      </c>
      <c r="C24" s="719" t="e">
        <f>ROUND(POWER(1+G24,J24-I24)*(POWER(1+G24,I24)-1)/(POWER(1+G24,J24)-1),4)</f>
        <v>#DIV/0!</v>
      </c>
      <c r="D24" s="1901" t="s">
        <v>2006</v>
      </c>
      <c r="E24" s="1247">
        <f>存贷款利率!E28/100</f>
        <v>4.3499999999999997E-2</v>
      </c>
      <c r="F24" s="1901" t="s">
        <v>1998</v>
      </c>
      <c r="G24" s="723">
        <f>SUMIF(M30:Q30,E2,M33:Q33)</f>
        <v>5.5E-2</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3328</v>
      </c>
      <c r="C25" s="461">
        <f>IF(B25="容积率修正",IF(G3&lt;10,D26,J26),C27)</f>
        <v>0</v>
      </c>
      <c r="D25" s="1908"/>
      <c r="E25" s="1908"/>
      <c r="F25" s="1908"/>
      <c r="G25" s="1908"/>
      <c r="H25" s="1908"/>
      <c r="I25" s="1908"/>
      <c r="J25" s="1909"/>
      <c r="K25" s="1060"/>
      <c r="L25" s="2550"/>
      <c r="M25" s="2550"/>
      <c r="N25" s="1910" t="s">
        <v>2012</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2013</v>
      </c>
      <c r="B26" s="1911" t="s">
        <v>2014</v>
      </c>
      <c r="C26" s="1911" t="s">
        <v>3250</v>
      </c>
      <c r="D26" s="1262" t="str">
        <f>IF(E26=G26,F26,IF(G3&lt;10,ROUND(F26+(H26-F26)*(G3-E26)/(G26-E26),4),"——"))</f>
        <v>——</v>
      </c>
      <c r="E26" s="707">
        <f>ROUNDDOWN(G3,1)</f>
        <v>16.399999999999999</v>
      </c>
      <c r="F26" s="1262"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07">
        <f>ROUNDUP(G3,1)</f>
        <v>16.5</v>
      </c>
      <c r="H26" s="1262"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911" t="s">
        <v>3251</v>
      </c>
      <c r="J26" s="374">
        <f>IF(G3&gt;=10,D115,"——")</f>
        <v>0</v>
      </c>
      <c r="K26" s="1060"/>
      <c r="L26" s="2550"/>
      <c r="M26" s="2550"/>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2019</v>
      </c>
      <c r="C28" s="715">
        <f>SUMIF(A47:A101,E2,B47:B101)</f>
        <v>1.0441</v>
      </c>
      <c r="D28" s="1893"/>
      <c r="E28" s="1918"/>
      <c r="F28" s="1918"/>
      <c r="G28" s="1918"/>
      <c r="H28" s="1918"/>
      <c r="I28" s="1918"/>
      <c r="J28" s="1919"/>
      <c r="K28" s="1060"/>
      <c r="L28" s="2550"/>
      <c r="M28" s="2550"/>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2021</v>
      </c>
      <c r="C29" s="720"/>
      <c r="D29" s="1867"/>
      <c r="E29" s="1867"/>
      <c r="F29" s="1922"/>
      <c r="G29" s="1867"/>
      <c r="H29" s="1867"/>
      <c r="I29" s="1867"/>
      <c r="J29" s="1868"/>
      <c r="K29" s="1055"/>
      <c r="L29" s="1843"/>
      <c r="M29" s="1843"/>
      <c r="N29" s="2547" t="s">
        <v>2022</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2023</v>
      </c>
      <c r="C30" s="2144" t="e">
        <f>IF(B25="容积率修正",E33+SUM(E37:E42),SUM(V2:V16)+SUM(E37:E42))</f>
        <v>#DIV/0!</v>
      </c>
      <c r="D30" s="1924"/>
      <c r="E30" s="1841"/>
      <c r="F30" s="1925"/>
      <c r="G30" s="1841"/>
      <c r="H30" s="1841"/>
      <c r="I30" s="1841"/>
      <c r="J30" s="1926"/>
      <c r="K30" s="1055"/>
      <c r="L30" s="3053" t="s">
        <v>1935</v>
      </c>
      <c r="M30" s="3054" t="s">
        <v>1989</v>
      </c>
      <c r="N30" s="3054" t="s">
        <v>1990</v>
      </c>
      <c r="O30" s="3054" t="s">
        <v>1991</v>
      </c>
      <c r="P30" s="3054" t="s">
        <v>1992</v>
      </c>
      <c r="Q30" s="3057" t="s">
        <v>3255</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2024</v>
      </c>
      <c r="C31" s="721" t="e">
        <f>E34+SUM(I37:I42)</f>
        <v>#DIV/0!</v>
      </c>
      <c r="D31" s="1928"/>
      <c r="E31" s="1929"/>
      <c r="F31" s="1930"/>
      <c r="G31" s="1929"/>
      <c r="H31" s="1929"/>
      <c r="I31" s="1929"/>
      <c r="J31" s="1931"/>
      <c r="K31" s="1055"/>
      <c r="L31" s="3055" t="s">
        <v>1995</v>
      </c>
      <c r="M31" s="162">
        <v>0.25</v>
      </c>
      <c r="N31" s="162">
        <v>0.2</v>
      </c>
      <c r="O31" s="162">
        <v>0.15</v>
      </c>
      <c r="P31" s="162">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2025</v>
      </c>
      <c r="C32" s="1934" t="s">
        <v>2026</v>
      </c>
      <c r="D32" s="1934" t="s">
        <v>2027</v>
      </c>
      <c r="E32" s="1935" t="s">
        <v>2028</v>
      </c>
      <c r="F32" s="1936"/>
      <c r="G32" s="1880"/>
      <c r="H32" s="1880"/>
      <c r="I32" s="1880"/>
      <c r="J32" s="1881"/>
      <c r="K32" s="1055"/>
      <c r="L32" s="3056" t="s">
        <v>1998</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2029</v>
      </c>
      <c r="C33" s="167" t="e">
        <f>ROUND(C5*C22*C23*C24*C25*C28,0)</f>
        <v>#DIV/0!</v>
      </c>
      <c r="D33" s="1939">
        <f>'数据-汇总表'!F19</f>
        <v>182.59</v>
      </c>
      <c r="E33" s="726" t="e">
        <f>ROUND(C33*D33/10000,0)</f>
        <v>#DIV/0!</v>
      </c>
      <c r="F33" s="3048" t="s">
        <v>3253</v>
      </c>
      <c r="G33" s="1940"/>
      <c r="H33" s="1940"/>
      <c r="I33" s="1940"/>
      <c r="J33" s="1941"/>
      <c r="K33" s="1055"/>
      <c r="L33" s="3051" t="s">
        <v>3256</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2030</v>
      </c>
      <c r="C34" s="179" t="e">
        <f>ROUND(IF(E2="工业",C33*M42,IF(B25="楼层修正",SUM(V2:V16)*M41*10000/D34,C33*M41)),0)</f>
        <v>#DIV/0!</v>
      </c>
      <c r="D34" s="1944"/>
      <c r="E34" s="726" t="e">
        <f>ROUND(IF(B25="楼层修正",SUM(V2:V16)*M40,C34*D34/10000),0)</f>
        <v>#DIV/0!</v>
      </c>
      <c r="F34" s="1945" t="s">
        <v>2031</v>
      </c>
      <c r="G34" s="1946"/>
      <c r="H34" s="1946"/>
      <c r="I34" s="1946"/>
      <c r="J34" s="1947"/>
      <c r="K34" s="1055"/>
      <c r="L34" s="3051" t="s">
        <v>3257</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49" t="s">
        <v>3254</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2026</v>
      </c>
      <c r="D36" s="433" t="s">
        <v>2027</v>
      </c>
      <c r="E36" s="433" t="s">
        <v>2028</v>
      </c>
      <c r="F36" s="333" t="s">
        <v>2034</v>
      </c>
      <c r="G36" s="1953" t="s">
        <v>2026</v>
      </c>
      <c r="H36" s="1953" t="s">
        <v>2027</v>
      </c>
      <c r="I36" s="1953" t="s">
        <v>2028</v>
      </c>
      <c r="J36" s="235"/>
      <c r="K36" s="1963" t="s">
        <v>3258</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14"/>
      <c r="B37" s="1954" t="s">
        <v>2035</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2"/>
      <c r="K37" s="3059" t="s">
        <v>3259</v>
      </c>
      <c r="L37" s="1963">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15"/>
      <c r="B38" s="1883" t="s">
        <v>2036</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15"/>
      <c r="B39" s="1883" t="s">
        <v>3252</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0" t="s">
        <v>3260</v>
      </c>
      <c r="M41" s="1958">
        <v>0.25</v>
      </c>
      <c r="Z41" s="1056"/>
      <c r="AA41" s="1056"/>
      <c r="AB41" s="1056"/>
      <c r="AC41" s="1056"/>
      <c r="AD41" s="1056"/>
      <c r="AE41" s="1056"/>
      <c r="AF41" s="1056"/>
      <c r="AG41" s="1056"/>
      <c r="AH41" s="1056"/>
      <c r="AI41" s="1056"/>
      <c r="AJ41" s="1056"/>
    </row>
    <row r="42" spans="1:37" s="1055" customFormat="1" ht="13.8" thickBot="1">
      <c r="A42" s="1942"/>
      <c r="B42" s="1959" t="s">
        <v>2040</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2119</v>
      </c>
      <c r="C44" s="333">
        <f>ROUND(POWER(1+E44,H44-G44)*(POWER(1+E44,G44)-1)/(POWER(1+E44,H44)-1),4)</f>
        <v>0</v>
      </c>
      <c r="D44" s="163" t="s">
        <v>1998</v>
      </c>
      <c r="E44" s="1990">
        <f>G24</f>
        <v>5.5E-2</v>
      </c>
      <c r="F44" s="163" t="s">
        <v>2007</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2043</v>
      </c>
      <c r="B49" s="1261" t="s">
        <v>2044</v>
      </c>
      <c r="C49" s="1261" t="s">
        <v>2045</v>
      </c>
      <c r="D49" s="1261" t="s">
        <v>2046</v>
      </c>
      <c r="E49" s="700" t="s">
        <v>2047</v>
      </c>
      <c r="F49" s="1970" t="s">
        <v>2048</v>
      </c>
      <c r="G49" s="1261" t="s">
        <v>310</v>
      </c>
      <c r="H49" s="1971" t="s">
        <v>2049</v>
      </c>
      <c r="I49" s="1261" t="s">
        <v>2050</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5.2">
      <c r="A50" s="1969" t="s">
        <v>2051</v>
      </c>
      <c r="B50" s="1972">
        <f>估价对象房地状况!C4</f>
        <v>0</v>
      </c>
      <c r="C50" s="1886" t="s">
        <v>3440</v>
      </c>
      <c r="D50" s="1001">
        <f t="shared" ref="D50:D58" si="7">SUMIF($J$49:$N$49,C50,J50:N50)</f>
        <v>0</v>
      </c>
      <c r="E50" s="701">
        <f>ROUND(SUM(D50:D58),4)</f>
        <v>0</v>
      </c>
      <c r="F50" s="1674"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2052</v>
      </c>
      <c r="B51" s="1261" t="str">
        <f>估价对象房地状况!C18</f>
        <v>2、13、17、机场快线等多个地铁线路；3、359、915、123、515等多条，东直门长途汽车站，较好</v>
      </c>
      <c r="C51" s="1886" t="s">
        <v>3440</v>
      </c>
      <c r="D51" s="1001">
        <f t="shared" si="7"/>
        <v>0</v>
      </c>
      <c r="E51" s="702"/>
      <c r="F51" s="1674"/>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8" t="s">
        <v>3262</v>
      </c>
      <c r="B52" s="1261">
        <f>估价对象房地状况!C19</f>
        <v>0</v>
      </c>
      <c r="C52" s="1886" t="s">
        <v>3440</v>
      </c>
      <c r="D52" s="1001">
        <f t="shared" si="7"/>
        <v>0</v>
      </c>
      <c r="E52" s="702"/>
      <c r="F52" s="1674"/>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2053</v>
      </c>
      <c r="B53" s="1973" t="s">
        <v>2054</v>
      </c>
      <c r="C53" s="1886" t="s">
        <v>3440</v>
      </c>
      <c r="D53" s="1001">
        <f t="shared" si="7"/>
        <v>0</v>
      </c>
      <c r="E53" s="702"/>
      <c r="F53" s="1674"/>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t="s">
        <v>3440</v>
      </c>
      <c r="D54" s="1001">
        <f t="shared" si="7"/>
        <v>0</v>
      </c>
      <c r="E54" s="702"/>
      <c r="F54" s="1674"/>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2056</v>
      </c>
      <c r="B55" s="1974" t="s">
        <v>2057</v>
      </c>
      <c r="C55" s="1886" t="s">
        <v>3440</v>
      </c>
      <c r="D55" s="1001">
        <f t="shared" si="7"/>
        <v>0</v>
      </c>
      <c r="E55" s="702"/>
      <c r="F55" s="1674"/>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66">
      <c r="A56" s="1975" t="s">
        <v>2058</v>
      </c>
      <c r="B56" s="1239" t="str">
        <f>估价对象房地状况!C21</f>
        <v>工商银行、华夏银行；来福士、银座MALL；东直门中学、清华附中朝阳学校；北京中医院大学东直门医院等</v>
      </c>
      <c r="C56" s="1886" t="s">
        <v>3440</v>
      </c>
      <c r="D56" s="1001">
        <f t="shared" si="7"/>
        <v>0</v>
      </c>
      <c r="E56" s="702"/>
      <c r="F56" s="1674"/>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2059</v>
      </c>
      <c r="B57" s="1261" t="str">
        <f>估价对象房地状况!C22</f>
        <v>估价对象所在区域基础设施水平</v>
      </c>
      <c r="C57" s="1886" t="s">
        <v>3441</v>
      </c>
      <c r="D57" s="1001">
        <f t="shared" si="7"/>
        <v>0</v>
      </c>
      <c r="E57" s="702"/>
      <c r="F57" s="1674"/>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66.599999999999994" thickBot="1">
      <c r="A58" s="1976" t="s">
        <v>2060</v>
      </c>
      <c r="B58" s="1977" t="str">
        <f>估价对象房地状况!C20</f>
        <v>区域自然环境：亮马河公园、左家庄公园、亮马河；人文环境：使馆区、北京自来水博物馆；综合评价环境状况较好</v>
      </c>
      <c r="C58" s="1886" t="s">
        <v>3440</v>
      </c>
      <c r="D58" s="1001">
        <f t="shared" si="7"/>
        <v>0</v>
      </c>
      <c r="E58" s="703"/>
      <c r="F58" s="1674"/>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2061</v>
      </c>
      <c r="B59" s="1967">
        <f>1+E61</f>
        <v>1.0441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2043</v>
      </c>
      <c r="B60" s="1261"/>
      <c r="C60" s="1261" t="s">
        <v>2045</v>
      </c>
      <c r="D60" s="1261" t="s">
        <v>2046</v>
      </c>
      <c r="E60" s="700" t="s">
        <v>2047</v>
      </c>
      <c r="F60" s="1970" t="s">
        <v>2062</v>
      </c>
      <c r="G60" s="1261" t="s">
        <v>310</v>
      </c>
      <c r="H60" s="1971" t="s">
        <v>2049</v>
      </c>
      <c r="I60" s="1261" t="s">
        <v>2050</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t="s">
        <v>3440</v>
      </c>
      <c r="D61" s="1001">
        <f t="shared" ref="D61:D69" si="12">SUMIF($J$60:$N$60,C61,J61:N61)</f>
        <v>1.0200000000000001E-2</v>
      </c>
      <c r="E61" s="701">
        <f>ROUND(SUM(D61:D69),4)</f>
        <v>4.41E-2</v>
      </c>
      <c r="F61" s="1674">
        <f>IF(E2="办公",SUMIF(L1:L12,G2,N1:N12),"——")</f>
        <v>0</v>
      </c>
      <c r="G61" s="999">
        <v>1.0200000000000001E-2</v>
      </c>
      <c r="H61" s="1002">
        <f t="shared" ref="H61:H69" si="13">IFERROR(ROUNDDOWN($F$61*I61/2,4),"——")</f>
        <v>0</v>
      </c>
      <c r="I61" s="3066">
        <v>0.25</v>
      </c>
      <c r="J61" s="1000">
        <f t="shared" ref="J61:J69" si="14">K61+$G61</f>
        <v>2.0400000000000001E-2</v>
      </c>
      <c r="K61" s="1000">
        <f t="shared" ref="K61:K69" si="15">$L61+$G61</f>
        <v>1.0200000000000001E-2</v>
      </c>
      <c r="L61" s="1000">
        <v>0</v>
      </c>
      <c r="M61" s="1000">
        <f t="shared" ref="M61:N69" si="16">L61-$G61</f>
        <v>-1.0200000000000001E-2</v>
      </c>
      <c r="N61" s="1000">
        <f t="shared" si="16"/>
        <v>-2.0400000000000001E-2</v>
      </c>
      <c r="AA61" s="1056"/>
      <c r="AB61" s="1056"/>
      <c r="AC61" s="1056"/>
      <c r="AD61" s="1056"/>
      <c r="AE61" s="1056"/>
      <c r="AF61" s="1056"/>
      <c r="AG61" s="1056"/>
      <c r="AH61" s="1056"/>
      <c r="AI61" s="1056"/>
      <c r="AJ61" s="1056"/>
      <c r="AK61" s="1056"/>
    </row>
    <row r="62" spans="1:37" s="1055" customFormat="1" ht="52.8">
      <c r="A62" s="1969" t="s">
        <v>2052</v>
      </c>
      <c r="B62" s="1261" t="str">
        <f>估价对象房地状况!C18</f>
        <v>2、13、17、机场快线等多个地铁线路；3、359、915、123、515等多条，东直门长途汽车站，较好</v>
      </c>
      <c r="C62" s="1886" t="s">
        <v>3440</v>
      </c>
      <c r="D62" s="1001">
        <f t="shared" si="12"/>
        <v>1.06E-2</v>
      </c>
      <c r="E62" s="702"/>
      <c r="F62" s="1674"/>
      <c r="G62" s="999">
        <v>1.06E-2</v>
      </c>
      <c r="H62" s="1002">
        <f t="shared" si="13"/>
        <v>0</v>
      </c>
      <c r="I62" s="3066">
        <v>0.26</v>
      </c>
      <c r="J62" s="1000">
        <f t="shared" si="14"/>
        <v>2.12E-2</v>
      </c>
      <c r="K62" s="1000">
        <f t="shared" si="15"/>
        <v>1.06E-2</v>
      </c>
      <c r="L62" s="1000">
        <v>0</v>
      </c>
      <c r="M62" s="1000">
        <f t="shared" si="16"/>
        <v>-1.06E-2</v>
      </c>
      <c r="N62" s="1000">
        <f t="shared" si="16"/>
        <v>-2.12E-2</v>
      </c>
      <c r="AA62" s="1056"/>
      <c r="AB62" s="1056"/>
      <c r="AC62" s="1056"/>
      <c r="AD62" s="1056"/>
      <c r="AE62" s="1056"/>
      <c r="AF62" s="1056"/>
      <c r="AG62" s="1056"/>
      <c r="AH62" s="1056"/>
      <c r="AI62" s="1056"/>
      <c r="AJ62" s="1056"/>
      <c r="AK62" s="1056"/>
    </row>
    <row r="63" spans="1:37" s="1055" customFormat="1" ht="48">
      <c r="A63" s="3068" t="s">
        <v>3262</v>
      </c>
      <c r="B63" s="1261">
        <f>估价对象房地状况!C19</f>
        <v>0</v>
      </c>
      <c r="C63" s="1886" t="s">
        <v>3440</v>
      </c>
      <c r="D63" s="1001">
        <f t="shared" si="12"/>
        <v>4.4999999999999997E-3</v>
      </c>
      <c r="E63" s="702"/>
      <c r="F63" s="1674"/>
      <c r="G63" s="999">
        <v>4.4999999999999997E-3</v>
      </c>
      <c r="H63" s="1002">
        <f t="shared" si="13"/>
        <v>0</v>
      </c>
      <c r="I63" s="3066">
        <v>0.11</v>
      </c>
      <c r="J63" s="1000">
        <f t="shared" si="14"/>
        <v>8.9999999999999993E-3</v>
      </c>
      <c r="K63" s="1000">
        <f t="shared" si="15"/>
        <v>4.4999999999999997E-3</v>
      </c>
      <c r="L63" s="1000">
        <v>0</v>
      </c>
      <c r="M63" s="1000">
        <f t="shared" si="16"/>
        <v>-4.4999999999999997E-3</v>
      </c>
      <c r="N63" s="1000">
        <f t="shared" si="16"/>
        <v>-8.9999999999999993E-3</v>
      </c>
      <c r="AA63" s="1056"/>
      <c r="AB63" s="1056"/>
      <c r="AC63" s="1056"/>
      <c r="AD63" s="1056"/>
      <c r="AE63" s="1056"/>
      <c r="AF63" s="1056"/>
      <c r="AG63" s="1056"/>
      <c r="AH63" s="1056"/>
      <c r="AI63" s="1056"/>
      <c r="AJ63" s="1056"/>
      <c r="AK63" s="1056"/>
    </row>
    <row r="64" spans="1:37" s="1055" customFormat="1" ht="37.200000000000003">
      <c r="A64" s="1969" t="s">
        <v>2053</v>
      </c>
      <c r="B64" s="1973" t="s">
        <v>2054</v>
      </c>
      <c r="C64" s="1886" t="s">
        <v>3440</v>
      </c>
      <c r="D64" s="1001">
        <f t="shared" si="12"/>
        <v>2E-3</v>
      </c>
      <c r="E64" s="702"/>
      <c r="F64" s="1674"/>
      <c r="G64" s="999">
        <v>2E-3</v>
      </c>
      <c r="H64" s="1002">
        <f t="shared" si="13"/>
        <v>0</v>
      </c>
      <c r="I64" s="3066">
        <v>0.05</v>
      </c>
      <c r="J64" s="1000">
        <f t="shared" si="14"/>
        <v>4.0000000000000001E-3</v>
      </c>
      <c r="K64" s="1000">
        <f t="shared" si="15"/>
        <v>2E-3</v>
      </c>
      <c r="L64" s="1000">
        <v>0</v>
      </c>
      <c r="M64" s="1000">
        <f t="shared" si="16"/>
        <v>-2E-3</v>
      </c>
      <c r="N64" s="1000">
        <f t="shared" si="16"/>
        <v>-4.0000000000000001E-3</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t="s">
        <v>3440</v>
      </c>
      <c r="D65" s="1001">
        <f t="shared" si="12"/>
        <v>2E-3</v>
      </c>
      <c r="E65" s="702"/>
      <c r="F65" s="1674"/>
      <c r="G65" s="999">
        <v>2E-3</v>
      </c>
      <c r="H65" s="1002">
        <f t="shared" si="13"/>
        <v>0</v>
      </c>
      <c r="I65" s="3066">
        <v>0.05</v>
      </c>
      <c r="J65" s="1000">
        <f t="shared" si="14"/>
        <v>4.0000000000000001E-3</v>
      </c>
      <c r="K65" s="1000">
        <f t="shared" si="15"/>
        <v>2E-3</v>
      </c>
      <c r="L65" s="1000">
        <v>0</v>
      </c>
      <c r="M65" s="1000">
        <f t="shared" si="16"/>
        <v>-2E-3</v>
      </c>
      <c r="N65" s="1000">
        <f t="shared" si="16"/>
        <v>-4.0000000000000001E-3</v>
      </c>
      <c r="AA65" s="1056"/>
      <c r="AB65" s="1056"/>
      <c r="AC65" s="1056"/>
      <c r="AD65" s="1056"/>
      <c r="AE65" s="1056"/>
      <c r="AF65" s="1056"/>
      <c r="AG65" s="1056"/>
      <c r="AH65" s="1056"/>
      <c r="AI65" s="1056"/>
      <c r="AJ65" s="1056"/>
      <c r="AK65" s="1056"/>
    </row>
    <row r="66" spans="1:37" s="1055" customFormat="1" ht="36">
      <c r="A66" s="1969" t="s">
        <v>2056</v>
      </c>
      <c r="B66" s="1974" t="s">
        <v>2057</v>
      </c>
      <c r="C66" s="1886" t="s">
        <v>3440</v>
      </c>
      <c r="D66" s="1001">
        <f t="shared" si="12"/>
        <v>2.3999999999999998E-3</v>
      </c>
      <c r="E66" s="702"/>
      <c r="F66" s="1674"/>
      <c r="G66" s="999">
        <v>2.3999999999999998E-3</v>
      </c>
      <c r="H66" s="1002">
        <f t="shared" si="13"/>
        <v>0</v>
      </c>
      <c r="I66" s="3066">
        <v>0.06</v>
      </c>
      <c r="J66" s="1000">
        <f t="shared" si="14"/>
        <v>4.7999999999999996E-3</v>
      </c>
      <c r="K66" s="1000">
        <f t="shared" si="15"/>
        <v>2.3999999999999998E-3</v>
      </c>
      <c r="L66" s="1000">
        <v>0</v>
      </c>
      <c r="M66" s="1000">
        <f t="shared" si="16"/>
        <v>-2.3999999999999998E-3</v>
      </c>
      <c r="N66" s="1000">
        <f t="shared" si="16"/>
        <v>-4.7999999999999996E-3</v>
      </c>
      <c r="AA66" s="1056"/>
      <c r="AB66" s="1056"/>
      <c r="AC66" s="1056"/>
      <c r="AD66" s="1056"/>
      <c r="AE66" s="1056"/>
      <c r="AF66" s="1056"/>
      <c r="AG66" s="1056"/>
      <c r="AH66" s="1056"/>
      <c r="AI66" s="1056"/>
      <c r="AJ66" s="1056"/>
      <c r="AK66" s="1056"/>
    </row>
    <row r="67" spans="1:37" s="1055" customFormat="1" ht="66">
      <c r="A67" s="1969" t="s">
        <v>2058</v>
      </c>
      <c r="B67" s="1239" t="str">
        <f>估价对象房地状况!C21</f>
        <v>工商银行、华夏银行；来福士、银座MALL；东直门中学、清华附中朝阳学校；北京中医院大学东直门医院等</v>
      </c>
      <c r="C67" s="1886" t="s">
        <v>3440</v>
      </c>
      <c r="D67" s="1001">
        <f t="shared" si="12"/>
        <v>2.3999999999999998E-3</v>
      </c>
      <c r="E67" s="702"/>
      <c r="F67" s="1674"/>
      <c r="G67" s="999">
        <v>2.3999999999999998E-3</v>
      </c>
      <c r="H67" s="1002">
        <f t="shared" si="13"/>
        <v>0</v>
      </c>
      <c r="I67" s="3066">
        <v>0.06</v>
      </c>
      <c r="J67" s="1000">
        <f t="shared" si="14"/>
        <v>4.7999999999999996E-3</v>
      </c>
      <c r="K67" s="1000">
        <f t="shared" si="15"/>
        <v>2.3999999999999998E-3</v>
      </c>
      <c r="L67" s="1000">
        <v>0</v>
      </c>
      <c r="M67" s="1000">
        <f t="shared" si="16"/>
        <v>-2.3999999999999998E-3</v>
      </c>
      <c r="N67" s="1000">
        <f t="shared" si="16"/>
        <v>-4.7999999999999996E-3</v>
      </c>
      <c r="AA67" s="1056"/>
      <c r="AB67" s="1056"/>
      <c r="AC67" s="1056"/>
      <c r="AD67" s="1056"/>
      <c r="AE67" s="1056"/>
      <c r="AF67" s="1056"/>
      <c r="AG67" s="1056"/>
      <c r="AH67" s="1056"/>
      <c r="AI67" s="1056"/>
      <c r="AJ67" s="1056"/>
      <c r="AK67" s="1056"/>
    </row>
    <row r="68" spans="1:37" s="1055" customFormat="1" ht="26.4">
      <c r="A68" s="1969" t="s">
        <v>2059</v>
      </c>
      <c r="B68" s="1239" t="str">
        <f>估价对象房地状况!C22</f>
        <v>估价对象所在区域基础设施水平</v>
      </c>
      <c r="C68" s="1886" t="s">
        <v>3441</v>
      </c>
      <c r="D68" s="1001">
        <f t="shared" si="12"/>
        <v>7.1999999999999998E-3</v>
      </c>
      <c r="E68" s="702"/>
      <c r="F68" s="1674"/>
      <c r="G68" s="999">
        <v>3.5999999999999999E-3</v>
      </c>
      <c r="H68" s="1002">
        <f t="shared" si="13"/>
        <v>0</v>
      </c>
      <c r="I68" s="3066">
        <v>0.09</v>
      </c>
      <c r="J68" s="1000">
        <f t="shared" si="14"/>
        <v>7.1999999999999998E-3</v>
      </c>
      <c r="K68" s="1000">
        <f t="shared" si="15"/>
        <v>3.5999999999999999E-3</v>
      </c>
      <c r="L68" s="1000">
        <v>0</v>
      </c>
      <c r="M68" s="1000">
        <f t="shared" si="16"/>
        <v>-3.5999999999999999E-3</v>
      </c>
      <c r="N68" s="1000">
        <f t="shared" si="16"/>
        <v>-7.1999999999999998E-3</v>
      </c>
      <c r="AA68" s="1056"/>
      <c r="AB68" s="1056"/>
      <c r="AC68" s="1056"/>
      <c r="AD68" s="1056"/>
      <c r="AE68" s="1056"/>
      <c r="AF68" s="1056"/>
      <c r="AG68" s="1056"/>
      <c r="AH68" s="1056"/>
      <c r="AI68" s="1056"/>
      <c r="AJ68" s="1056"/>
      <c r="AK68" s="1056"/>
    </row>
    <row r="69" spans="1:37" s="1055" customFormat="1" ht="66.599999999999994" thickBot="1">
      <c r="A69" s="1976" t="s">
        <v>2060</v>
      </c>
      <c r="B69" s="1978" t="str">
        <f>估价对象房地状况!C20</f>
        <v>区域自然环境：亮马河公园、左家庄公园、亮马河；人文环境：使馆区、北京自来水博物馆；综合评价环境状况较好</v>
      </c>
      <c r="C69" s="1886" t="s">
        <v>3440</v>
      </c>
      <c r="D69" s="1001">
        <f t="shared" si="12"/>
        <v>2.8E-3</v>
      </c>
      <c r="E69" s="703"/>
      <c r="F69" s="1674"/>
      <c r="G69" s="999">
        <v>2.8E-3</v>
      </c>
      <c r="H69" s="1002">
        <f t="shared" si="13"/>
        <v>0</v>
      </c>
      <c r="I69" s="3067">
        <v>7.0000000000000007E-2</v>
      </c>
      <c r="J69" s="1000">
        <f t="shared" si="14"/>
        <v>5.5999999999999999E-3</v>
      </c>
      <c r="K69" s="1000">
        <f t="shared" si="15"/>
        <v>2.8E-3</v>
      </c>
      <c r="L69" s="1000">
        <v>0</v>
      </c>
      <c r="M69" s="1000">
        <f t="shared" si="16"/>
        <v>-2.8E-3</v>
      </c>
      <c r="N69" s="1000">
        <f t="shared" si="16"/>
        <v>-5.5999999999999999E-3</v>
      </c>
      <c r="AA69" s="1056"/>
      <c r="AB69" s="1056"/>
      <c r="AC69" s="1056"/>
      <c r="AD69" s="1056"/>
      <c r="AE69" s="1056"/>
      <c r="AF69" s="1056"/>
      <c r="AG69" s="1056"/>
      <c r="AH69" s="1056"/>
      <c r="AI69" s="1056"/>
      <c r="AJ69" s="1056"/>
      <c r="AK69" s="1056"/>
    </row>
    <row r="70" spans="1:37" s="1055" customFormat="1" ht="14.4">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2043</v>
      </c>
      <c r="B71" s="1261"/>
      <c r="C71" s="1261" t="s">
        <v>2045</v>
      </c>
      <c r="D71" s="1261" t="s">
        <v>2046</v>
      </c>
      <c r="E71" s="700" t="s">
        <v>2047</v>
      </c>
      <c r="F71" s="1970" t="s">
        <v>2062</v>
      </c>
      <c r="G71" s="1261" t="s">
        <v>310</v>
      </c>
      <c r="H71" s="1971" t="s">
        <v>2049</v>
      </c>
      <c r="I71" s="1261" t="s">
        <v>2050</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39.6">
      <c r="A72" s="1969" t="s">
        <v>2065</v>
      </c>
      <c r="B72" s="1972" t="str">
        <f>估价对象房地状况!C15</f>
        <v>万国城MOMA、梵悦万国府、使馆壹号院等多个，较好</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2052</v>
      </c>
      <c r="B73" s="1261" t="str">
        <f>估价对象房地状况!C18</f>
        <v>2、13、17、机场快线等多个地铁线路；3、359、915、123、515等多条，东直门长途汽车站，较好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8" t="s">
        <v>3262</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2066</v>
      </c>
      <c r="B75" s="1261">
        <f>估价对象房地状况!C24</f>
        <v>0</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66">
      <c r="A76" s="1969" t="s">
        <v>2058</v>
      </c>
      <c r="B76" s="1239" t="str">
        <f>估价对象房地状况!C21</f>
        <v>工商银行、华夏银行；来福士、银座MALL；东直门中学、清华附中朝阳学校；北京中医院大学东直门医院等</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2059</v>
      </c>
      <c r="B77" s="1239" t="str">
        <f>估价对象房地状况!C22</f>
        <v>估价对象所在区域基础设施水平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2056</v>
      </c>
      <c r="B78" s="1974" t="s">
        <v>2057</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66">
      <c r="A79" s="1969" t="s">
        <v>2060</v>
      </c>
      <c r="B79" s="1972" t="str">
        <f>估价对象房地状况!C20</f>
        <v>区域自然环境：亮马河公园、左家庄公园、亮马河；人文环境：使馆区、北京自来水博物馆；综合评价环境状况较好</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36.6" thickBot="1">
      <c r="A80" s="1976" t="s">
        <v>2067</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4">
      <c r="A81" s="1966" t="s">
        <v>2068</v>
      </c>
      <c r="B81" s="1967">
        <f>1+E83</f>
        <v>1</v>
      </c>
      <c r="C81" s="698"/>
      <c r="D81" s="698"/>
      <c r="E81" s="699"/>
      <c r="F81" s="1968"/>
      <c r="G81" s="3"/>
      <c r="H81" s="3"/>
      <c r="I81" s="3"/>
      <c r="J81" s="4"/>
      <c r="K81" s="4"/>
      <c r="L81" s="4"/>
      <c r="M81" s="4"/>
      <c r="N81" s="4"/>
      <c r="Z81" s="1844"/>
      <c r="AA81" s="1894"/>
      <c r="AG81" s="1057"/>
      <c r="AK81" s="1894"/>
    </row>
    <row r="82" spans="1:37" ht="25.2">
      <c r="A82" s="1969" t="s">
        <v>2043</v>
      </c>
      <c r="B82" s="1261"/>
      <c r="C82" s="1261" t="s">
        <v>2045</v>
      </c>
      <c r="D82" s="1261" t="s">
        <v>2046</v>
      </c>
      <c r="E82" s="700" t="s">
        <v>2047</v>
      </c>
      <c r="F82" s="1970" t="s">
        <v>2062</v>
      </c>
      <c r="G82" s="1261" t="s">
        <v>310</v>
      </c>
      <c r="H82" s="1971" t="s">
        <v>2049</v>
      </c>
      <c r="I82" s="1261" t="s">
        <v>2050</v>
      </c>
      <c r="J82" s="530" t="s">
        <v>1721</v>
      </c>
      <c r="K82" s="530" t="s">
        <v>1722</v>
      </c>
      <c r="L82" s="530" t="s">
        <v>1723</v>
      </c>
      <c r="M82" s="530" t="s">
        <v>1724</v>
      </c>
      <c r="N82" s="530" t="s">
        <v>1725</v>
      </c>
      <c r="Z82" s="1844"/>
      <c r="AA82" s="1894"/>
      <c r="AG82" s="1057"/>
      <c r="AK82" s="1894"/>
    </row>
    <row r="83" spans="1:37" ht="39.6">
      <c r="A83" s="1969" t="s">
        <v>2069</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2052</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48">
      <c r="A85" s="3068" t="s">
        <v>3263</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3.8">
      <c r="A86" s="1969" t="s">
        <v>2066</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6.4">
      <c r="A87" s="1969" t="s">
        <v>2058</v>
      </c>
      <c r="B87" s="1239" t="str">
        <f>估价对象房地状况!G19</f>
        <v>估价对象所在区域公共配套设施齐备情况</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6.4">
      <c r="A88" s="1969" t="s">
        <v>2059</v>
      </c>
      <c r="B88" s="1239" t="str">
        <f>估价对象房地状况!G20</f>
        <v>估价对象所在区域基础设施水平</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36">
      <c r="A89" s="1969" t="s">
        <v>2056</v>
      </c>
      <c r="B89" s="1974" t="s">
        <v>2070</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40.200000000000003" thickBot="1">
      <c r="A90" s="1976" t="s">
        <v>2071</v>
      </c>
      <c r="B90" s="1981" t="str">
        <f>估价对象房地状况!G18</f>
        <v>该园区内是否有污染型企业，绿化情况，卫生条件，整体环境状况判断</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3.8">
      <c r="A91" s="3076" t="s">
        <v>2605</v>
      </c>
      <c r="B91" s="3077">
        <f>1+E93</f>
        <v>1</v>
      </c>
      <c r="C91" s="3070"/>
      <c r="D91" s="3071"/>
      <c r="E91" s="1674"/>
      <c r="F91" s="1674"/>
      <c r="G91" s="3072"/>
      <c r="H91" s="3073"/>
      <c r="I91" s="3074"/>
      <c r="J91" s="3075"/>
      <c r="K91" s="3075"/>
      <c r="L91" s="3075"/>
      <c r="M91" s="3075"/>
      <c r="N91" s="3075"/>
    </row>
    <row r="92" spans="1:37" ht="25.2">
      <c r="A92" s="3078" t="s">
        <v>3264</v>
      </c>
      <c r="B92" s="2308"/>
      <c r="C92" s="2308" t="s">
        <v>3273</v>
      </c>
      <c r="D92" s="2308" t="s">
        <v>3274</v>
      </c>
      <c r="E92" s="3050" t="s">
        <v>3275</v>
      </c>
      <c r="F92" s="3080" t="s">
        <v>3276</v>
      </c>
      <c r="G92" s="2308" t="s">
        <v>3277</v>
      </c>
      <c r="H92" s="3087" t="s">
        <v>3280</v>
      </c>
      <c r="I92" s="2308" t="s">
        <v>3281</v>
      </c>
      <c r="J92" s="2149" t="s">
        <v>3282</v>
      </c>
      <c r="K92" s="2149" t="s">
        <v>3283</v>
      </c>
      <c r="L92" s="2149" t="s">
        <v>3284</v>
      </c>
      <c r="M92" s="2149" t="s">
        <v>3285</v>
      </c>
      <c r="N92" s="2149" t="s">
        <v>3286</v>
      </c>
    </row>
    <row r="93" spans="1:37" ht="24">
      <c r="A93" s="3068" t="s">
        <v>3265</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3266</v>
      </c>
      <c r="B94" s="3069" t="str">
        <f>估价对象房地状况!C18</f>
        <v>2、13、17、机场快线等多个地铁线路；3、359、915、123、515等多条，东直门长途汽车站，较好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3262</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3267</v>
      </c>
      <c r="B96" s="3084" t="s">
        <v>3278</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3268</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3269</v>
      </c>
      <c r="B98" s="3085" t="s">
        <v>3279</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66">
      <c r="A99" s="3078" t="s">
        <v>3270</v>
      </c>
      <c r="B99" s="3069" t="str">
        <f>估价对象房地状况!C21</f>
        <v>工商银行、华夏银行；来福士、银座MALL；东直门中学、清华附中朝阳学校；北京中医院大学东直门医院等</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3271</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66.599999999999994" thickBot="1">
      <c r="A101" s="3079" t="s">
        <v>3272</v>
      </c>
      <c r="B101" s="3086" t="str">
        <f>估价对象房地状况!C20</f>
        <v>区域自然环境：亮马河公园、左家庄公园、亮马河；人文环境：使馆区、北京自来水博物馆；综合评价环境状况较好</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12" t="s">
        <v>3287</v>
      </c>
      <c r="B103" s="3412"/>
      <c r="C103" s="3412"/>
      <c r="D103" s="3412"/>
      <c r="E103" s="3412"/>
      <c r="F103" s="3412"/>
      <c r="G103" s="3412"/>
      <c r="H103" s="3412"/>
      <c r="I103" s="3412"/>
      <c r="J103" s="3412"/>
      <c r="K103" s="1666"/>
      <c r="L103" s="1666"/>
      <c r="M103" s="1666"/>
      <c r="N103" s="1666"/>
    </row>
    <row r="104" spans="1:14">
      <c r="A104" s="3413" t="s">
        <v>3288</v>
      </c>
      <c r="B104" s="3413" t="s">
        <v>3289</v>
      </c>
      <c r="C104" s="3088" t="s">
        <v>3290</v>
      </c>
      <c r="D104" s="3089"/>
      <c r="E104" s="3089"/>
      <c r="F104" s="3089"/>
      <c r="G104" s="3089"/>
      <c r="H104" s="3089"/>
      <c r="I104" s="3089"/>
      <c r="J104" s="3090"/>
      <c r="K104" s="3091"/>
      <c r="L104" s="3091"/>
      <c r="M104" s="3091"/>
      <c r="N104" s="3091"/>
    </row>
    <row r="105" spans="1:14">
      <c r="A105" s="3413"/>
      <c r="B105" s="3413"/>
      <c r="C105" s="3092" t="s">
        <v>3291</v>
      </c>
      <c r="D105" s="3092" t="s">
        <v>3292</v>
      </c>
      <c r="E105" s="3092" t="s">
        <v>3293</v>
      </c>
      <c r="F105" s="3092" t="s">
        <v>3294</v>
      </c>
      <c r="G105" s="3092" t="s">
        <v>3295</v>
      </c>
      <c r="H105" s="3092" t="s">
        <v>3296</v>
      </c>
      <c r="I105" s="3092" t="s">
        <v>3297</v>
      </c>
      <c r="J105" s="3092" t="s">
        <v>3298</v>
      </c>
      <c r="K105" s="3092" t="s">
        <v>3299</v>
      </c>
      <c r="L105" s="3092" t="s">
        <v>3300</v>
      </c>
      <c r="M105" s="3092" t="s">
        <v>3301</v>
      </c>
      <c r="N105" s="3092" t="s">
        <v>3302</v>
      </c>
    </row>
    <row r="106" spans="1:14">
      <c r="A106" s="3399" t="s">
        <v>3303</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0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0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0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0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00"/>
      <c r="B111" s="3092" t="s">
        <v>3261</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0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02" t="s">
        <v>3304</v>
      </c>
      <c r="B113" s="3402"/>
      <c r="C113" s="3402"/>
      <c r="D113" s="3402"/>
      <c r="E113" s="3402"/>
      <c r="F113" s="3402"/>
      <c r="G113" s="3402"/>
      <c r="H113" s="3402"/>
      <c r="I113" s="3402"/>
      <c r="J113" s="3402"/>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3305</v>
      </c>
      <c r="B116" s="3112">
        <f>G3</f>
        <v>16.417582863402167</v>
      </c>
      <c r="C116" s="3097" t="s">
        <v>3306</v>
      </c>
      <c r="D116" s="3098">
        <f>SUMPRODUCT((A118:A122=F116)*(B117:M117=H116)*B118:M122)</f>
        <v>0</v>
      </c>
      <c r="E116" s="162" t="s">
        <v>3307</v>
      </c>
      <c r="F116" s="3099" t="str">
        <f>E2</f>
        <v>办公</v>
      </c>
      <c r="G116" s="162" t="s">
        <v>3308</v>
      </c>
      <c r="H116" s="3099">
        <f>G2</f>
        <v>0</v>
      </c>
      <c r="I116" s="162"/>
      <c r="J116" s="3100"/>
      <c r="K116" s="3100"/>
      <c r="L116" s="3100"/>
      <c r="M116" s="3100"/>
      <c r="N116" s="3095"/>
    </row>
    <row r="117" spans="1:14">
      <c r="A117" s="3101"/>
      <c r="B117" s="3102" t="s">
        <v>3309</v>
      </c>
      <c r="C117" s="3102" t="s">
        <v>3310</v>
      </c>
      <c r="D117" s="3102" t="s">
        <v>3311</v>
      </c>
      <c r="E117" s="3103" t="s">
        <v>3312</v>
      </c>
      <c r="F117" s="3103" t="s">
        <v>3313</v>
      </c>
      <c r="G117" s="3103" t="s">
        <v>3314</v>
      </c>
      <c r="H117" s="3104" t="s">
        <v>3315</v>
      </c>
      <c r="I117" s="3104" t="s">
        <v>3316</v>
      </c>
      <c r="J117" s="3105" t="s">
        <v>3317</v>
      </c>
      <c r="K117" s="3105" t="s">
        <v>3318</v>
      </c>
      <c r="L117" s="3105" t="s">
        <v>3319</v>
      </c>
      <c r="M117" s="3106" t="s">
        <v>3320</v>
      </c>
      <c r="N117" s="3095"/>
    </row>
    <row r="118" spans="1:14">
      <c r="A118" s="3055" t="s">
        <v>3321</v>
      </c>
      <c r="B118" s="3087">
        <f>ROUND(0.9968-0.011*B116,4)</f>
        <v>0.81620000000000004</v>
      </c>
      <c r="C118" s="3087">
        <f>B118</f>
        <v>0.81620000000000004</v>
      </c>
      <c r="D118" s="3087">
        <f>ROUND(0.949-0.014*B116,4)</f>
        <v>0.71919999999999995</v>
      </c>
      <c r="E118" s="3087">
        <f>D118</f>
        <v>0.71919999999999995</v>
      </c>
      <c r="F118" s="3087">
        <f>E118</f>
        <v>0.71919999999999995</v>
      </c>
      <c r="G118" s="3087">
        <f>F118</f>
        <v>0.71919999999999995</v>
      </c>
      <c r="H118" s="3087">
        <f>G118</f>
        <v>0.71919999999999995</v>
      </c>
      <c r="I118" s="3087">
        <f>ROUND(0.8486-0.018*B116,4)</f>
        <v>0.55310000000000004</v>
      </c>
      <c r="J118" s="3087">
        <f t="shared" ref="J118:M122" si="35">I118</f>
        <v>0.55310000000000004</v>
      </c>
      <c r="K118" s="3087">
        <f t="shared" si="35"/>
        <v>0.55310000000000004</v>
      </c>
      <c r="L118" s="3087">
        <f t="shared" si="35"/>
        <v>0.55310000000000004</v>
      </c>
      <c r="M118" s="3107">
        <f t="shared" si="35"/>
        <v>0.55310000000000004</v>
      </c>
      <c r="N118" s="3095"/>
    </row>
    <row r="119" spans="1:14">
      <c r="A119" s="3055" t="s">
        <v>3322</v>
      </c>
      <c r="B119" s="3087">
        <f>ROUND(0.993-0.0112*B116,4)</f>
        <v>0.80910000000000004</v>
      </c>
      <c r="C119" s="3087">
        <f>B119</f>
        <v>0.80910000000000004</v>
      </c>
      <c r="D119" s="3087">
        <f>ROUND(0.9415-0.0142*B116,4)</f>
        <v>0.70840000000000003</v>
      </c>
      <c r="E119" s="3087">
        <f t="shared" ref="E119:H120" si="36">D119</f>
        <v>0.70840000000000003</v>
      </c>
      <c r="F119" s="3087">
        <f t="shared" si="36"/>
        <v>0.70840000000000003</v>
      </c>
      <c r="G119" s="3087">
        <f t="shared" si="36"/>
        <v>0.70840000000000003</v>
      </c>
      <c r="H119" s="3087">
        <f t="shared" si="36"/>
        <v>0.70840000000000003</v>
      </c>
      <c r="I119" s="3087">
        <f>ROUND(0.838-0.0182*B116,4)</f>
        <v>0.53920000000000001</v>
      </c>
      <c r="J119" s="3087">
        <f t="shared" si="35"/>
        <v>0.53920000000000001</v>
      </c>
      <c r="K119" s="3087">
        <f t="shared" si="35"/>
        <v>0.53920000000000001</v>
      </c>
      <c r="L119" s="3087">
        <f t="shared" si="35"/>
        <v>0.53920000000000001</v>
      </c>
      <c r="M119" s="3107">
        <f t="shared" si="35"/>
        <v>0.53920000000000001</v>
      </c>
      <c r="N119" s="3095"/>
    </row>
    <row r="120" spans="1:14">
      <c r="A120" s="3055" t="s">
        <v>3323</v>
      </c>
      <c r="B120" s="3087">
        <f>ROUND(0.9448-0.0115*B116,4)</f>
        <v>0.75600000000000001</v>
      </c>
      <c r="C120" s="3087">
        <f>B120</f>
        <v>0.75600000000000001</v>
      </c>
      <c r="D120" s="3087">
        <f>ROUND(0.937-0.0145*B116,4)</f>
        <v>0.69889999999999997</v>
      </c>
      <c r="E120" s="3087">
        <f t="shared" si="36"/>
        <v>0.69889999999999997</v>
      </c>
      <c r="F120" s="3087">
        <f t="shared" si="36"/>
        <v>0.69889999999999997</v>
      </c>
      <c r="G120" s="3087">
        <f t="shared" si="36"/>
        <v>0.69889999999999997</v>
      </c>
      <c r="H120" s="3087">
        <f t="shared" si="36"/>
        <v>0.69889999999999997</v>
      </c>
      <c r="I120" s="3087">
        <f>ROUND(0.7965-0.0185*B116,4)</f>
        <v>0.49280000000000002</v>
      </c>
      <c r="J120" s="3087">
        <f t="shared" si="35"/>
        <v>0.49280000000000002</v>
      </c>
      <c r="K120" s="3087">
        <f t="shared" si="35"/>
        <v>0.49280000000000002</v>
      </c>
      <c r="L120" s="3087">
        <f t="shared" si="35"/>
        <v>0.49280000000000002</v>
      </c>
      <c r="M120" s="3107">
        <f t="shared" si="35"/>
        <v>0.49280000000000002</v>
      </c>
      <c r="N120" s="3095"/>
    </row>
    <row r="121" spans="1:14" ht="13.8" thickBot="1">
      <c r="A121" s="3108" t="s">
        <v>3324</v>
      </c>
      <c r="B121" s="3109">
        <f>ROUND(0.7836-0.012*B116,4)</f>
        <v>0.58660000000000001</v>
      </c>
      <c r="C121" s="3109">
        <f>B121</f>
        <v>0.58660000000000001</v>
      </c>
      <c r="D121" s="3109">
        <f>ROUND(0.753-0.015*B116,4)</f>
        <v>0.50670000000000004</v>
      </c>
      <c r="E121" s="3109">
        <f>D121</f>
        <v>0.50670000000000004</v>
      </c>
      <c r="F121" s="3109">
        <f>E121</f>
        <v>0.50670000000000004</v>
      </c>
      <c r="G121" s="3109">
        <f>ROUND(0.6612-0.018*B116,4)</f>
        <v>0.36570000000000003</v>
      </c>
      <c r="H121" s="3109">
        <f>G121</f>
        <v>0.36570000000000003</v>
      </c>
      <c r="I121" s="3109">
        <f>ROUND(0.5905-0.019*B116,4)</f>
        <v>0.27860000000000001</v>
      </c>
      <c r="J121" s="3109">
        <f t="shared" si="35"/>
        <v>0.27860000000000001</v>
      </c>
      <c r="K121" s="3109">
        <f t="shared" si="35"/>
        <v>0.27860000000000001</v>
      </c>
      <c r="L121" s="3109">
        <f t="shared" si="35"/>
        <v>0.27860000000000001</v>
      </c>
      <c r="M121" s="3110">
        <f t="shared" si="35"/>
        <v>0.27860000000000001</v>
      </c>
      <c r="N121" s="3095"/>
    </row>
    <row r="122" spans="1:14">
      <c r="A122" s="3111" t="s">
        <v>2605</v>
      </c>
      <c r="B122" s="3087">
        <f>ROUND(0.9404-0.0106*B116,4)</f>
        <v>0.76639999999999997</v>
      </c>
      <c r="C122" s="3087">
        <f>B122</f>
        <v>0.76639999999999997</v>
      </c>
      <c r="D122" s="3087">
        <f>ROUND(0.8955-0.0135*B116,4)</f>
        <v>0.67390000000000005</v>
      </c>
      <c r="E122" s="3087">
        <f t="shared" ref="E122:H122" si="37">D122</f>
        <v>0.67390000000000005</v>
      </c>
      <c r="F122" s="3087">
        <f t="shared" si="37"/>
        <v>0.67390000000000005</v>
      </c>
      <c r="G122" s="3087">
        <f t="shared" si="37"/>
        <v>0.67390000000000005</v>
      </c>
      <c r="H122" s="3087">
        <f t="shared" si="37"/>
        <v>0.67390000000000005</v>
      </c>
      <c r="I122" s="3087">
        <f>ROUND(0.7632-0.0166*B116,4)</f>
        <v>0.49070000000000003</v>
      </c>
      <c r="J122" s="3087">
        <f t="shared" si="35"/>
        <v>0.49070000000000003</v>
      </c>
      <c r="K122" s="3087">
        <f t="shared" si="35"/>
        <v>0.49070000000000003</v>
      </c>
      <c r="L122" s="3087">
        <f t="shared" si="35"/>
        <v>0.49070000000000003</v>
      </c>
      <c r="M122" s="3107">
        <f t="shared" si="35"/>
        <v>0.49070000000000003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H20" sqref="H20"/>
      <selection pane="bottomLeft" activeCell="T25" sqref="T25"/>
    </sheetView>
  </sheetViews>
  <sheetFormatPr defaultColWidth="9" defaultRowHeight="13.2"/>
  <cols>
    <col min="1" max="1" width="11.44140625" style="122" customWidth="1"/>
    <col min="2" max="2" width="9.21875" style="24" customWidth="1"/>
    <col min="3" max="3" width="7.109375" style="24" customWidth="1"/>
    <col min="4" max="4" width="9" style="24"/>
    <col min="5" max="5" width="7.21875" style="24" customWidth="1"/>
    <col min="6" max="6" width="11.109375" style="24" customWidth="1"/>
    <col min="7" max="7" width="7.10937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21" t="s">
        <v>2083</v>
      </c>
      <c r="D1" s="3422"/>
      <c r="E1" s="3422"/>
      <c r="F1" s="3422"/>
      <c r="G1" s="3422"/>
      <c r="H1" s="3422"/>
      <c r="I1" s="3422"/>
      <c r="J1" s="3422"/>
      <c r="K1" s="3422"/>
      <c r="L1" s="3422"/>
      <c r="M1" s="3422"/>
      <c r="N1" s="3422"/>
      <c r="O1" s="3422"/>
      <c r="P1" s="3422"/>
      <c r="Q1" s="3422"/>
      <c r="R1" s="3422"/>
      <c r="S1" s="3423"/>
      <c r="T1" s="928" t="s">
        <v>2084</v>
      </c>
    </row>
    <row r="2" spans="1:45" s="625" customFormat="1" ht="26.4">
      <c r="A2" s="929"/>
      <c r="B2" s="622" t="s">
        <v>2085</v>
      </c>
      <c r="C2" s="14" t="str">
        <f t="shared" ref="C2:L2" si="0">C3&amp;"(含)"&amp;"-"&amp;D3</f>
        <v>0(含)-150</v>
      </c>
      <c r="D2" s="623" t="str">
        <f t="shared" si="0"/>
        <v>150(含)-200</v>
      </c>
      <c r="E2" s="623" t="str">
        <f t="shared" si="0"/>
        <v>200(含)-300</v>
      </c>
      <c r="F2" s="623" t="str">
        <f t="shared" si="0"/>
        <v>300(含)-400</v>
      </c>
      <c r="G2" s="623" t="str">
        <f t="shared" si="0"/>
        <v>400(含)-500</v>
      </c>
      <c r="H2" s="623" t="str">
        <f t="shared" si="0"/>
        <v>500(含)-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31"/>
      <c r="B3" s="626"/>
      <c r="C3" s="6">
        <v>0</v>
      </c>
      <c r="D3" s="6">
        <v>150</v>
      </c>
      <c r="E3" s="6">
        <v>200</v>
      </c>
      <c r="F3" s="6">
        <v>300</v>
      </c>
      <c r="G3" s="6">
        <v>400</v>
      </c>
      <c r="H3" s="6">
        <v>500</v>
      </c>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849">
        <f>'比较法-住宅'!C104</f>
        <v>100</v>
      </c>
      <c r="D4" s="849">
        <f>'比较法-住宅'!D104</f>
        <v>102</v>
      </c>
      <c r="E4" s="849">
        <f>'比较法-住宅'!E104</f>
        <v>104</v>
      </c>
      <c r="F4" s="849">
        <f>'比较法-住宅'!F104</f>
        <v>106</v>
      </c>
      <c r="G4" s="849">
        <f>'比较法-住宅'!G104</f>
        <v>108</v>
      </c>
      <c r="H4" s="849">
        <f>'比较法-住宅'!H104</f>
        <v>110</v>
      </c>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8">
      <c r="A5" s="924"/>
      <c r="B5" s="3203"/>
      <c r="C5" s="6"/>
      <c r="D5" s="6"/>
      <c r="E5" s="6"/>
      <c r="F5" s="6"/>
      <c r="G5" s="6"/>
      <c r="H5" s="6"/>
      <c r="I5" s="1226"/>
      <c r="J5" s="1226"/>
      <c r="K5" s="1226"/>
      <c r="L5" s="1227"/>
      <c r="M5" s="1228"/>
      <c r="N5" s="1228"/>
      <c r="O5" s="1226"/>
      <c r="P5" s="1226"/>
      <c r="Q5" s="1226"/>
      <c r="R5" s="1226"/>
      <c r="S5" s="1229"/>
      <c r="T5" s="942">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102</v>
      </c>
      <c r="E6" s="848">
        <f t="shared" ref="E6:S6" si="7">D6-$T5</f>
        <v>104</v>
      </c>
      <c r="F6" s="1230">
        <f t="shared" si="7"/>
        <v>106</v>
      </c>
      <c r="G6" s="1230">
        <f t="shared" si="7"/>
        <v>108</v>
      </c>
      <c r="H6" s="1230">
        <f t="shared" si="7"/>
        <v>110</v>
      </c>
      <c r="I6" s="1230">
        <f t="shared" si="7"/>
        <v>112</v>
      </c>
      <c r="J6" s="1230">
        <f t="shared" si="7"/>
        <v>114</v>
      </c>
      <c r="K6" s="1230">
        <f t="shared" si="7"/>
        <v>116</v>
      </c>
      <c r="L6" s="1230">
        <f t="shared" si="7"/>
        <v>118</v>
      </c>
      <c r="M6" s="1230">
        <f t="shared" si="7"/>
        <v>120</v>
      </c>
      <c r="N6" s="1230">
        <f t="shared" si="7"/>
        <v>122</v>
      </c>
      <c r="O6" s="1230">
        <f t="shared" si="7"/>
        <v>124</v>
      </c>
      <c r="P6" s="1230">
        <f t="shared" si="7"/>
        <v>126</v>
      </c>
      <c r="Q6" s="1230">
        <f t="shared" si="7"/>
        <v>128</v>
      </c>
      <c r="R6" s="1230">
        <f t="shared" si="7"/>
        <v>130</v>
      </c>
      <c r="S6" s="1230">
        <f t="shared" si="7"/>
        <v>132</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2086</v>
      </c>
      <c r="C7" s="850" t="s">
        <v>4070</v>
      </c>
      <c r="D7" s="844" t="s">
        <v>4072</v>
      </c>
      <c r="E7" s="844" t="s">
        <v>4071</v>
      </c>
      <c r="F7" s="1231"/>
      <c r="G7" s="1231"/>
      <c r="H7" s="1231"/>
      <c r="I7" s="1231"/>
      <c r="J7" s="1231"/>
      <c r="K7" s="1231"/>
      <c r="L7" s="1231"/>
      <c r="M7" s="1232"/>
      <c r="N7" s="1233"/>
      <c r="O7" s="1234"/>
      <c r="P7" s="1234"/>
      <c r="Q7" s="1235"/>
      <c r="R7" s="1236"/>
      <c r="S7" s="1237"/>
      <c r="T7" s="630">
        <v>2</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98</v>
      </c>
      <c r="E8" s="848">
        <f t="shared" ref="E8:S8" si="8">D8-$T7</f>
        <v>96</v>
      </c>
      <c r="F8" s="1230">
        <f t="shared" si="8"/>
        <v>94</v>
      </c>
      <c r="G8" s="1230">
        <f t="shared" si="8"/>
        <v>92</v>
      </c>
      <c r="H8" s="1230">
        <f t="shared" si="8"/>
        <v>90</v>
      </c>
      <c r="I8" s="1230">
        <f t="shared" si="8"/>
        <v>88</v>
      </c>
      <c r="J8" s="1230">
        <f t="shared" si="8"/>
        <v>86</v>
      </c>
      <c r="K8" s="1230">
        <f t="shared" si="8"/>
        <v>84</v>
      </c>
      <c r="L8" s="1230">
        <f t="shared" si="8"/>
        <v>82</v>
      </c>
      <c r="M8" s="1230">
        <f t="shared" si="8"/>
        <v>80</v>
      </c>
      <c r="N8" s="1230">
        <f t="shared" si="8"/>
        <v>78</v>
      </c>
      <c r="O8" s="1230">
        <f t="shared" si="8"/>
        <v>76</v>
      </c>
      <c r="P8" s="1230">
        <f t="shared" si="8"/>
        <v>74</v>
      </c>
      <c r="Q8" s="1230">
        <f t="shared" si="8"/>
        <v>72</v>
      </c>
      <c r="R8" s="1230">
        <f t="shared" si="8"/>
        <v>70</v>
      </c>
      <c r="S8" s="1230">
        <f t="shared" si="8"/>
        <v>68</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idden="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hidden="1"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idden="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hidden="1"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idden="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idden="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2093</v>
      </c>
      <c r="E19" s="1252"/>
      <c r="F19" s="1252"/>
      <c r="G19" s="1252"/>
      <c r="H19" s="995"/>
      <c r="I19" s="151"/>
      <c r="J19" s="151"/>
      <c r="K19" s="151"/>
      <c r="L19" s="151"/>
      <c r="M19" s="151"/>
      <c r="N19" s="151"/>
      <c r="O19" s="151"/>
      <c r="P19" s="151"/>
      <c r="Q19" s="151"/>
      <c r="R19" s="151"/>
      <c r="S19" s="121"/>
    </row>
    <row r="20" spans="1:45" ht="16.2" thickBot="1">
      <c r="A20" s="631" t="s">
        <v>2094</v>
      </c>
      <c r="B20" s="286">
        <f ca="1">IF(D20="——",S22,S22-F20)</f>
        <v>101634</v>
      </c>
      <c r="C20" s="151"/>
      <c r="D20" s="1988" t="s">
        <v>43</v>
      </c>
      <c r="E20" s="1253"/>
      <c r="F20" s="928" t="e">
        <f ca="1">SUMIF(INDIRECT("'"&amp;H20&amp;"'"&amp;"!A:A"),"承租人权益价值",INDIRECT("'"&amp;H20&amp;"'"&amp;"!c:c"))</f>
        <v>#REF!</v>
      </c>
      <c r="G20" s="928" t="s">
        <v>2095</v>
      </c>
      <c r="H20" s="1989"/>
      <c r="I20" s="151"/>
      <c r="J20" s="151"/>
      <c r="K20" s="151"/>
      <c r="L20" s="151"/>
      <c r="M20" s="151"/>
      <c r="N20" s="151"/>
      <c r="O20" s="151"/>
      <c r="P20" s="151"/>
      <c r="Q20" s="151"/>
      <c r="R20" s="151"/>
      <c r="S20" s="121"/>
    </row>
    <row r="21" spans="1:45" ht="15.6">
      <c r="A21" s="631" t="s">
        <v>2096</v>
      </c>
      <c r="B21" s="286">
        <f ca="1">ROUND(B20*10000/B22,0)</f>
        <v>168246</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6040.7800000000007</v>
      </c>
      <c r="C22" s="3418" t="s">
        <v>27</v>
      </c>
      <c r="D22" s="3419"/>
      <c r="E22" s="3419"/>
      <c r="F22" s="3419"/>
      <c r="G22" s="3419"/>
      <c r="H22" s="3419"/>
      <c r="I22" s="3419"/>
      <c r="J22" s="3419"/>
      <c r="K22" s="3419"/>
      <c r="L22" s="3419"/>
      <c r="M22" s="3419"/>
      <c r="N22" s="3419"/>
      <c r="O22" s="3419"/>
      <c r="P22" s="3419"/>
      <c r="Q22" s="3420"/>
      <c r="R22" s="21">
        <f ca="1">ROUND(S22*10000/B22,0)</f>
        <v>168246</v>
      </c>
      <c r="S22" s="21">
        <f ca="1">SUM(S24:S10000)</f>
        <v>101634</v>
      </c>
    </row>
    <row r="23" spans="1:45" s="9" customFormat="1" ht="24">
      <c r="A23" s="8" t="s">
        <v>2098</v>
      </c>
      <c r="B23" s="8" t="s">
        <v>2099</v>
      </c>
      <c r="C23" s="8" t="s">
        <v>2100</v>
      </c>
      <c r="D23" s="8">
        <f>B5</f>
        <v>0</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202">
        <f>清单!D9</f>
        <v>2002</v>
      </c>
      <c r="B24" s="3202">
        <f>清单!E9</f>
        <v>182.59</v>
      </c>
      <c r="C24" s="2568">
        <v>1</v>
      </c>
      <c r="D24" s="2569"/>
      <c r="E24" s="2568">
        <v>1</v>
      </c>
      <c r="F24" s="2569"/>
      <c r="G24" s="2568">
        <v>1</v>
      </c>
      <c r="H24" s="2569"/>
      <c r="I24" s="2568">
        <v>1</v>
      </c>
      <c r="J24" s="2569"/>
      <c r="K24" s="2568">
        <v>1</v>
      </c>
      <c r="L24" s="2569"/>
      <c r="M24" s="2568">
        <v>1</v>
      </c>
      <c r="N24" s="2569"/>
      <c r="O24" s="2568">
        <v>1</v>
      </c>
      <c r="P24" s="2569"/>
      <c r="Q24" s="2568">
        <v>1</v>
      </c>
      <c r="R24" s="632">
        <f ca="1">结果表!G20</f>
        <v>166153</v>
      </c>
      <c r="S24" s="633">
        <f t="shared" ref="S24:S54" ca="1" si="11">ROUND(R24*B24/10000,0)</f>
        <v>3034</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2231">
        <f>清单!D2</f>
        <v>2703</v>
      </c>
      <c r="B25" s="2231">
        <f>清单!E2</f>
        <v>182.59</v>
      </c>
      <c r="C25" s="21">
        <f>IF(B25="",1,(LOOKUP(B25,$3:$3,$4:$4)-LOOKUP($B$24,$3:$3,$4:$4)+100)/100)</f>
        <v>1</v>
      </c>
      <c r="D25" s="2569"/>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166153</v>
      </c>
      <c r="S25" s="308">
        <f t="shared" ca="1" si="11"/>
        <v>3034</v>
      </c>
      <c r="T25" s="683" t="str">
        <f>清单!H2</f>
        <v>2室2厅2卫</v>
      </c>
    </row>
    <row r="26" spans="1:45">
      <c r="A26" s="2231">
        <f>清单!D3</f>
        <v>2803</v>
      </c>
      <c r="B26" s="2231">
        <f>清单!E3</f>
        <v>182.59</v>
      </c>
      <c r="C26" s="21">
        <f t="shared" ref="C26:C89" si="12">IF(B26="",1,(LOOKUP(B26,$3:$3,$4:$4)-LOOKUP($B$24,$3:$3,$4:$4)+100)/100)</f>
        <v>1</v>
      </c>
      <c r="D26" s="2569"/>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ca="1" si="20">IF(B26="",0,ROUND($R$24*C26*E26*G26*I26*K26*M26*O26*Q26,0))</f>
        <v>166153</v>
      </c>
      <c r="S26" s="308">
        <f t="shared" ca="1" si="11"/>
        <v>3034</v>
      </c>
      <c r="T26" s="683" t="str">
        <f>清单!H3</f>
        <v>2室2厅2卫</v>
      </c>
    </row>
    <row r="27" spans="1:45">
      <c r="A27" s="2231">
        <f>清单!D4</f>
        <v>2901</v>
      </c>
      <c r="B27" s="2231">
        <f>清单!E4</f>
        <v>123.43</v>
      </c>
      <c r="C27" s="21">
        <f t="shared" si="12"/>
        <v>0.98</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ca="1" si="20"/>
        <v>162830</v>
      </c>
      <c r="S27" s="308">
        <f t="shared" ca="1" si="11"/>
        <v>2010</v>
      </c>
      <c r="T27" s="683" t="str">
        <f>清单!H4</f>
        <v>2室2厅2卫</v>
      </c>
    </row>
    <row r="28" spans="1:45">
      <c r="A28" s="2231">
        <f>清单!D5</f>
        <v>3201</v>
      </c>
      <c r="B28" s="2231">
        <f>清单!E5</f>
        <v>212.16</v>
      </c>
      <c r="C28" s="21">
        <f t="shared" si="12"/>
        <v>1.02</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ca="1" si="20"/>
        <v>169476</v>
      </c>
      <c r="S28" s="308">
        <f t="shared" ca="1" si="11"/>
        <v>3596</v>
      </c>
      <c r="T28" s="683" t="str">
        <f>清单!H5</f>
        <v>2室2厅2卫</v>
      </c>
    </row>
    <row r="29" spans="1:45">
      <c r="A29" s="2231">
        <f>清单!D6</f>
        <v>3202</v>
      </c>
      <c r="B29" s="2231">
        <f>清单!E6</f>
        <v>299.51</v>
      </c>
      <c r="C29" s="21">
        <f t="shared" si="12"/>
        <v>1.02</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ca="1" si="20"/>
        <v>169476</v>
      </c>
      <c r="S29" s="308">
        <f t="shared" ca="1" si="11"/>
        <v>5076</v>
      </c>
      <c r="T29" s="683" t="str">
        <f>清单!H6</f>
        <v>4室2厅4卫</v>
      </c>
    </row>
    <row r="30" spans="1:45">
      <c r="A30" s="2231">
        <f>清单!D7</f>
        <v>301</v>
      </c>
      <c r="B30" s="2231">
        <f>清单!E7</f>
        <v>286.32</v>
      </c>
      <c r="C30" s="21">
        <f t="shared" si="12"/>
        <v>1.02</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ca="1" si="20"/>
        <v>169476</v>
      </c>
      <c r="S30" s="308">
        <f t="shared" ca="1" si="11"/>
        <v>4852</v>
      </c>
      <c r="T30" s="683" t="str">
        <f>清单!H7</f>
        <v>4室2厅4卫</v>
      </c>
    </row>
    <row r="31" spans="1:45">
      <c r="A31" s="2231">
        <f>清单!D8</f>
        <v>404</v>
      </c>
      <c r="B31" s="2231">
        <f>清单!E8</f>
        <v>123.43</v>
      </c>
      <c r="C31" s="21">
        <f t="shared" si="12"/>
        <v>0.98</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ca="1" si="20"/>
        <v>162830</v>
      </c>
      <c r="S31" s="308">
        <f t="shared" ca="1" si="11"/>
        <v>2010</v>
      </c>
      <c r="T31" s="683" t="str">
        <f>清单!H8</f>
        <v>2室2厅2卫</v>
      </c>
    </row>
    <row r="32" spans="1:45">
      <c r="A32" s="2231"/>
      <c r="B32" s="2231"/>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c r="T32" s="683" t="str">
        <f>清单!H9</f>
        <v>2室2厅2卫</v>
      </c>
    </row>
    <row r="33" spans="1:20">
      <c r="A33" s="2231">
        <f>清单!D10</f>
        <v>2004</v>
      </c>
      <c r="B33" s="2231">
        <f>清单!E10</f>
        <v>123.43</v>
      </c>
      <c r="C33" s="21">
        <f t="shared" si="12"/>
        <v>0.98</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ca="1" si="20"/>
        <v>162830</v>
      </c>
      <c r="S33" s="308">
        <f t="shared" ca="1" si="11"/>
        <v>2010</v>
      </c>
      <c r="T33" s="683" t="str">
        <f>清单!H10</f>
        <v>2室2厅2卫</v>
      </c>
    </row>
    <row r="34" spans="1:20">
      <c r="A34" s="2231">
        <f>清单!D11</f>
        <v>2202</v>
      </c>
      <c r="B34" s="2231">
        <f>清单!E11</f>
        <v>182.59</v>
      </c>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ca="1" si="20"/>
        <v>166153</v>
      </c>
      <c r="S34" s="308">
        <f t="shared" ca="1" si="11"/>
        <v>3034</v>
      </c>
      <c r="T34" s="683" t="str">
        <f>清单!H11</f>
        <v>2室2厅2卫</v>
      </c>
    </row>
    <row r="35" spans="1:20">
      <c r="A35" s="2231">
        <f>清单!D12</f>
        <v>2303</v>
      </c>
      <c r="B35" s="2231">
        <f>清单!E12</f>
        <v>252.52</v>
      </c>
      <c r="C35" s="21">
        <f t="shared" si="12"/>
        <v>1.02</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ca="1" si="20"/>
        <v>169476</v>
      </c>
      <c r="S35" s="308">
        <f t="shared" ca="1" si="11"/>
        <v>4280</v>
      </c>
      <c r="T35" s="683" t="str">
        <f>清单!H12</f>
        <v>3室2厅3卫</v>
      </c>
    </row>
    <row r="36" spans="1:20">
      <c r="A36" s="2231">
        <f>清单!D13</f>
        <v>2304</v>
      </c>
      <c r="B36" s="2231">
        <f>清单!E13</f>
        <v>123.43</v>
      </c>
      <c r="C36" s="21">
        <f t="shared" si="12"/>
        <v>0.98</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ca="1" si="20"/>
        <v>162830</v>
      </c>
      <c r="S36" s="308">
        <f t="shared" ca="1" si="11"/>
        <v>2010</v>
      </c>
      <c r="T36" s="683" t="str">
        <f>清单!H13</f>
        <v>2室2厅2卫</v>
      </c>
    </row>
    <row r="37" spans="1:20">
      <c r="A37" s="2231">
        <f>清单!D14</f>
        <v>2403</v>
      </c>
      <c r="B37" s="2231">
        <f>清单!E14</f>
        <v>252.52</v>
      </c>
      <c r="C37" s="21">
        <f t="shared" si="12"/>
        <v>1.02</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ca="1" si="20"/>
        <v>169476</v>
      </c>
      <c r="S37" s="308">
        <f t="shared" ca="1" si="11"/>
        <v>4280</v>
      </c>
      <c r="T37" s="683" t="str">
        <f>清单!H14</f>
        <v>3室2厅3卫</v>
      </c>
    </row>
    <row r="38" spans="1:20">
      <c r="A38" s="2231">
        <f>清单!D15</f>
        <v>2404</v>
      </c>
      <c r="B38" s="2231">
        <f>清单!E15</f>
        <v>123.43</v>
      </c>
      <c r="C38" s="21">
        <f t="shared" si="12"/>
        <v>0.98</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ca="1" si="20"/>
        <v>162830</v>
      </c>
      <c r="S38" s="308">
        <f t="shared" ca="1" si="11"/>
        <v>2010</v>
      </c>
      <c r="T38" s="683" t="str">
        <f>清单!H15</f>
        <v>2室2厅2卫</v>
      </c>
    </row>
    <row r="39" spans="1:20">
      <c r="A39" s="2231">
        <f>清单!D16</f>
        <v>2501</v>
      </c>
      <c r="B39" s="2231">
        <f>清单!E16</f>
        <v>287.55</v>
      </c>
      <c r="C39" s="21">
        <f t="shared" si="12"/>
        <v>1.02</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ca="1" si="20"/>
        <v>169476</v>
      </c>
      <c r="S39" s="308">
        <f t="shared" ca="1" si="11"/>
        <v>4873</v>
      </c>
      <c r="T39" s="683" t="str">
        <f>清单!H16</f>
        <v>4室2厅4卫</v>
      </c>
    </row>
    <row r="40" spans="1:20">
      <c r="A40" s="2231">
        <f>清单!D17</f>
        <v>2502</v>
      </c>
      <c r="B40" s="2231">
        <f>清单!E17</f>
        <v>182.59</v>
      </c>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ca="1" si="20"/>
        <v>166153</v>
      </c>
      <c r="S40" s="308">
        <f t="shared" ca="1" si="11"/>
        <v>3034</v>
      </c>
      <c r="T40" s="683" t="str">
        <f>清单!H17</f>
        <v>2室2厅2卫</v>
      </c>
    </row>
    <row r="41" spans="1:20">
      <c r="A41" s="2231">
        <f>清单!D18</f>
        <v>2503</v>
      </c>
      <c r="B41" s="2231">
        <f>清单!E18</f>
        <v>252.52</v>
      </c>
      <c r="C41" s="21">
        <f t="shared" si="12"/>
        <v>1.02</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ca="1" si="20"/>
        <v>169476</v>
      </c>
      <c r="S41" s="308">
        <f t="shared" ca="1" si="11"/>
        <v>4280</v>
      </c>
      <c r="T41" s="683" t="str">
        <f>清单!H18</f>
        <v>3室2厅3卫</v>
      </c>
    </row>
    <row r="42" spans="1:20">
      <c r="A42" s="2231">
        <f>清单!D19</f>
        <v>2504</v>
      </c>
      <c r="B42" s="2231">
        <f>清单!E19</f>
        <v>123.43</v>
      </c>
      <c r="C42" s="21">
        <f t="shared" si="12"/>
        <v>0.98</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ca="1" si="20"/>
        <v>162830</v>
      </c>
      <c r="S42" s="308">
        <f t="shared" ca="1" si="11"/>
        <v>2010</v>
      </c>
      <c r="T42" s="683" t="str">
        <f>清单!H19</f>
        <v>2室2厅2卫</v>
      </c>
    </row>
    <row r="43" spans="1:20">
      <c r="A43" s="2231">
        <f>清单!D20</f>
        <v>2602</v>
      </c>
      <c r="B43" s="2231">
        <f>清单!E20</f>
        <v>182.59</v>
      </c>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ca="1" si="20"/>
        <v>166153</v>
      </c>
      <c r="S43" s="308">
        <f t="shared" ca="1" si="11"/>
        <v>3034</v>
      </c>
      <c r="T43" s="683" t="str">
        <f>清单!H20</f>
        <v>2室2厅2卫</v>
      </c>
    </row>
    <row r="44" spans="1:20">
      <c r="A44" s="2231">
        <f>清单!D21</f>
        <v>2604</v>
      </c>
      <c r="B44" s="2231">
        <f>清单!E21</f>
        <v>123.43</v>
      </c>
      <c r="C44" s="21">
        <f t="shared" si="12"/>
        <v>0.98</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ca="1" si="20"/>
        <v>162830</v>
      </c>
      <c r="S44" s="308">
        <f t="shared" ca="1" si="11"/>
        <v>2010</v>
      </c>
      <c r="T44" s="683" t="str">
        <f>清单!H21</f>
        <v>2室2厅2卫</v>
      </c>
    </row>
    <row r="45" spans="1:20">
      <c r="A45" s="2231">
        <f>清单!D22</f>
        <v>2704</v>
      </c>
      <c r="B45" s="2231">
        <f>清单!E22</f>
        <v>123.43</v>
      </c>
      <c r="C45" s="21">
        <f t="shared" si="12"/>
        <v>0.98</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ca="1" si="20"/>
        <v>162830</v>
      </c>
      <c r="S45" s="308">
        <f t="shared" ca="1" si="11"/>
        <v>2010</v>
      </c>
      <c r="T45" s="683" t="str">
        <f>清单!H22</f>
        <v>2室2厅2卫</v>
      </c>
    </row>
    <row r="46" spans="1:20">
      <c r="A46" s="2231">
        <f>清单!D23</f>
        <v>2803</v>
      </c>
      <c r="B46" s="2231">
        <f>清单!E23</f>
        <v>252.52</v>
      </c>
      <c r="C46" s="21">
        <f t="shared" si="12"/>
        <v>1.02</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ca="1" si="20"/>
        <v>169476</v>
      </c>
      <c r="S46" s="308">
        <f t="shared" ca="1" si="11"/>
        <v>4280</v>
      </c>
      <c r="T46" s="683" t="str">
        <f>清单!H23</f>
        <v>3室2厅3卫</v>
      </c>
    </row>
    <row r="47" spans="1:20">
      <c r="A47" s="2231">
        <f>清单!D24</f>
        <v>2804</v>
      </c>
      <c r="B47" s="2231">
        <f>清单!E24</f>
        <v>123.43</v>
      </c>
      <c r="C47" s="21">
        <f t="shared" si="12"/>
        <v>0.98</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ca="1" si="20"/>
        <v>162830</v>
      </c>
      <c r="S47" s="308">
        <f t="shared" ca="1" si="11"/>
        <v>2010</v>
      </c>
      <c r="T47" s="683" t="str">
        <f>清单!H24</f>
        <v>2室2厅2卫</v>
      </c>
    </row>
    <row r="48" spans="1:20">
      <c r="A48" s="2231">
        <f>清单!D25</f>
        <v>2903</v>
      </c>
      <c r="B48" s="2231">
        <f>清单!E25</f>
        <v>252.52</v>
      </c>
      <c r="C48" s="21">
        <f t="shared" si="12"/>
        <v>1.02</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ca="1" si="20"/>
        <v>169476</v>
      </c>
      <c r="S48" s="308">
        <f t="shared" ca="1" si="11"/>
        <v>4280</v>
      </c>
      <c r="T48" s="683" t="str">
        <f>清单!H25</f>
        <v>3室2厅3卫</v>
      </c>
    </row>
    <row r="49" spans="1:20">
      <c r="A49" s="2231">
        <f>清单!D26</f>
        <v>2904</v>
      </c>
      <c r="B49" s="2231">
        <f>清单!E26</f>
        <v>123.43</v>
      </c>
      <c r="C49" s="21">
        <f t="shared" si="12"/>
        <v>0.98</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ca="1" si="20"/>
        <v>162830</v>
      </c>
      <c r="S49" s="308">
        <f t="shared" ca="1" si="11"/>
        <v>2010</v>
      </c>
      <c r="T49" s="683" t="str">
        <f>清单!H26</f>
        <v>2室2厅2卫</v>
      </c>
    </row>
    <row r="50" spans="1:20">
      <c r="A50" s="2231">
        <f>清单!D27</f>
        <v>3001</v>
      </c>
      <c r="B50" s="2231">
        <f>清单!E27</f>
        <v>388.05</v>
      </c>
      <c r="C50" s="21">
        <f t="shared" si="12"/>
        <v>1.04</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ca="1" si="20"/>
        <v>172799</v>
      </c>
      <c r="S50" s="308">
        <f t="shared" ca="1" si="11"/>
        <v>6705</v>
      </c>
      <c r="T50" s="683" t="str">
        <f>清单!H27</f>
        <v>4室3厅4卫</v>
      </c>
    </row>
    <row r="51" spans="1:20">
      <c r="A51" s="2231">
        <f>清单!D28</f>
        <v>3002</v>
      </c>
      <c r="B51" s="2231">
        <f>清单!E28</f>
        <v>463.08</v>
      </c>
      <c r="C51" s="21">
        <f t="shared" si="12"/>
        <v>1.06</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ca="1" si="20"/>
        <v>176122</v>
      </c>
      <c r="S51" s="308">
        <f t="shared" ca="1" si="11"/>
        <v>8156</v>
      </c>
      <c r="T51" s="683" t="str">
        <f>清单!H28</f>
        <v>5室3厅4卫</v>
      </c>
    </row>
    <row r="52" spans="1:20">
      <c r="A52" s="2231">
        <f>清单!D29</f>
        <v>3201</v>
      </c>
      <c r="B52" s="2231">
        <f>清单!E29</f>
        <v>299.51</v>
      </c>
      <c r="C52" s="21">
        <f t="shared" si="12"/>
        <v>1.02</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ca="1" si="20"/>
        <v>169476</v>
      </c>
      <c r="S52" s="308">
        <f t="shared" ca="1" si="11"/>
        <v>5076</v>
      </c>
      <c r="T52" s="683" t="str">
        <f>清单!H29</f>
        <v>4室2厅4卫</v>
      </c>
    </row>
    <row r="53" spans="1:20">
      <c r="A53" s="2231">
        <f>清单!D30</f>
        <v>3202</v>
      </c>
      <c r="B53" s="2231">
        <f>清单!E30</f>
        <v>212.16</v>
      </c>
      <c r="C53" s="21">
        <f t="shared" si="12"/>
        <v>1.02</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ca="1" si="20"/>
        <v>169476</v>
      </c>
      <c r="S53" s="308">
        <f t="shared" ca="1" si="11"/>
        <v>3596</v>
      </c>
      <c r="T53" s="683" t="str">
        <f>清单!H30</f>
        <v>2室2厅2卫</v>
      </c>
    </row>
    <row r="54" spans="1:20">
      <c r="A54" s="2231"/>
      <c r="B54" s="2231"/>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20">
      <c r="A55" s="2231"/>
      <c r="B55" s="2231"/>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20">
      <c r="A56" s="2231"/>
      <c r="B56" s="2231"/>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20">
      <c r="A57" s="2231"/>
      <c r="B57" s="2231"/>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20">
      <c r="A58" s="2231"/>
      <c r="B58" s="2231"/>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20">
      <c r="A59" s="2231"/>
      <c r="B59" s="2231"/>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20">
      <c r="A60" s="2231"/>
      <c r="B60" s="2231"/>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20">
      <c r="A61" s="2231"/>
      <c r="B61" s="2231"/>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20">
      <c r="A62" s="2231"/>
      <c r="B62" s="2231"/>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20">
      <c r="A63" s="2231"/>
      <c r="B63" s="2231"/>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20">
      <c r="A64" s="2231"/>
      <c r="B64" s="2231"/>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2231"/>
      <c r="B65" s="2231"/>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2231"/>
      <c r="B66" s="2231"/>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2231"/>
      <c r="B67" s="2231"/>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2231"/>
      <c r="B68" s="2231"/>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2231"/>
      <c r="B69" s="2231"/>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2231"/>
      <c r="B70" s="2231"/>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2231"/>
      <c r="B71" s="2231"/>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2231"/>
      <c r="B72" s="2231"/>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2231"/>
      <c r="B73" s="2231"/>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2231"/>
      <c r="B74" s="2231"/>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2231"/>
      <c r="B75" s="2231"/>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2231"/>
      <c r="B76" s="2231"/>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2231"/>
      <c r="B77" s="2231"/>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2231"/>
      <c r="B78" s="2231"/>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2231"/>
      <c r="B79" s="2231"/>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2231"/>
      <c r="B80" s="2231"/>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2231"/>
      <c r="B81" s="2231"/>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2231"/>
      <c r="B82" s="2231"/>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2231"/>
      <c r="B83" s="2231"/>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2231"/>
      <c r="B84" s="2231"/>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2231"/>
      <c r="B85" s="2231"/>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2231"/>
      <c r="B86" s="2231"/>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2231"/>
      <c r="B87" s="2231"/>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2231"/>
      <c r="B88" s="2231"/>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2231"/>
      <c r="B89" s="2231"/>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2231"/>
      <c r="B90" s="2231"/>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2231"/>
      <c r="B91" s="2231"/>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2231"/>
      <c r="B92" s="2231"/>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2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79" zoomScale="85" zoomScaleNormal="60" zoomScaleSheetLayoutView="85" workbookViewId="0">
      <selection activeCell="C103" sqref="C103:H103"/>
    </sheetView>
  </sheetViews>
  <sheetFormatPr defaultColWidth="9" defaultRowHeight="13.8"/>
  <cols>
    <col min="1" max="1" width="10.44140625" style="347" customWidth="1"/>
    <col min="2" max="2" width="15.77734375" style="347" customWidth="1"/>
    <col min="3" max="3" width="24.109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t="s">
        <v>3399</v>
      </c>
      <c r="E1" s="3122" t="s">
        <v>4004</v>
      </c>
      <c r="F1" s="1734" t="s">
        <v>4053</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3368.7855</v>
      </c>
      <c r="C2" s="1736" t="s">
        <v>43</v>
      </c>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184500</v>
      </c>
      <c r="C3" s="344" t="s">
        <v>1665</v>
      </c>
      <c r="D3" s="343">
        <f>IF(D1="",'数据-汇总表'!E3,SUMIF('数据-汇总表'!$C19:$C33,D1,'数据-汇总表'!$E19:$E33))</f>
        <v>182.59</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4.4">
      <c r="A4" s="345" t="s">
        <v>1666</v>
      </c>
      <c r="B4" s="346"/>
      <c r="C4" s="3443" t="s">
        <v>1667</v>
      </c>
      <c r="D4" s="3444"/>
      <c r="E4" s="3445" t="s">
        <v>1668</v>
      </c>
      <c r="F4" s="3446"/>
      <c r="G4" s="3443" t="s">
        <v>1669</v>
      </c>
      <c r="H4" s="3444"/>
      <c r="I4" s="3443" t="s">
        <v>1670</v>
      </c>
      <c r="J4" s="3444"/>
      <c r="K4" s="1743" t="s">
        <v>1671</v>
      </c>
      <c r="L4" s="2484"/>
      <c r="M4" s="2485"/>
      <c r="N4" s="2485"/>
      <c r="O4" s="2485"/>
      <c r="P4" s="3447" t="s">
        <v>1672</v>
      </c>
      <c r="Q4" s="3448"/>
      <c r="R4" s="3429" t="s">
        <v>1668</v>
      </c>
      <c r="S4" s="3430"/>
      <c r="T4" s="3429" t="s">
        <v>1669</v>
      </c>
      <c r="U4" s="3430"/>
      <c r="V4" s="3455" t="s">
        <v>1670</v>
      </c>
      <c r="W4" s="3455"/>
      <c r="X4" s="1264"/>
      <c r="Y4" s="3429" t="s">
        <v>1672</v>
      </c>
      <c r="Z4" s="3430"/>
      <c r="AA4" s="3424" t="s">
        <v>1668</v>
      </c>
      <c r="AB4" s="3424" t="s">
        <v>1669</v>
      </c>
      <c r="AC4" s="3424" t="s">
        <v>1670</v>
      </c>
    </row>
    <row r="5" spans="1:29">
      <c r="A5" s="348"/>
      <c r="B5" s="349"/>
      <c r="C5" s="3435" t="s">
        <v>1673</v>
      </c>
      <c r="D5" s="3436"/>
      <c r="E5" s="3433" t="s">
        <v>4049</v>
      </c>
      <c r="F5" s="3434"/>
      <c r="G5" s="3439" t="s">
        <v>4050</v>
      </c>
      <c r="H5" s="3436"/>
      <c r="I5" s="3439" t="s">
        <v>4052</v>
      </c>
      <c r="J5" s="3436"/>
      <c r="K5" s="1744"/>
      <c r="L5" s="2484"/>
      <c r="M5" s="2485"/>
      <c r="N5" s="2485"/>
      <c r="O5" s="2485"/>
      <c r="P5" s="3449"/>
      <c r="Q5" s="3450"/>
      <c r="R5" s="3431"/>
      <c r="S5" s="3432"/>
      <c r="T5" s="3431"/>
      <c r="U5" s="3432"/>
      <c r="V5" s="3455"/>
      <c r="W5" s="3455"/>
      <c r="X5" s="1264"/>
      <c r="Y5" s="3431"/>
      <c r="Z5" s="3432"/>
      <c r="AA5" s="3425"/>
      <c r="AB5" s="3425"/>
      <c r="AC5" s="3425"/>
    </row>
    <row r="6" spans="1:29" ht="15" thickBot="1">
      <c r="A6" s="350"/>
      <c r="B6" s="351"/>
      <c r="C6" s="3437" t="s">
        <v>1677</v>
      </c>
      <c r="D6" s="3438"/>
      <c r="E6" s="3440" t="s">
        <v>1677</v>
      </c>
      <c r="F6" s="3441"/>
      <c r="G6" s="3437" t="s">
        <v>1677</v>
      </c>
      <c r="H6" s="3438"/>
      <c r="I6" s="3437" t="s">
        <v>1677</v>
      </c>
      <c r="J6" s="3438"/>
      <c r="K6" s="1744" t="s">
        <v>1678</v>
      </c>
      <c r="L6" s="2484"/>
      <c r="M6" s="2485"/>
      <c r="N6" s="2485"/>
      <c r="O6" s="2485"/>
      <c r="P6" s="3451"/>
      <c r="Q6" s="3452"/>
      <c r="R6" s="3431"/>
      <c r="S6" s="3432"/>
      <c r="T6" s="3453"/>
      <c r="U6" s="3454"/>
      <c r="V6" s="3455"/>
      <c r="W6" s="3455"/>
      <c r="X6" s="1264"/>
      <c r="Y6" s="3453"/>
      <c r="Z6" s="3454"/>
      <c r="AA6" s="3426"/>
      <c r="AB6" s="3426"/>
      <c r="AC6" s="3426"/>
    </row>
    <row r="7" spans="1:29" s="102" customFormat="1" ht="15" thickBot="1">
      <c r="A7" s="352" t="s">
        <v>1679</v>
      </c>
      <c r="B7" s="353"/>
      <c r="C7" s="354">
        <f>'数据-取费表'!B2</f>
        <v>45825</v>
      </c>
      <c r="D7" s="355">
        <v>100</v>
      </c>
      <c r="E7" s="356">
        <v>45809</v>
      </c>
      <c r="F7" s="357">
        <f>SUMIF(58:58,YEAR(E7)&amp;"-"&amp;MONTH(E7),59:59)</f>
        <v>100</v>
      </c>
      <c r="G7" s="356">
        <v>45784</v>
      </c>
      <c r="H7" s="355">
        <f>SUMIF(58:58,YEAR(G7)&amp;"-"&amp;MONTH(G7),59:59)</f>
        <v>100</v>
      </c>
      <c r="I7" s="356">
        <v>45784</v>
      </c>
      <c r="J7" s="355">
        <f>SUMIF(58:58,YEAR(I7)&amp;"-"&amp;MONTH(I7),59:59)</f>
        <v>100</v>
      </c>
      <c r="K7" s="1745"/>
      <c r="L7" s="2486"/>
      <c r="M7" s="2438"/>
      <c r="N7" s="2438"/>
      <c r="O7" s="2438"/>
      <c r="P7" s="3427" t="s">
        <v>1680</v>
      </c>
      <c r="Q7" s="3456"/>
      <c r="R7" s="663" t="s">
        <v>20</v>
      </c>
      <c r="S7" s="664">
        <f t="shared" ref="S7:S15" si="0">F7</f>
        <v>100</v>
      </c>
      <c r="T7" s="663" t="s">
        <v>20</v>
      </c>
      <c r="U7" s="664">
        <f t="shared" ref="U7:U15" si="1">H7</f>
        <v>100</v>
      </c>
      <c r="V7" s="663" t="s">
        <v>20</v>
      </c>
      <c r="W7" s="664">
        <f t="shared" ref="W7:W15" si="2">J7</f>
        <v>100</v>
      </c>
      <c r="X7" s="665"/>
      <c r="Y7" s="3427" t="s">
        <v>1680</v>
      </c>
      <c r="Z7" s="3428"/>
      <c r="AA7" s="50">
        <f>D7/F7</f>
        <v>1</v>
      </c>
      <c r="AB7" s="50">
        <f>D7/H7</f>
        <v>1</v>
      </c>
      <c r="AC7" s="50">
        <f>D7/J7</f>
        <v>1</v>
      </c>
    </row>
    <row r="8" spans="1:29" s="102" customFormat="1" ht="15" thickBot="1">
      <c r="A8" s="352" t="s">
        <v>1681</v>
      </c>
      <c r="B8" s="353"/>
      <c r="C8" s="358" t="s">
        <v>3437</v>
      </c>
      <c r="D8" s="355">
        <v>100</v>
      </c>
      <c r="E8" s="1746" t="s">
        <v>4005</v>
      </c>
      <c r="F8" s="357">
        <f>SUMIF(61:61,E8,62:62)-SUMIF(61:61,C8,62:62)+100</f>
        <v>105</v>
      </c>
      <c r="G8" s="358" t="s">
        <v>3437</v>
      </c>
      <c r="H8" s="355">
        <f>SUMIF(61:61,G8,62:62)-SUMIF(61:61,C8,62:62)+100</f>
        <v>100</v>
      </c>
      <c r="I8" s="358" t="s">
        <v>3437</v>
      </c>
      <c r="J8" s="355">
        <f>SUMIF(61:61,I8,62:62)-SUMIF(61:61,C8,62:62)+100</f>
        <v>100</v>
      </c>
      <c r="K8" s="1745"/>
      <c r="L8" s="2486"/>
      <c r="M8" s="2438"/>
      <c r="N8" s="2438"/>
      <c r="O8" s="2438"/>
      <c r="P8" s="3427" t="s">
        <v>1683</v>
      </c>
      <c r="Q8" s="3428"/>
      <c r="R8" s="663" t="s">
        <v>20</v>
      </c>
      <c r="S8" s="664">
        <f t="shared" si="0"/>
        <v>105</v>
      </c>
      <c r="T8" s="663" t="s">
        <v>20</v>
      </c>
      <c r="U8" s="664">
        <f t="shared" si="1"/>
        <v>100</v>
      </c>
      <c r="V8" s="663" t="s">
        <v>20</v>
      </c>
      <c r="W8" s="664">
        <f t="shared" si="2"/>
        <v>100</v>
      </c>
      <c r="X8" s="665"/>
      <c r="Y8" s="3427" t="s">
        <v>1683</v>
      </c>
      <c r="Z8" s="3428"/>
      <c r="AA8" s="50">
        <f t="shared" ref="AA8:AA19" si="3">D8/F8</f>
        <v>0.95238095238095233</v>
      </c>
      <c r="AB8" s="50">
        <f t="shared" ref="AB8:AB19" si="4">D8/H8</f>
        <v>1</v>
      </c>
      <c r="AC8" s="50">
        <f t="shared" ref="AC8:AC19" si="5">D8/J8</f>
        <v>1</v>
      </c>
    </row>
    <row r="9" spans="1:29" s="102" customFormat="1" ht="14.4">
      <c r="A9" s="359" t="s">
        <v>1684</v>
      </c>
      <c r="B9" s="60" t="s">
        <v>1685</v>
      </c>
      <c r="C9" s="3186" t="s">
        <v>4017</v>
      </c>
      <c r="D9" s="59">
        <v>100</v>
      </c>
      <c r="E9" s="361" t="s">
        <v>3399</v>
      </c>
      <c r="F9" s="60">
        <f>SUMIF(63:63,E9,64:64)-SUMIF(63:63,C9,64:64)+100</f>
        <v>100</v>
      </c>
      <c r="G9" s="361" t="s">
        <v>3399</v>
      </c>
      <c r="H9" s="59">
        <f>SUMIF(63:63,G9,64:64)-SUMIF(63:63,C9,64:64)+100</f>
        <v>100</v>
      </c>
      <c r="I9" s="361" t="s">
        <v>3399</v>
      </c>
      <c r="J9" s="59">
        <f>SUMIF(63:63,I9,64:64)-SUMIF(63:63,C9,64:64)+100</f>
        <v>100</v>
      </c>
      <c r="K9" s="1745"/>
      <c r="L9" s="2486"/>
      <c r="M9" s="2438"/>
      <c r="N9" s="2438"/>
      <c r="O9" s="2438"/>
      <c r="P9" s="3442" t="s">
        <v>1686</v>
      </c>
      <c r="Q9" s="530" t="str">
        <f t="shared" ref="Q9:Q15" si="6">B9</f>
        <v>用途</v>
      </c>
      <c r="R9" s="663" t="s">
        <v>14</v>
      </c>
      <c r="S9" s="664">
        <f t="shared" si="0"/>
        <v>100</v>
      </c>
      <c r="T9" s="663" t="s">
        <v>14</v>
      </c>
      <c r="U9" s="664">
        <f t="shared" si="1"/>
        <v>100</v>
      </c>
      <c r="V9" s="663" t="s">
        <v>14</v>
      </c>
      <c r="W9" s="664">
        <f t="shared" si="2"/>
        <v>100</v>
      </c>
      <c r="X9" s="665"/>
      <c r="Y9" s="3372" t="s">
        <v>1687</v>
      </c>
      <c r="Z9" s="50" t="str">
        <f t="shared" ref="Z9:Z15" si="7">Q9</f>
        <v>用途</v>
      </c>
      <c r="AA9" s="50">
        <f t="shared" si="3"/>
        <v>1</v>
      </c>
      <c r="AB9" s="50">
        <f t="shared" si="4"/>
        <v>1</v>
      </c>
      <c r="AC9" s="50">
        <f t="shared" si="5"/>
        <v>1</v>
      </c>
    </row>
    <row r="10" spans="1:29" s="366" customFormat="1" ht="28.8">
      <c r="A10" s="363"/>
      <c r="B10" s="364" t="s">
        <v>1688</v>
      </c>
      <c r="C10" s="3130" t="s">
        <v>4018</v>
      </c>
      <c r="D10" s="119">
        <v>100</v>
      </c>
      <c r="E10" s="3131" t="s">
        <v>4006</v>
      </c>
      <c r="F10" s="364">
        <f>SUMIF(65:65,E10,66:66)-SUMIF(65:65,C10,66:66)+100</f>
        <v>101</v>
      </c>
      <c r="G10" s="3130" t="s">
        <v>4006</v>
      </c>
      <c r="H10" s="119">
        <f>SUMIF(65:65,G10,66:66)-SUMIF(65:65,C10,66:66)+100</f>
        <v>101</v>
      </c>
      <c r="I10" s="3130" t="s">
        <v>4006</v>
      </c>
      <c r="J10" s="119">
        <f>SUMIF(65:65,I10,66:66)-SUMIF(65:65,C10,66:66)+100</f>
        <v>101</v>
      </c>
      <c r="K10" s="1745"/>
      <c r="L10" s="2487"/>
      <c r="M10" s="2488"/>
      <c r="N10" s="2488"/>
      <c r="O10" s="2488"/>
      <c r="P10" s="3442"/>
      <c r="Q10" s="530" t="str">
        <f t="shared" si="6"/>
        <v>土地使用年限（年）</v>
      </c>
      <c r="R10" s="663" t="s">
        <v>14</v>
      </c>
      <c r="S10" s="664">
        <f t="shared" si="0"/>
        <v>101</v>
      </c>
      <c r="T10" s="663" t="s">
        <v>14</v>
      </c>
      <c r="U10" s="664">
        <f t="shared" si="1"/>
        <v>101</v>
      </c>
      <c r="V10" s="663" t="s">
        <v>14</v>
      </c>
      <c r="W10" s="664">
        <f t="shared" si="2"/>
        <v>101</v>
      </c>
      <c r="X10" s="665"/>
      <c r="Y10" s="3372"/>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442"/>
      <c r="Q11" s="530" t="str">
        <f t="shared" si="6"/>
        <v>容积率</v>
      </c>
      <c r="R11" s="663" t="s">
        <v>18</v>
      </c>
      <c r="S11" s="664">
        <f t="shared" si="0"/>
        <v>100</v>
      </c>
      <c r="T11" s="663" t="s">
        <v>18</v>
      </c>
      <c r="U11" s="664">
        <f t="shared" si="1"/>
        <v>100</v>
      </c>
      <c r="V11" s="663" t="s">
        <v>18</v>
      </c>
      <c r="W11" s="664">
        <f t="shared" si="2"/>
        <v>100</v>
      </c>
      <c r="X11" s="665"/>
      <c r="Y11" s="3372"/>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8"/>
      <c r="N12" s="2438"/>
      <c r="O12" s="2438"/>
      <c r="P12" s="3442"/>
      <c r="Q12" s="530">
        <f t="shared" si="6"/>
        <v>111</v>
      </c>
      <c r="R12" s="663" t="s">
        <v>18</v>
      </c>
      <c r="S12" s="664">
        <f t="shared" si="0"/>
        <v>100</v>
      </c>
      <c r="T12" s="663" t="s">
        <v>18</v>
      </c>
      <c r="U12" s="664">
        <f t="shared" si="1"/>
        <v>100</v>
      </c>
      <c r="V12" s="663" t="s">
        <v>18</v>
      </c>
      <c r="W12" s="664">
        <f t="shared" si="2"/>
        <v>100</v>
      </c>
      <c r="X12" s="665"/>
      <c r="Y12" s="33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42"/>
      <c r="Q13" s="530">
        <f t="shared" si="6"/>
        <v>111</v>
      </c>
      <c r="R13" s="663" t="s">
        <v>18</v>
      </c>
      <c r="S13" s="664">
        <f t="shared" si="0"/>
        <v>100</v>
      </c>
      <c r="T13" s="663" t="s">
        <v>18</v>
      </c>
      <c r="U13" s="664">
        <f t="shared" si="1"/>
        <v>100</v>
      </c>
      <c r="V13" s="663" t="s">
        <v>18</v>
      </c>
      <c r="W13" s="664">
        <f t="shared" si="2"/>
        <v>100</v>
      </c>
      <c r="X13" s="665"/>
      <c r="Y13" s="3372"/>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42"/>
      <c r="Q14" s="530">
        <f t="shared" si="6"/>
        <v>111</v>
      </c>
      <c r="R14" s="663" t="s">
        <v>18</v>
      </c>
      <c r="S14" s="664">
        <f t="shared" si="0"/>
        <v>100</v>
      </c>
      <c r="T14" s="663" t="s">
        <v>18</v>
      </c>
      <c r="U14" s="664">
        <f t="shared" si="1"/>
        <v>100</v>
      </c>
      <c r="V14" s="663" t="s">
        <v>18</v>
      </c>
      <c r="W14" s="664">
        <f t="shared" si="2"/>
        <v>100</v>
      </c>
      <c r="X14" s="665"/>
      <c r="Y14" s="3372"/>
      <c r="Z14" s="50">
        <f t="shared" si="7"/>
        <v>111</v>
      </c>
      <c r="AA14" s="50">
        <f t="shared" si="3"/>
        <v>1</v>
      </c>
      <c r="AB14" s="50">
        <f t="shared" si="4"/>
        <v>1</v>
      </c>
      <c r="AC14" s="50">
        <f t="shared" si="5"/>
        <v>1</v>
      </c>
    </row>
    <row r="15" spans="1:29" ht="41.4">
      <c r="A15" s="379" t="s">
        <v>1690</v>
      </c>
      <c r="B15" s="58" t="s">
        <v>1257</v>
      </c>
      <c r="C15" s="1749" t="str">
        <f>估价对象房地状况!C3</f>
        <v>万国城MOMA、梵悦万国府、使馆壹号院等多个，较好</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68" t="s">
        <v>1691</v>
      </c>
      <c r="Q15" s="1262" t="str">
        <f t="shared" si="6"/>
        <v>居住社区成熟度</v>
      </c>
      <c r="R15" s="666" t="s">
        <v>18</v>
      </c>
      <c r="S15" s="667">
        <f t="shared" si="0"/>
        <v>100</v>
      </c>
      <c r="T15" s="666" t="s">
        <v>18</v>
      </c>
      <c r="U15" s="667">
        <f t="shared" si="1"/>
        <v>100</v>
      </c>
      <c r="V15" s="666" t="s">
        <v>18</v>
      </c>
      <c r="W15" s="667">
        <f t="shared" si="2"/>
        <v>100</v>
      </c>
      <c r="X15" s="1264"/>
      <c r="Y15" s="3461" t="s">
        <v>1691</v>
      </c>
      <c r="Z15" s="1263" t="str">
        <f t="shared" si="7"/>
        <v>居住社区成熟度</v>
      </c>
      <c r="AA15" s="1263">
        <f t="shared" si="3"/>
        <v>1</v>
      </c>
      <c r="AB15" s="1263">
        <f t="shared" si="4"/>
        <v>1</v>
      </c>
      <c r="AC15" s="1263">
        <f t="shared" si="5"/>
        <v>1</v>
      </c>
    </row>
    <row r="16" spans="1:29" ht="15">
      <c r="A16" s="367"/>
      <c r="B16" s="385"/>
      <c r="C16" s="386" t="s">
        <v>3440</v>
      </c>
      <c r="D16" s="387"/>
      <c r="E16" s="1750" t="s">
        <v>3440</v>
      </c>
      <c r="F16" s="387"/>
      <c r="G16" s="1751" t="s">
        <v>3440</v>
      </c>
      <c r="H16" s="389"/>
      <c r="I16" s="1751" t="s">
        <v>3440</v>
      </c>
      <c r="J16" s="387"/>
      <c r="K16" s="1752"/>
      <c r="L16" s="2490"/>
      <c r="M16" s="2485"/>
      <c r="N16" s="2485"/>
      <c r="O16" s="2485"/>
      <c r="P16" s="3469"/>
      <c r="Q16" s="1262"/>
      <c r="R16" s="666"/>
      <c r="S16" s="667"/>
      <c r="T16" s="666"/>
      <c r="U16" s="667"/>
      <c r="V16" s="666"/>
      <c r="W16" s="667"/>
      <c r="X16" s="1264"/>
      <c r="Y16" s="3462"/>
      <c r="Z16" s="1263"/>
      <c r="AA16" s="1263">
        <v>1</v>
      </c>
      <c r="AB16" s="1263">
        <v>1</v>
      </c>
      <c r="AC16" s="1263">
        <v>1</v>
      </c>
    </row>
    <row r="17" spans="1:29" ht="55.2">
      <c r="A17" s="367"/>
      <c r="B17" s="390" t="s">
        <v>1259</v>
      </c>
      <c r="C17" s="1753" t="str">
        <f>估价对象房地状况!C6</f>
        <v>2、13、17、机场快线等多个地铁线路；3、359、915、123、515等多条，东直门长途汽车站，较好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69"/>
      <c r="Q17" s="1262" t="str">
        <f>B17</f>
        <v>交通便捷度</v>
      </c>
      <c r="R17" s="666" t="s">
        <v>18</v>
      </c>
      <c r="S17" s="667">
        <f>F17</f>
        <v>100</v>
      </c>
      <c r="T17" s="666" t="s">
        <v>18</v>
      </c>
      <c r="U17" s="667">
        <f>H17</f>
        <v>100</v>
      </c>
      <c r="V17" s="666" t="s">
        <v>18</v>
      </c>
      <c r="W17" s="667">
        <f>J17</f>
        <v>100</v>
      </c>
      <c r="X17" s="1264"/>
      <c r="Y17" s="3462"/>
      <c r="Z17" s="1263" t="str">
        <f>Q17</f>
        <v>交通便捷度</v>
      </c>
      <c r="AA17" s="1263">
        <f t="shared" si="3"/>
        <v>1</v>
      </c>
      <c r="AB17" s="1263">
        <f t="shared" si="4"/>
        <v>1</v>
      </c>
      <c r="AC17" s="1263">
        <f t="shared" si="5"/>
        <v>1</v>
      </c>
    </row>
    <row r="18" spans="1:29" ht="15">
      <c r="A18" s="367"/>
      <c r="B18" s="395"/>
      <c r="C18" s="386" t="s">
        <v>3440</v>
      </c>
      <c r="D18" s="389"/>
      <c r="E18" s="1755" t="s">
        <v>3440</v>
      </c>
      <c r="F18" s="389"/>
      <c r="G18" s="1756" t="s">
        <v>3440</v>
      </c>
      <c r="H18" s="387"/>
      <c r="I18" s="1756" t="s">
        <v>3440</v>
      </c>
      <c r="J18" s="387"/>
      <c r="K18" s="1752"/>
      <c r="L18" s="2490"/>
      <c r="M18" s="2485"/>
      <c r="N18" s="2485"/>
      <c r="O18" s="2485"/>
      <c r="P18" s="3469"/>
      <c r="Q18" s="1262"/>
      <c r="R18" s="666"/>
      <c r="S18" s="667"/>
      <c r="T18" s="666"/>
      <c r="U18" s="667"/>
      <c r="V18" s="666"/>
      <c r="W18" s="667"/>
      <c r="X18" s="1264"/>
      <c r="Y18" s="3462"/>
      <c r="Z18" s="1263"/>
      <c r="AA18" s="1263">
        <v>1</v>
      </c>
      <c r="AB18" s="1263">
        <v>1</v>
      </c>
      <c r="AC18" s="1263">
        <v>1</v>
      </c>
    </row>
    <row r="19" spans="1:29" ht="69">
      <c r="A19" s="367"/>
      <c r="B19" s="390" t="s">
        <v>1258</v>
      </c>
      <c r="C19" s="1753" t="str">
        <f>估价对象房地状况!C7</f>
        <v>工商银行、华夏银行；来福士、银座MALL；东直门中学、清华附中朝阳学校；北京中医院大学东直门医院等</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69"/>
      <c r="Q19" s="1262" t="str">
        <f>B19</f>
        <v>公共配套设施</v>
      </c>
      <c r="R19" s="666" t="s">
        <v>18</v>
      </c>
      <c r="S19" s="667">
        <f>F19</f>
        <v>100</v>
      </c>
      <c r="T19" s="666" t="s">
        <v>18</v>
      </c>
      <c r="U19" s="667">
        <f>H19</f>
        <v>100</v>
      </c>
      <c r="V19" s="666" t="s">
        <v>18</v>
      </c>
      <c r="W19" s="667">
        <f>J19</f>
        <v>100</v>
      </c>
      <c r="X19" s="1264"/>
      <c r="Y19" s="3462"/>
      <c r="Z19" s="1263" t="str">
        <f>Q19</f>
        <v>公共配套设施</v>
      </c>
      <c r="AA19" s="1263">
        <f t="shared" si="3"/>
        <v>1</v>
      </c>
      <c r="AB19" s="1263">
        <f t="shared" si="4"/>
        <v>1</v>
      </c>
      <c r="AC19" s="1263">
        <f t="shared" si="5"/>
        <v>1</v>
      </c>
    </row>
    <row r="20" spans="1:29" ht="15">
      <c r="A20" s="367"/>
      <c r="B20" s="395"/>
      <c r="C20" s="386" t="s">
        <v>3440</v>
      </c>
      <c r="D20" s="387"/>
      <c r="E20" s="1750" t="s">
        <v>3440</v>
      </c>
      <c r="F20" s="387"/>
      <c r="G20" s="1751" t="s">
        <v>3440</v>
      </c>
      <c r="H20" s="387"/>
      <c r="I20" s="1751" t="s">
        <v>3440</v>
      </c>
      <c r="J20" s="387"/>
      <c r="K20" s="1752"/>
      <c r="L20" s="2490"/>
      <c r="M20" s="2485"/>
      <c r="N20" s="2485"/>
      <c r="O20" s="2485"/>
      <c r="P20" s="3469"/>
      <c r="Q20" s="1262"/>
      <c r="R20" s="666"/>
      <c r="S20" s="667"/>
      <c r="T20" s="666"/>
      <c r="U20" s="667"/>
      <c r="V20" s="666"/>
      <c r="W20" s="667"/>
      <c r="X20" s="1264"/>
      <c r="Y20" s="3462"/>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69"/>
      <c r="Q21" s="1262" t="str">
        <f>B21</f>
        <v>基础设施水平</v>
      </c>
      <c r="R21" s="666" t="s">
        <v>14</v>
      </c>
      <c r="S21" s="667">
        <f>F21</f>
        <v>100</v>
      </c>
      <c r="T21" s="666" t="s">
        <v>14</v>
      </c>
      <c r="U21" s="667">
        <f>H21</f>
        <v>100</v>
      </c>
      <c r="V21" s="666" t="s">
        <v>14</v>
      </c>
      <c r="W21" s="667">
        <f>J21</f>
        <v>100</v>
      </c>
      <c r="X21" s="1264"/>
      <c r="Y21" s="3462"/>
      <c r="Z21" s="1263" t="str">
        <f>Q21</f>
        <v>基础设施水平</v>
      </c>
      <c r="AA21" s="1263">
        <f t="shared" ref="AA21" si="8">D21/F21</f>
        <v>1</v>
      </c>
      <c r="AB21" s="1263">
        <f t="shared" ref="AB21" si="9">D21/H21</f>
        <v>1</v>
      </c>
      <c r="AC21" s="1263">
        <f t="shared" ref="AC21" si="10">D21/J21</f>
        <v>1</v>
      </c>
    </row>
    <row r="22" spans="1:29" ht="15">
      <c r="A22" s="367"/>
      <c r="B22" s="586"/>
      <c r="C22" s="386" t="s">
        <v>3971</v>
      </c>
      <c r="D22" s="387"/>
      <c r="E22" s="386" t="s">
        <v>3971</v>
      </c>
      <c r="F22" s="387"/>
      <c r="G22" s="386" t="s">
        <v>3971</v>
      </c>
      <c r="H22" s="387"/>
      <c r="I22" s="386" t="s">
        <v>3971</v>
      </c>
      <c r="J22" s="387"/>
      <c r="K22" s="1758"/>
      <c r="L22" s="2490"/>
      <c r="M22" s="2485"/>
      <c r="N22" s="2485"/>
      <c r="O22" s="2485"/>
      <c r="P22" s="3469"/>
      <c r="Q22" s="1262"/>
      <c r="R22" s="666"/>
      <c r="S22" s="667"/>
      <c r="T22" s="666"/>
      <c r="U22" s="667"/>
      <c r="V22" s="666"/>
      <c r="W22" s="667"/>
      <c r="X22" s="1264"/>
      <c r="Y22" s="3462"/>
      <c r="Z22" s="1263"/>
      <c r="AA22" s="1263">
        <v>1</v>
      </c>
      <c r="AB22" s="1263">
        <v>1</v>
      </c>
      <c r="AC22" s="1263">
        <v>1</v>
      </c>
    </row>
    <row r="23" spans="1:29" ht="69">
      <c r="A23" s="367"/>
      <c r="B23" s="390" t="s">
        <v>1261</v>
      </c>
      <c r="C23" s="1753" t="str">
        <f>估价对象房地状况!C9</f>
        <v>区域自然环境：亮马河公园、左家庄公园、亮马河；人文环境：使馆区、北京自来水博物馆；综合评价环境状况较好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69"/>
      <c r="Q23" s="1262" t="str">
        <f>B23</f>
        <v>自然及人文环境</v>
      </c>
      <c r="R23" s="666" t="s">
        <v>18</v>
      </c>
      <c r="S23" s="667">
        <f>F23</f>
        <v>100</v>
      </c>
      <c r="T23" s="666" t="s">
        <v>18</v>
      </c>
      <c r="U23" s="667">
        <f>H23</f>
        <v>100</v>
      </c>
      <c r="V23" s="666" t="s">
        <v>18</v>
      </c>
      <c r="W23" s="667">
        <f>J23</f>
        <v>100</v>
      </c>
      <c r="X23" s="1264"/>
      <c r="Y23" s="3462"/>
      <c r="Z23" s="1263" t="str">
        <f>Q23</f>
        <v>自然及人文环境</v>
      </c>
      <c r="AA23" s="1263">
        <f>D23/F23</f>
        <v>1</v>
      </c>
      <c r="AB23" s="1263">
        <f>D23/H23</f>
        <v>1</v>
      </c>
      <c r="AC23" s="1263">
        <f>D23/J23</f>
        <v>1</v>
      </c>
    </row>
    <row r="24" spans="1:29" ht="15">
      <c r="A24" s="367"/>
      <c r="B24" s="395"/>
      <c r="C24" s="1750" t="s">
        <v>3440</v>
      </c>
      <c r="D24" s="387"/>
      <c r="E24" s="1750" t="s">
        <v>3440</v>
      </c>
      <c r="F24" s="387"/>
      <c r="G24" s="1751" t="s">
        <v>3440</v>
      </c>
      <c r="H24" s="387"/>
      <c r="I24" s="1751" t="s">
        <v>3440</v>
      </c>
      <c r="J24" s="387"/>
      <c r="K24" s="1752"/>
      <c r="L24" s="2490"/>
      <c r="M24" s="2485"/>
      <c r="N24" s="2485"/>
      <c r="O24" s="2485"/>
      <c r="P24" s="3469"/>
      <c r="Q24" s="1262"/>
      <c r="R24" s="666"/>
      <c r="S24" s="667"/>
      <c r="T24" s="666"/>
      <c r="U24" s="667"/>
      <c r="V24" s="666"/>
      <c r="W24" s="667"/>
      <c r="X24" s="1264"/>
      <c r="Y24" s="3462"/>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69"/>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62"/>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0"/>
      <c r="M26" s="2485"/>
      <c r="N26" s="2485"/>
      <c r="O26" s="2485"/>
      <c r="P26" s="3469"/>
      <c r="Q26" s="1262" t="str">
        <f t="shared" si="11"/>
        <v>朝向</v>
      </c>
      <c r="R26" s="666" t="s">
        <v>18</v>
      </c>
      <c r="S26" s="667">
        <f t="shared" si="12"/>
        <v>100</v>
      </c>
      <c r="T26" s="666" t="s">
        <v>18</v>
      </c>
      <c r="U26" s="667">
        <f t="shared" si="13"/>
        <v>100</v>
      </c>
      <c r="V26" s="666" t="s">
        <v>18</v>
      </c>
      <c r="W26" s="667">
        <f t="shared" si="14"/>
        <v>100</v>
      </c>
      <c r="X26" s="1264"/>
      <c r="Y26" s="3462"/>
      <c r="Z26" s="1263" t="str">
        <f>Q26</f>
        <v>朝向</v>
      </c>
      <c r="AA26" s="1263">
        <f t="shared" si="15"/>
        <v>1</v>
      </c>
      <c r="AB26" s="1263">
        <f t="shared" si="16"/>
        <v>1</v>
      </c>
      <c r="AC26" s="1263">
        <f t="shared" si="17"/>
        <v>1</v>
      </c>
    </row>
    <row r="27" spans="1:29" s="102" customFormat="1" ht="15">
      <c r="A27" s="370"/>
      <c r="B27" s="3187" t="s">
        <v>4019</v>
      </c>
      <c r="C27" s="3188" t="s">
        <v>4026</v>
      </c>
      <c r="D27" s="401">
        <v>100</v>
      </c>
      <c r="E27" s="3188" t="s">
        <v>4048</v>
      </c>
      <c r="F27" s="401">
        <f>SUMIF(90:90,E27,91:91)-SUMIF(90:90,C27,91:91)+100</f>
        <v>96</v>
      </c>
      <c r="G27" s="3188" t="s">
        <v>4020</v>
      </c>
      <c r="H27" s="401">
        <f>SUMIF(90:90,G27,91:91)-SUMIF(90:90,C27,91:91)+100</f>
        <v>98</v>
      </c>
      <c r="I27" s="3188" t="s">
        <v>4020</v>
      </c>
      <c r="J27" s="401">
        <f>SUMIF(90:90,I27,91:91)-SUMIF(90:90,C27,91:91)+100</f>
        <v>98</v>
      </c>
      <c r="K27" s="1747"/>
      <c r="L27" s="2486"/>
      <c r="M27" s="2438"/>
      <c r="N27" s="2438"/>
      <c r="O27" s="2438"/>
      <c r="P27" s="3469"/>
      <c r="Q27" s="530" t="str">
        <f t="shared" si="11"/>
        <v>楼层</v>
      </c>
      <c r="R27" s="663" t="s">
        <v>18</v>
      </c>
      <c r="S27" s="664">
        <f t="shared" si="12"/>
        <v>96</v>
      </c>
      <c r="T27" s="663" t="s">
        <v>18</v>
      </c>
      <c r="U27" s="664">
        <f t="shared" si="13"/>
        <v>98</v>
      </c>
      <c r="V27" s="663" t="s">
        <v>18</v>
      </c>
      <c r="W27" s="664">
        <f t="shared" si="14"/>
        <v>98</v>
      </c>
      <c r="X27" s="665"/>
      <c r="Y27" s="3462"/>
      <c r="Z27" s="50" t="str">
        <f>Q27</f>
        <v>楼层</v>
      </c>
      <c r="AA27" s="1263">
        <f t="shared" si="15"/>
        <v>1.0416666666666667</v>
      </c>
      <c r="AB27" s="1263">
        <f t="shared" si="16"/>
        <v>1.0204081632653061</v>
      </c>
      <c r="AC27" s="1263">
        <f t="shared" si="17"/>
        <v>1.0204081632653061</v>
      </c>
    </row>
    <row r="28" spans="1:29" ht="15">
      <c r="A28" s="367"/>
      <c r="B28" s="1065">
        <v>111</v>
      </c>
      <c r="C28" s="373"/>
      <c r="D28" s="374">
        <v>100</v>
      </c>
      <c r="E28" s="373"/>
      <c r="F28" s="374">
        <f>SUMIF(92:92,E28,93:93)-SUMIF(92:92,C28,93:93)+100</f>
        <v>100</v>
      </c>
      <c r="G28" s="1761"/>
      <c r="H28" s="374">
        <f>SUMIF(92:92,G28,93:93)-SUMIF(92:92,C28,93:93)+100</f>
        <v>100</v>
      </c>
      <c r="I28" s="1761"/>
      <c r="J28" s="374">
        <f>SUMIF(92:92,I28,93:93)-SUMIF(92:92,C28,93:93)+100</f>
        <v>100</v>
      </c>
      <c r="K28" s="1747"/>
      <c r="L28" s="2490"/>
      <c r="M28" s="2485"/>
      <c r="N28" s="2485"/>
      <c r="O28" s="2485"/>
      <c r="P28" s="3469"/>
      <c r="Q28" s="1262">
        <f t="shared" si="11"/>
        <v>111</v>
      </c>
      <c r="R28" s="666" t="s">
        <v>18</v>
      </c>
      <c r="S28" s="667">
        <f t="shared" si="12"/>
        <v>100</v>
      </c>
      <c r="T28" s="666" t="s">
        <v>18</v>
      </c>
      <c r="U28" s="667">
        <f t="shared" si="13"/>
        <v>100</v>
      </c>
      <c r="V28" s="666" t="s">
        <v>18</v>
      </c>
      <c r="W28" s="667">
        <f t="shared" si="14"/>
        <v>100</v>
      </c>
      <c r="X28" s="1264"/>
      <c r="Y28" s="3462"/>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1761"/>
      <c r="J29" s="374">
        <f>SUMIF(94:94,I29,95:95)-SUMIF(94:94,C29,95:95)+100</f>
        <v>100</v>
      </c>
      <c r="K29" s="1747"/>
      <c r="L29" s="2490"/>
      <c r="M29" s="2485"/>
      <c r="N29" s="2485"/>
      <c r="O29" s="2485"/>
      <c r="P29" s="3469"/>
      <c r="Q29" s="1262">
        <f t="shared" si="11"/>
        <v>111</v>
      </c>
      <c r="R29" s="666" t="s">
        <v>18</v>
      </c>
      <c r="S29" s="667">
        <f t="shared" si="12"/>
        <v>100</v>
      </c>
      <c r="T29" s="666" t="s">
        <v>18</v>
      </c>
      <c r="U29" s="667">
        <f t="shared" si="13"/>
        <v>100</v>
      </c>
      <c r="V29" s="666" t="s">
        <v>18</v>
      </c>
      <c r="W29" s="667">
        <f t="shared" si="14"/>
        <v>100</v>
      </c>
      <c r="X29" s="1264"/>
      <c r="Y29" s="3462"/>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1761"/>
      <c r="J30" s="374">
        <f>SUMIF(96:96,I30,97:97)-SUMIF(96:96,C30,97:97)+100</f>
        <v>100</v>
      </c>
      <c r="K30" s="1747"/>
      <c r="L30" s="2490"/>
      <c r="M30" s="2485"/>
      <c r="N30" s="2485"/>
      <c r="O30" s="2485"/>
      <c r="P30" s="3469"/>
      <c r="Q30" s="1262">
        <f t="shared" si="11"/>
        <v>111</v>
      </c>
      <c r="R30" s="666" t="s">
        <v>18</v>
      </c>
      <c r="S30" s="667">
        <f t="shared" si="12"/>
        <v>100</v>
      </c>
      <c r="T30" s="666" t="s">
        <v>18</v>
      </c>
      <c r="U30" s="667">
        <f t="shared" si="13"/>
        <v>100</v>
      </c>
      <c r="V30" s="666" t="s">
        <v>18</v>
      </c>
      <c r="W30" s="667">
        <f t="shared" si="14"/>
        <v>100</v>
      </c>
      <c r="X30" s="1264"/>
      <c r="Y30" s="3462"/>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1762"/>
      <c r="J31" s="377">
        <f>SUMIF(98:98,I31,99:99)-SUMIF(98:98,C31,99:99)+100</f>
        <v>100</v>
      </c>
      <c r="K31" s="1747"/>
      <c r="L31" s="2490"/>
      <c r="M31" s="2485"/>
      <c r="N31" s="2485"/>
      <c r="O31" s="2485"/>
      <c r="P31" s="3469"/>
      <c r="Q31" s="1262">
        <f t="shared" si="11"/>
        <v>111</v>
      </c>
      <c r="R31" s="666" t="s">
        <v>18</v>
      </c>
      <c r="S31" s="667">
        <f t="shared" si="12"/>
        <v>100</v>
      </c>
      <c r="T31" s="666" t="s">
        <v>18</v>
      </c>
      <c r="U31" s="667">
        <f t="shared" si="13"/>
        <v>100</v>
      </c>
      <c r="V31" s="666" t="s">
        <v>18</v>
      </c>
      <c r="W31" s="667">
        <f t="shared" si="14"/>
        <v>100</v>
      </c>
      <c r="X31" s="1264"/>
      <c r="Y31" s="3462"/>
      <c r="Z31" s="1263">
        <f t="shared" si="18"/>
        <v>111</v>
      </c>
      <c r="AA31" s="1263">
        <f t="shared" si="15"/>
        <v>1</v>
      </c>
      <c r="AB31" s="1263">
        <f t="shared" si="16"/>
        <v>1</v>
      </c>
      <c r="AC31" s="1263">
        <f t="shared" si="17"/>
        <v>1</v>
      </c>
    </row>
    <row r="32" spans="1:29" ht="15">
      <c r="A32" s="379" t="s">
        <v>1694</v>
      </c>
      <c r="B32" s="60" t="s">
        <v>1695</v>
      </c>
      <c r="C32" s="1763" t="s">
        <v>4013</v>
      </c>
      <c r="D32" s="405">
        <v>100</v>
      </c>
      <c r="E32" s="1764" t="s">
        <v>4007</v>
      </c>
      <c r="F32" s="400">
        <f>SUMIF(100:100,E32,101:101)-SUMIF(100:100,C32,101:101)+100</f>
        <v>103</v>
      </c>
      <c r="G32" s="1763" t="s">
        <v>4007</v>
      </c>
      <c r="H32" s="405">
        <f>SUMIF(100:100,G32,101:101)-SUMIF(100:100,C32,101:101)+100</f>
        <v>103</v>
      </c>
      <c r="I32" s="1763" t="s">
        <v>4007</v>
      </c>
      <c r="J32" s="374">
        <f>SUMIF(100:100,I32,101:101)-SUMIF(100:100,C32,101:101)+100</f>
        <v>103</v>
      </c>
      <c r="K32" s="365">
        <v>3</v>
      </c>
      <c r="L32" s="2490"/>
      <c r="M32" s="2485"/>
      <c r="N32" s="2485"/>
      <c r="O32" s="2485"/>
      <c r="P32" s="3463" t="s">
        <v>1696</v>
      </c>
      <c r="Q32" s="1262" t="str">
        <f t="shared" si="11"/>
        <v>建筑类型</v>
      </c>
      <c r="R32" s="666" t="s">
        <v>18</v>
      </c>
      <c r="S32" s="667">
        <f t="shared" si="12"/>
        <v>103</v>
      </c>
      <c r="T32" s="666" t="s">
        <v>18</v>
      </c>
      <c r="U32" s="667">
        <f t="shared" si="13"/>
        <v>103</v>
      </c>
      <c r="V32" s="666" t="s">
        <v>18</v>
      </c>
      <c r="W32" s="667">
        <f t="shared" si="14"/>
        <v>103</v>
      </c>
      <c r="X32" s="1264"/>
      <c r="Y32" s="3466" t="s">
        <v>1696</v>
      </c>
      <c r="Z32" s="1263" t="str">
        <f t="shared" si="18"/>
        <v>建筑类型</v>
      </c>
      <c r="AA32" s="1263">
        <f t="shared" si="15"/>
        <v>0.970873786407767</v>
      </c>
      <c r="AB32" s="1263">
        <f t="shared" si="16"/>
        <v>0.970873786407767</v>
      </c>
      <c r="AC32" s="1263">
        <f t="shared" si="17"/>
        <v>0.970873786407767</v>
      </c>
    </row>
    <row r="33" spans="1:29" s="408" customFormat="1" ht="15">
      <c r="A33" s="406"/>
      <c r="B33" s="364" t="s">
        <v>1697</v>
      </c>
      <c r="C33" s="407">
        <v>287.55</v>
      </c>
      <c r="D33" s="119">
        <v>100</v>
      </c>
      <c r="E33" s="369">
        <v>254.8</v>
      </c>
      <c r="F33" s="364">
        <f>LOOKUP(E33,103:103,104:104)-LOOKUP(C33,103:103,104:104)+100</f>
        <v>100</v>
      </c>
      <c r="G33" s="368">
        <v>265</v>
      </c>
      <c r="H33" s="119">
        <f>LOOKUP(G33,103:103,104:104)-LOOKUP(C33,103:103,104:104)+100</f>
        <v>100</v>
      </c>
      <c r="I33" s="368">
        <v>279.45</v>
      </c>
      <c r="J33" s="119">
        <f>LOOKUP(I33,103:103,104:104)-LOOKUP(C33,103:103,104:104)+100</f>
        <v>100</v>
      </c>
      <c r="K33" s="1747"/>
      <c r="L33" s="2489"/>
      <c r="M33" s="2491"/>
      <c r="N33" s="2491"/>
      <c r="O33" s="2491"/>
      <c r="P33" s="3464"/>
      <c r="Q33" s="531" t="str">
        <f t="shared" si="11"/>
        <v>项目建筑规模</v>
      </c>
      <c r="R33" s="668" t="s">
        <v>18</v>
      </c>
      <c r="S33" s="669">
        <f t="shared" si="12"/>
        <v>100</v>
      </c>
      <c r="T33" s="668" t="s">
        <v>18</v>
      </c>
      <c r="U33" s="669">
        <f t="shared" si="13"/>
        <v>100</v>
      </c>
      <c r="V33" s="668" t="s">
        <v>18</v>
      </c>
      <c r="W33" s="669">
        <f t="shared" si="14"/>
        <v>100</v>
      </c>
      <c r="X33" s="670"/>
      <c r="Y33" s="3466"/>
      <c r="Z33" s="671" t="str">
        <f t="shared" si="18"/>
        <v>项目建筑规模</v>
      </c>
      <c r="AA33" s="1263">
        <f t="shared" si="15"/>
        <v>1</v>
      </c>
      <c r="AB33" s="1263">
        <f t="shared" si="16"/>
        <v>1</v>
      </c>
      <c r="AC33" s="1263">
        <f t="shared" si="17"/>
        <v>1</v>
      </c>
    </row>
    <row r="34" spans="1:29" ht="15">
      <c r="A34" s="409"/>
      <c r="B34" s="364" t="s">
        <v>1698</v>
      </c>
      <c r="C34" s="399" t="s">
        <v>3430</v>
      </c>
      <c r="D34" s="374">
        <v>100</v>
      </c>
      <c r="E34" s="1765" t="s">
        <v>3430</v>
      </c>
      <c r="F34" s="400">
        <f>SUMIF(105:105,E34,106:106)-SUMIF(105:105,C34,106:106)+100</f>
        <v>100</v>
      </c>
      <c r="G34" s="399" t="s">
        <v>3430</v>
      </c>
      <c r="H34" s="374">
        <f>SUMIF(105:105,G34,106:106)-SUMIF(105:105,C34,106:106)+100</f>
        <v>100</v>
      </c>
      <c r="I34" s="399" t="s">
        <v>3430</v>
      </c>
      <c r="J34" s="374">
        <f>SUMIF(105:105,I34,106:106)-SUMIF(105:105,C34,106:106)+100</f>
        <v>100</v>
      </c>
      <c r="K34" s="365"/>
      <c r="L34" s="2490"/>
      <c r="M34" s="2485"/>
      <c r="N34" s="2485"/>
      <c r="O34" s="2485"/>
      <c r="P34" s="3464"/>
      <c r="Q34" s="1262" t="str">
        <f t="shared" si="11"/>
        <v>建筑结构</v>
      </c>
      <c r="R34" s="666" t="s">
        <v>18</v>
      </c>
      <c r="S34" s="667">
        <f t="shared" si="12"/>
        <v>100</v>
      </c>
      <c r="T34" s="666" t="s">
        <v>18</v>
      </c>
      <c r="U34" s="667">
        <f t="shared" si="13"/>
        <v>100</v>
      </c>
      <c r="V34" s="666" t="s">
        <v>18</v>
      </c>
      <c r="W34" s="667">
        <f t="shared" si="14"/>
        <v>100</v>
      </c>
      <c r="X34" s="1264"/>
      <c r="Y34" s="3466"/>
      <c r="Z34" s="1263" t="str">
        <f t="shared" si="18"/>
        <v>建筑结构</v>
      </c>
      <c r="AA34" s="1263">
        <f t="shared" si="15"/>
        <v>1</v>
      </c>
      <c r="AB34" s="1263">
        <f t="shared" si="16"/>
        <v>1</v>
      </c>
      <c r="AC34" s="1263">
        <f t="shared" si="17"/>
        <v>1</v>
      </c>
    </row>
    <row r="35" spans="1:29" ht="15">
      <c r="A35" s="409"/>
      <c r="B35" s="364" t="s">
        <v>1699</v>
      </c>
      <c r="C35" s="1759" t="s">
        <v>4008</v>
      </c>
      <c r="D35" s="374">
        <v>100</v>
      </c>
      <c r="E35" s="1760" t="s">
        <v>4008</v>
      </c>
      <c r="F35" s="400">
        <f>SUMIF(107:107,E35,108:108)-SUMIF(107:107,C35,108:108)+100</f>
        <v>100</v>
      </c>
      <c r="G35" s="1759" t="s">
        <v>4008</v>
      </c>
      <c r="H35" s="374">
        <f>SUMIF(107:107,G35,108:108)-SUMIF(107:107,C35,108:108)+100</f>
        <v>100</v>
      </c>
      <c r="I35" s="1759" t="s">
        <v>4008</v>
      </c>
      <c r="J35" s="374">
        <f>SUMIF(107:107,I35,108:108)-SUMIF(107:107,C35,108:108)+100</f>
        <v>100</v>
      </c>
      <c r="K35" s="365"/>
      <c r="L35" s="2490"/>
      <c r="M35" s="2485"/>
      <c r="N35" s="2485"/>
      <c r="O35" s="2485"/>
      <c r="P35" s="3464"/>
      <c r="Q35" s="1262" t="str">
        <f t="shared" si="11"/>
        <v>建筑品质</v>
      </c>
      <c r="R35" s="666" t="s">
        <v>18</v>
      </c>
      <c r="S35" s="667">
        <f t="shared" si="12"/>
        <v>100</v>
      </c>
      <c r="T35" s="666" t="s">
        <v>18</v>
      </c>
      <c r="U35" s="667">
        <f t="shared" si="13"/>
        <v>100</v>
      </c>
      <c r="V35" s="666" t="s">
        <v>18</v>
      </c>
      <c r="W35" s="667">
        <f t="shared" si="14"/>
        <v>100</v>
      </c>
      <c r="X35" s="1264"/>
      <c r="Y35" s="3466"/>
      <c r="Z35" s="1263" t="str">
        <f t="shared" si="18"/>
        <v>建筑品质</v>
      </c>
      <c r="AA35" s="1263">
        <f t="shared" si="15"/>
        <v>1</v>
      </c>
      <c r="AB35" s="1263">
        <f t="shared" si="16"/>
        <v>1</v>
      </c>
      <c r="AC35" s="1263">
        <f t="shared" si="17"/>
        <v>1</v>
      </c>
    </row>
    <row r="36" spans="1:29" ht="15">
      <c r="A36" s="409"/>
      <c r="B36" s="364" t="s">
        <v>1700</v>
      </c>
      <c r="C36" s="1759" t="s">
        <v>4009</v>
      </c>
      <c r="D36" s="374">
        <v>100</v>
      </c>
      <c r="E36" s="1760" t="s">
        <v>4009</v>
      </c>
      <c r="F36" s="400">
        <f>SUMIF(109:109,E36,110:110)-SUMIF(109:109,C36,110:110)+100</f>
        <v>100</v>
      </c>
      <c r="G36" s="1759" t="s">
        <v>4009</v>
      </c>
      <c r="H36" s="374">
        <f>SUMIF(109:109,G36,110:110)-SUMIF(109:109,C36,110:110)+100</f>
        <v>100</v>
      </c>
      <c r="I36" s="1759" t="s">
        <v>4009</v>
      </c>
      <c r="J36" s="374">
        <f>SUMIF(109:109,I36,110:110)-SUMIF(109:109,C36,110:110)+100</f>
        <v>100</v>
      </c>
      <c r="K36" s="365"/>
      <c r="L36" s="2490"/>
      <c r="M36" s="2485"/>
      <c r="N36" s="2485"/>
      <c r="O36" s="2485"/>
      <c r="P36" s="3464"/>
      <c r="Q36" s="1262" t="str">
        <f t="shared" si="11"/>
        <v>公共部分装修</v>
      </c>
      <c r="R36" s="666" t="s">
        <v>18</v>
      </c>
      <c r="S36" s="667">
        <f t="shared" si="12"/>
        <v>100</v>
      </c>
      <c r="T36" s="666" t="s">
        <v>18</v>
      </c>
      <c r="U36" s="667">
        <f t="shared" si="13"/>
        <v>100</v>
      </c>
      <c r="V36" s="666" t="s">
        <v>18</v>
      </c>
      <c r="W36" s="667">
        <f t="shared" si="14"/>
        <v>100</v>
      </c>
      <c r="X36" s="1264"/>
      <c r="Y36" s="3466"/>
      <c r="Z36" s="1263" t="str">
        <f t="shared" si="18"/>
        <v>公共部分装修</v>
      </c>
      <c r="AA36" s="1263">
        <f t="shared" si="15"/>
        <v>1</v>
      </c>
      <c r="AB36" s="1263">
        <f t="shared" si="16"/>
        <v>1</v>
      </c>
      <c r="AC36" s="1263">
        <f t="shared" si="17"/>
        <v>1</v>
      </c>
    </row>
    <row r="37" spans="1:29" s="102" customFormat="1" ht="15">
      <c r="A37" s="410"/>
      <c r="B37" s="364" t="s">
        <v>1701</v>
      </c>
      <c r="C37" s="411">
        <v>0.88</v>
      </c>
      <c r="D37" s="119">
        <v>100</v>
      </c>
      <c r="E37" s="411">
        <v>0.88</v>
      </c>
      <c r="F37" s="364">
        <f>LOOKUP(E37,112:112,113:113)-LOOKUP(C37,112:112,113:113)+100</f>
        <v>100</v>
      </c>
      <c r="G37" s="413">
        <v>0.87</v>
      </c>
      <c r="H37" s="119">
        <f>LOOKUP(G37,112:112,113:113)-LOOKUP(C37,112:112,113:113)+100</f>
        <v>100</v>
      </c>
      <c r="I37" s="413">
        <v>0.87</v>
      </c>
      <c r="J37" s="119">
        <f>LOOKUP(I37,112:112,113:113)-LOOKUP(C37,112:112,113:113)+100</f>
        <v>100</v>
      </c>
      <c r="K37" s="365"/>
      <c r="L37" s="2486"/>
      <c r="M37" s="2438"/>
      <c r="N37" s="2438"/>
      <c r="O37" s="2438"/>
      <c r="P37" s="3464"/>
      <c r="Q37" s="530" t="str">
        <f t="shared" si="11"/>
        <v>成新度</v>
      </c>
      <c r="R37" s="663" t="s">
        <v>18</v>
      </c>
      <c r="S37" s="664">
        <f t="shared" si="12"/>
        <v>100</v>
      </c>
      <c r="T37" s="663" t="s">
        <v>18</v>
      </c>
      <c r="U37" s="664">
        <f t="shared" si="13"/>
        <v>100</v>
      </c>
      <c r="V37" s="663" t="s">
        <v>18</v>
      </c>
      <c r="W37" s="664">
        <f t="shared" si="14"/>
        <v>100</v>
      </c>
      <c r="X37" s="665"/>
      <c r="Y37" s="3466"/>
      <c r="Z37" s="50" t="str">
        <f t="shared" si="18"/>
        <v>成新度</v>
      </c>
      <c r="AA37" s="50">
        <f t="shared" si="15"/>
        <v>1</v>
      </c>
      <c r="AB37" s="50">
        <f t="shared" si="16"/>
        <v>1</v>
      </c>
      <c r="AC37" s="50">
        <f t="shared" si="17"/>
        <v>1</v>
      </c>
    </row>
    <row r="38" spans="1:29" ht="15">
      <c r="A38" s="409"/>
      <c r="B38" s="364" t="s">
        <v>1702</v>
      </c>
      <c r="C38" s="1759" t="s">
        <v>4010</v>
      </c>
      <c r="D38" s="374">
        <v>100</v>
      </c>
      <c r="E38" s="1760" t="s">
        <v>4010</v>
      </c>
      <c r="F38" s="400">
        <f>SUMIF(114:114,E38,115:115)-SUMIF(114:114,C38,115:115)+100</f>
        <v>100</v>
      </c>
      <c r="G38" s="1759" t="s">
        <v>4010</v>
      </c>
      <c r="H38" s="374">
        <f>SUMIF(114:114,G38,115:115)-SUMIF(114:114,C38,115:115)+100</f>
        <v>100</v>
      </c>
      <c r="I38" s="1759" t="s">
        <v>4010</v>
      </c>
      <c r="J38" s="374">
        <f>SUMIF(114:114,I38,115:115)-SUMIF(114:114,C38,115:115)+100</f>
        <v>100</v>
      </c>
      <c r="K38" s="365"/>
      <c r="L38" s="2490"/>
      <c r="M38" s="2485"/>
      <c r="N38" s="2485"/>
      <c r="O38" s="2485"/>
      <c r="P38" s="3464" t="s">
        <v>1696</v>
      </c>
      <c r="Q38" s="1262" t="str">
        <f t="shared" si="11"/>
        <v>物业管理</v>
      </c>
      <c r="R38" s="666" t="s">
        <v>18</v>
      </c>
      <c r="S38" s="667">
        <f t="shared" si="12"/>
        <v>100</v>
      </c>
      <c r="T38" s="666" t="s">
        <v>18</v>
      </c>
      <c r="U38" s="667">
        <f t="shared" si="13"/>
        <v>100</v>
      </c>
      <c r="V38" s="666" t="s">
        <v>18</v>
      </c>
      <c r="W38" s="667">
        <f t="shared" si="14"/>
        <v>100</v>
      </c>
      <c r="X38" s="1264"/>
      <c r="Y38" s="3466" t="s">
        <v>1696</v>
      </c>
      <c r="Z38" s="1263" t="str">
        <f t="shared" si="18"/>
        <v>物业管理</v>
      </c>
      <c r="AA38" s="1263">
        <f t="shared" si="15"/>
        <v>1</v>
      </c>
      <c r="AB38" s="1263">
        <f t="shared" si="16"/>
        <v>1</v>
      </c>
      <c r="AC38" s="1263">
        <f t="shared" si="17"/>
        <v>1</v>
      </c>
    </row>
    <row r="39" spans="1:29" ht="15">
      <c r="A39" s="409"/>
      <c r="B39" s="364" t="s">
        <v>1703</v>
      </c>
      <c r="C39" s="1759" t="s">
        <v>3976</v>
      </c>
      <c r="D39" s="374">
        <v>100</v>
      </c>
      <c r="E39" s="1760" t="s">
        <v>3976</v>
      </c>
      <c r="F39" s="400">
        <f>SUMIF(116:116,E39,117:117)-SUMIF(116:116,C39,117:117)+100</f>
        <v>100</v>
      </c>
      <c r="G39" s="1759" t="s">
        <v>3976</v>
      </c>
      <c r="H39" s="374">
        <f>SUMIF(116:116,G39,117:117)-SUMIF(116:116,C39,117:117)+100</f>
        <v>100</v>
      </c>
      <c r="I39" s="1759" t="s">
        <v>3976</v>
      </c>
      <c r="J39" s="374">
        <f>SUMIF(116:116,I39,117:117)-SUMIF(116:116,C39,117:117)+100</f>
        <v>100</v>
      </c>
      <c r="K39" s="365"/>
      <c r="L39" s="2490"/>
      <c r="M39" s="2485"/>
      <c r="N39" s="2485"/>
      <c r="O39" s="2485"/>
      <c r="P39" s="3464"/>
      <c r="Q39" s="1262" t="str">
        <f t="shared" si="11"/>
        <v>市政基础设施</v>
      </c>
      <c r="R39" s="666" t="s">
        <v>18</v>
      </c>
      <c r="S39" s="667">
        <f t="shared" si="12"/>
        <v>100</v>
      </c>
      <c r="T39" s="666" t="s">
        <v>18</v>
      </c>
      <c r="U39" s="667">
        <f t="shared" si="13"/>
        <v>100</v>
      </c>
      <c r="V39" s="666" t="s">
        <v>18</v>
      </c>
      <c r="W39" s="667">
        <f t="shared" si="14"/>
        <v>100</v>
      </c>
      <c r="X39" s="1264"/>
      <c r="Y39" s="3466"/>
      <c r="Z39" s="1263" t="str">
        <f t="shared" si="18"/>
        <v>市政基础设施</v>
      </c>
      <c r="AA39" s="1263">
        <f t="shared" si="15"/>
        <v>1</v>
      </c>
      <c r="AB39" s="1263">
        <f t="shared" si="16"/>
        <v>1</v>
      </c>
      <c r="AC39" s="1263">
        <f t="shared" si="17"/>
        <v>1</v>
      </c>
    </row>
    <row r="40" spans="1:29" ht="15">
      <c r="A40" s="409"/>
      <c r="B40" s="364" t="s">
        <v>1704</v>
      </c>
      <c r="C40" s="1759" t="s">
        <v>4011</v>
      </c>
      <c r="D40" s="374">
        <v>100</v>
      </c>
      <c r="E40" s="1760" t="s">
        <v>4011</v>
      </c>
      <c r="F40" s="400">
        <f>SUMIF(118:118,E40,119:119)-SUMIF(118:118,C40,119:119)+100</f>
        <v>100</v>
      </c>
      <c r="G40" s="1759" t="s">
        <v>4011</v>
      </c>
      <c r="H40" s="374">
        <f>SUMIF(118:118,G40,119:119)-SUMIF(118:118,C40,119:119)+100</f>
        <v>100</v>
      </c>
      <c r="I40" s="1759" t="s">
        <v>4011</v>
      </c>
      <c r="J40" s="374">
        <f>SUMIF(118:118,I40,119:119)-SUMIF(118:118,C40,119:119)+100</f>
        <v>100</v>
      </c>
      <c r="K40" s="365"/>
      <c r="L40" s="2490"/>
      <c r="M40" s="2485"/>
      <c r="N40" s="2485"/>
      <c r="O40" s="2485"/>
      <c r="P40" s="3464"/>
      <c r="Q40" s="1262" t="str">
        <f t="shared" si="11"/>
        <v>房型</v>
      </c>
      <c r="R40" s="666" t="s">
        <v>18</v>
      </c>
      <c r="S40" s="667">
        <f t="shared" si="12"/>
        <v>100</v>
      </c>
      <c r="T40" s="666" t="s">
        <v>18</v>
      </c>
      <c r="U40" s="667">
        <f t="shared" si="13"/>
        <v>100</v>
      </c>
      <c r="V40" s="666" t="s">
        <v>18</v>
      </c>
      <c r="W40" s="667">
        <f t="shared" si="14"/>
        <v>100</v>
      </c>
      <c r="X40" s="1264"/>
      <c r="Y40" s="3466"/>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368"/>
      <c r="J41" s="374">
        <f>SUMIF(120:120,I41,121:121)-SUMIF(120:120,C41,121:121)+100</f>
        <v>100</v>
      </c>
      <c r="K41" s="1747"/>
      <c r="L41" s="2489"/>
      <c r="M41" s="2491"/>
      <c r="N41" s="2491"/>
      <c r="O41" s="2491"/>
      <c r="P41" s="3464"/>
      <c r="Q41" s="531" t="str">
        <f t="shared" si="11"/>
        <v>单套/主力户型建筑面积</v>
      </c>
      <c r="R41" s="668" t="s">
        <v>18</v>
      </c>
      <c r="S41" s="669">
        <f t="shared" si="12"/>
        <v>100</v>
      </c>
      <c r="T41" s="668" t="s">
        <v>18</v>
      </c>
      <c r="U41" s="669">
        <f t="shared" si="13"/>
        <v>100</v>
      </c>
      <c r="V41" s="668" t="s">
        <v>18</v>
      </c>
      <c r="W41" s="669">
        <f t="shared" si="14"/>
        <v>100</v>
      </c>
      <c r="X41" s="670"/>
      <c r="Y41" s="3466"/>
      <c r="Z41" s="671" t="str">
        <f t="shared" si="18"/>
        <v>单套/主力户型建筑面积</v>
      </c>
      <c r="AA41" s="1263">
        <f t="shared" si="15"/>
        <v>1</v>
      </c>
      <c r="AB41" s="1263">
        <f t="shared" si="16"/>
        <v>1</v>
      </c>
      <c r="AC41" s="1263">
        <f t="shared" si="17"/>
        <v>1</v>
      </c>
    </row>
    <row r="42" spans="1:29" ht="15">
      <c r="A42" s="409"/>
      <c r="B42" s="364" t="s">
        <v>1706</v>
      </c>
      <c r="C42" s="1759" t="s">
        <v>4014</v>
      </c>
      <c r="D42" s="374">
        <v>100</v>
      </c>
      <c r="E42" s="1760" t="s">
        <v>4009</v>
      </c>
      <c r="F42" s="400">
        <f>SUMIF(122:122,E42,123:123)-SUMIF(122:122,C42,123:123)+100</f>
        <v>97</v>
      </c>
      <c r="G42" s="1759" t="s">
        <v>4009</v>
      </c>
      <c r="H42" s="374">
        <f>SUMIF(122:122,G42,123:123)-SUMIF(122:122,C42,123:123)+100</f>
        <v>97</v>
      </c>
      <c r="I42" s="1759" t="s">
        <v>4009</v>
      </c>
      <c r="J42" s="374">
        <f>SUMIF(122:122,I42,123:123)-SUMIF(122:122,C42,123:123)+100</f>
        <v>97</v>
      </c>
      <c r="K42" s="365">
        <v>3</v>
      </c>
      <c r="L42" s="2490"/>
      <c r="M42" s="2485"/>
      <c r="N42" s="2485"/>
      <c r="O42" s="2485"/>
      <c r="P42" s="3464"/>
      <c r="Q42" s="1262" t="str">
        <f t="shared" si="11"/>
        <v>内部装修</v>
      </c>
      <c r="R42" s="666" t="s">
        <v>18</v>
      </c>
      <c r="S42" s="667">
        <f t="shared" si="12"/>
        <v>97</v>
      </c>
      <c r="T42" s="666" t="s">
        <v>18</v>
      </c>
      <c r="U42" s="667">
        <f t="shared" si="13"/>
        <v>97</v>
      </c>
      <c r="V42" s="666" t="s">
        <v>18</v>
      </c>
      <c r="W42" s="667">
        <f t="shared" si="14"/>
        <v>97</v>
      </c>
      <c r="X42" s="1264"/>
      <c r="Y42" s="3466"/>
      <c r="Z42" s="1263" t="str">
        <f t="shared" si="18"/>
        <v>内部装修</v>
      </c>
      <c r="AA42" s="1263">
        <f t="shared" si="15"/>
        <v>1.0309278350515463</v>
      </c>
      <c r="AB42" s="1263">
        <f t="shared" si="16"/>
        <v>1.0309278350515463</v>
      </c>
      <c r="AC42" s="1263">
        <f t="shared" si="17"/>
        <v>1.0309278350515463</v>
      </c>
    </row>
    <row r="43" spans="1:29" ht="28.8">
      <c r="A43" s="409"/>
      <c r="B43" s="364" t="s">
        <v>1707</v>
      </c>
      <c r="C43" s="1759" t="s">
        <v>3440</v>
      </c>
      <c r="D43" s="374">
        <v>100</v>
      </c>
      <c r="E43" s="1760" t="s">
        <v>3440</v>
      </c>
      <c r="F43" s="400">
        <f>SUMIF(124:124,E43,125:125)-SUMIF(124:124,C43,125:125)+100</f>
        <v>100</v>
      </c>
      <c r="G43" s="1759" t="s">
        <v>3440</v>
      </c>
      <c r="H43" s="374">
        <f>SUMIF(124:124,G43,125:125)-SUMIF(124:124,C43,125:125)+100</f>
        <v>100</v>
      </c>
      <c r="I43" s="1759" t="s">
        <v>3440</v>
      </c>
      <c r="J43" s="374">
        <f>SUMIF(124:124,I43,125:125)-SUMIF(124:124,C43,125:125)+100</f>
        <v>100</v>
      </c>
      <c r="K43" s="365"/>
      <c r="L43" s="2490"/>
      <c r="M43" s="2485"/>
      <c r="N43" s="2485"/>
      <c r="O43" s="2485"/>
      <c r="P43" s="3464"/>
      <c r="Q43" s="1262" t="str">
        <f t="shared" si="11"/>
        <v>内部装修维护情况</v>
      </c>
      <c r="R43" s="666" t="s">
        <v>18</v>
      </c>
      <c r="S43" s="667">
        <f t="shared" si="12"/>
        <v>100</v>
      </c>
      <c r="T43" s="666" t="s">
        <v>18</v>
      </c>
      <c r="U43" s="667">
        <f t="shared" si="13"/>
        <v>100</v>
      </c>
      <c r="V43" s="666" t="s">
        <v>18</v>
      </c>
      <c r="W43" s="667">
        <f t="shared" si="14"/>
        <v>100</v>
      </c>
      <c r="X43" s="1264"/>
      <c r="Y43" s="3466"/>
      <c r="Z43" s="1263" t="str">
        <f t="shared" si="18"/>
        <v>内部装修维护情况</v>
      </c>
      <c r="AA43" s="1263">
        <f t="shared" si="15"/>
        <v>1</v>
      </c>
      <c r="AB43" s="1263">
        <f t="shared" si="16"/>
        <v>1</v>
      </c>
      <c r="AC43" s="1263">
        <f t="shared" si="17"/>
        <v>1</v>
      </c>
    </row>
    <row r="44" spans="1:29" s="102" customFormat="1" ht="15">
      <c r="A44" s="410"/>
      <c r="B44" s="3187" t="s">
        <v>4021</v>
      </c>
      <c r="C44" s="407" t="s">
        <v>4051</v>
      </c>
      <c r="D44" s="119">
        <v>100</v>
      </c>
      <c r="E44" s="407" t="s">
        <v>4015</v>
      </c>
      <c r="F44" s="364">
        <f>SUMIF(126:126,E44,127:127)-SUMIF(126:126,C44,127:127)+100</f>
        <v>102</v>
      </c>
      <c r="G44" s="407" t="s">
        <v>4051</v>
      </c>
      <c r="H44" s="119">
        <f>SUMIF(126:126,G44,127:127)-SUMIF(126:126,C44,127:127)+100</f>
        <v>100</v>
      </c>
      <c r="I44" s="407" t="s">
        <v>4015</v>
      </c>
      <c r="J44" s="119">
        <f>SUMIF(126:126,I44,127:127)-SUMIF(126:126,C44,127:127)+100</f>
        <v>102</v>
      </c>
      <c r="K44" s="1747"/>
      <c r="L44" s="2486"/>
      <c r="M44" s="2438"/>
      <c r="N44" s="2438"/>
      <c r="O44" s="2438"/>
      <c r="P44" s="3464"/>
      <c r="Q44" s="530" t="str">
        <f t="shared" si="11"/>
        <v>户型</v>
      </c>
      <c r="R44" s="663" t="s">
        <v>18</v>
      </c>
      <c r="S44" s="664">
        <f t="shared" si="12"/>
        <v>102</v>
      </c>
      <c r="T44" s="663" t="s">
        <v>18</v>
      </c>
      <c r="U44" s="664">
        <f t="shared" si="13"/>
        <v>100</v>
      </c>
      <c r="V44" s="663" t="s">
        <v>18</v>
      </c>
      <c r="W44" s="664">
        <f t="shared" si="14"/>
        <v>102</v>
      </c>
      <c r="X44" s="665"/>
      <c r="Y44" s="3466"/>
      <c r="Z44" s="50" t="str">
        <f t="shared" si="18"/>
        <v>户型</v>
      </c>
      <c r="AA44" s="50">
        <f t="shared" si="15"/>
        <v>0.98039215686274506</v>
      </c>
      <c r="AB44" s="50">
        <f t="shared" si="16"/>
        <v>1</v>
      </c>
      <c r="AC44" s="50">
        <f t="shared" si="17"/>
        <v>0.98039215686274506</v>
      </c>
    </row>
    <row r="45" spans="1:29" ht="15">
      <c r="A45" s="409"/>
      <c r="B45" s="3187" t="s">
        <v>4022</v>
      </c>
      <c r="C45" s="373" t="s">
        <v>4016</v>
      </c>
      <c r="D45" s="374">
        <v>100</v>
      </c>
      <c r="E45" s="373" t="s">
        <v>4012</v>
      </c>
      <c r="F45" s="400">
        <f>SUMIF(128:128,E45,129:129)-SUMIF(128:128,C45,129:129)+100</f>
        <v>98</v>
      </c>
      <c r="G45" s="373" t="s">
        <v>4012</v>
      </c>
      <c r="H45" s="374">
        <f>SUMIF(128:128,G45,129:129)-SUMIF(128:128,C45,129:129)+100</f>
        <v>98</v>
      </c>
      <c r="I45" s="373" t="s">
        <v>4016</v>
      </c>
      <c r="J45" s="374">
        <f>SUMIF(128:128,I45,129:129)-SUMIF(128:128,C45,129:129)+100</f>
        <v>100</v>
      </c>
      <c r="K45" s="1747"/>
      <c r="L45" s="2490"/>
      <c r="M45" s="2485"/>
      <c r="N45" s="2485"/>
      <c r="O45" s="2485"/>
      <c r="P45" s="3464"/>
      <c r="Q45" s="1262" t="str">
        <f t="shared" si="11"/>
        <v>类型</v>
      </c>
      <c r="R45" s="666" t="s">
        <v>18</v>
      </c>
      <c r="S45" s="667">
        <f t="shared" si="12"/>
        <v>98</v>
      </c>
      <c r="T45" s="666" t="s">
        <v>18</v>
      </c>
      <c r="U45" s="667">
        <f t="shared" si="13"/>
        <v>98</v>
      </c>
      <c r="V45" s="666" t="s">
        <v>18</v>
      </c>
      <c r="W45" s="667">
        <f t="shared" si="14"/>
        <v>100</v>
      </c>
      <c r="X45" s="1264"/>
      <c r="Y45" s="3466"/>
      <c r="Z45" s="1263" t="str">
        <f t="shared" si="18"/>
        <v>类型</v>
      </c>
      <c r="AA45" s="1263">
        <f t="shared" si="15"/>
        <v>1.0204081632653061</v>
      </c>
      <c r="AB45" s="1263">
        <f t="shared" si="16"/>
        <v>1.0204081632653061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65"/>
      <c r="Q46" s="1262">
        <f t="shared" si="11"/>
        <v>111</v>
      </c>
      <c r="R46" s="666" t="s">
        <v>17</v>
      </c>
      <c r="S46" s="667">
        <f t="shared" si="12"/>
        <v>100</v>
      </c>
      <c r="T46" s="666" t="s">
        <v>17</v>
      </c>
      <c r="U46" s="667">
        <f t="shared" si="13"/>
        <v>100</v>
      </c>
      <c r="V46" s="666" t="s">
        <v>17</v>
      </c>
      <c r="W46" s="667">
        <f t="shared" si="14"/>
        <v>100</v>
      </c>
      <c r="X46" s="1264"/>
      <c r="Y46" s="3467"/>
      <c r="Z46" s="1263">
        <f t="shared" si="18"/>
        <v>111</v>
      </c>
      <c r="AA46" s="1263">
        <f t="shared" si="15"/>
        <v>1</v>
      </c>
      <c r="AB46" s="1263">
        <f t="shared" si="16"/>
        <v>1</v>
      </c>
      <c r="AC46" s="1263">
        <f t="shared" si="17"/>
        <v>1</v>
      </c>
    </row>
    <row r="47" spans="1:29" ht="14.4">
      <c r="A47" s="416" t="s">
        <v>1708</v>
      </c>
      <c r="B47" s="417"/>
      <c r="C47" s="1080" t="s">
        <v>16</v>
      </c>
      <c r="D47" s="418"/>
      <c r="E47" s="419">
        <v>188344</v>
      </c>
      <c r="F47" s="420"/>
      <c r="G47" s="421">
        <v>186137</v>
      </c>
      <c r="H47" s="422"/>
      <c r="I47" s="421">
        <v>177724</v>
      </c>
      <c r="J47" s="422"/>
      <c r="K47" s="1766"/>
      <c r="L47" s="2492"/>
      <c r="M47" s="2485"/>
      <c r="N47" s="2485"/>
      <c r="O47" s="2485"/>
      <c r="P47" s="3460" t="str">
        <f>A47</f>
        <v>成交单价（元/平方米）</v>
      </c>
      <c r="Q47" s="3460"/>
      <c r="R47" s="3455">
        <f>E47</f>
        <v>188344</v>
      </c>
      <c r="S47" s="3455"/>
      <c r="T47" s="3455">
        <f>G47</f>
        <v>186137</v>
      </c>
      <c r="U47" s="3455"/>
      <c r="V47" s="3455">
        <f>I47</f>
        <v>177724</v>
      </c>
      <c r="W47" s="3455"/>
      <c r="X47" s="385"/>
      <c r="Y47" s="672"/>
      <c r="Z47" s="385"/>
      <c r="AA47" s="385"/>
      <c r="AB47" s="385"/>
      <c r="AC47" s="385"/>
    </row>
    <row r="48" spans="1:29" ht="15" thickBot="1">
      <c r="A48" s="423" t="s">
        <v>1709</v>
      </c>
      <c r="B48" s="424"/>
      <c r="C48" s="1081">
        <f>R49</f>
        <v>184500</v>
      </c>
      <c r="D48" s="2140" t="s">
        <v>2135</v>
      </c>
      <c r="E48" s="1082">
        <f>R48</f>
        <v>185240</v>
      </c>
      <c r="F48" s="2141"/>
      <c r="G48" s="1081">
        <f>T48</f>
        <v>192066</v>
      </c>
      <c r="H48" s="2141"/>
      <c r="I48" s="1082">
        <f>V48</f>
        <v>176193</v>
      </c>
      <c r="J48" s="2141"/>
      <c r="K48" s="2142">
        <f>F48+H48+J48</f>
        <v>0</v>
      </c>
      <c r="L48" s="2492"/>
      <c r="M48" s="2485"/>
      <c r="N48" s="2485"/>
      <c r="O48" s="2485"/>
      <c r="P48" s="3460" t="str">
        <f>A48</f>
        <v>比较价值（元/平方米）</v>
      </c>
      <c r="Q48" s="3460"/>
      <c r="R48" s="3455">
        <f>IF(F1="售价",ROUND(PRODUCT(R47,AA7:AA46),0),ROUND(PRODUCT(R47,AA7:AA46),1))</f>
        <v>185240</v>
      </c>
      <c r="S48" s="3455"/>
      <c r="T48" s="3455">
        <f>IF(F1="售价",ROUND(PRODUCT(T47,AB7:AB46),0),ROUND(PRODUCT(T47,AB7:AB46),1))</f>
        <v>192066</v>
      </c>
      <c r="U48" s="3455"/>
      <c r="V48" s="3455">
        <f>IF(F1="售价",ROUND(PRODUCT(V47,AC7:AC46),0),ROUND(PRODUCT(V47,AC7:AC46),1))</f>
        <v>176193</v>
      </c>
      <c r="W48" s="3455"/>
      <c r="X48" s="385"/>
      <c r="Y48" s="385"/>
      <c r="Z48" s="385"/>
      <c r="AA48" s="385"/>
      <c r="AB48" s="385"/>
      <c r="AC48" s="385"/>
    </row>
    <row r="49" spans="1:29" ht="15" thickBot="1">
      <c r="A49" s="427" t="s">
        <v>1710</v>
      </c>
      <c r="B49" s="428"/>
      <c r="C49" s="1083">
        <f>R49</f>
        <v>184500</v>
      </c>
      <c r="D49" s="351"/>
      <c r="E49" s="351"/>
      <c r="F49" s="351"/>
      <c r="G49" s="351"/>
      <c r="H49" s="351"/>
      <c r="I49" s="351"/>
      <c r="J49" s="351"/>
      <c r="K49" s="1767"/>
      <c r="L49" s="2492"/>
      <c r="M49" s="2485"/>
      <c r="N49" s="2485"/>
      <c r="O49" s="2485"/>
      <c r="P49" s="3457" t="str">
        <f>A49</f>
        <v>估价对象XX用房的比较价值（楼面单价，元/平方米）</v>
      </c>
      <c r="Q49" s="3458"/>
      <c r="R49" s="3459">
        <f>IF(F1="售价",ROUND(IF(D48="简单平均",AVERAGE(R48:V48),R48*F48+T48*H48+V48*J48),0),ROUND(IF(D48="简单平均",AVERAGE(R48:V48),R48*F48+T48*H48+V48*J48),1))</f>
        <v>184500</v>
      </c>
      <c r="S49" s="3459"/>
      <c r="T49" s="3459"/>
      <c r="U49" s="3459"/>
      <c r="V49" s="3459"/>
      <c r="W49" s="345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1.6756640034549797E-2</v>
      </c>
      <c r="F52" s="435" t="str">
        <f>IF(OR(E52&gt;=0.3,E52&lt;=-0.3),"超过30%","")</f>
        <v/>
      </c>
      <c r="G52" s="434">
        <f>IF(G47&lt;G48,G48/G47-1,G47/G48-1)</f>
        <v>3.1852882554247675E-2</v>
      </c>
      <c r="H52" s="435" t="str">
        <f>IF(OR(G52&gt;=0.3,G52&lt;=-0.3),"超过30%","")</f>
        <v/>
      </c>
      <c r="I52" s="434">
        <f>IF(I47&lt;I48,I48/I47-1,I47/I48-1)</f>
        <v>8.6893349906069783E-3</v>
      </c>
      <c r="J52" s="435" t="str">
        <f>IF(OR(I52&gt;=0.3,I52&lt;=-0.3),"超过30%","")</f>
        <v/>
      </c>
      <c r="K52" s="2497"/>
      <c r="L52" s="2493"/>
      <c r="M52" s="2485"/>
      <c r="N52" s="2485"/>
      <c r="O52" s="2485"/>
    </row>
    <row r="53" spans="1:29" ht="13.5" customHeight="1">
      <c r="A53" s="2485"/>
      <c r="B53" s="2485"/>
      <c r="C53" s="432" t="s">
        <v>1712</v>
      </c>
      <c r="D53" s="436"/>
      <c r="E53" s="434">
        <f>IF(E48&lt;G48,G48/E48-1,E48/G48-1)</f>
        <v>3.6849492550205198E-2</v>
      </c>
      <c r="F53" s="435" t="str">
        <f>IF(OR(E53&gt;=0.2,E53&lt;=-0.2),"超过20%","")</f>
        <v/>
      </c>
      <c r="G53" s="434">
        <f>IF(G48&lt;I48,I48/G48-1,G48/I48-1)</f>
        <v>9.0088709540106615E-2</v>
      </c>
      <c r="H53" s="435" t="str">
        <f>IF(OR(G53&gt;=0.2,G53&lt;=-0.2),"超过20%","")</f>
        <v/>
      </c>
      <c r="I53" s="434">
        <f>IF(I48&lt;E48,E48/I48-1,I48/E48-1)</f>
        <v>5.1347102325290939E-2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1.185685812063153E-2</v>
      </c>
      <c r="F54" s="435" t="str">
        <f>IF(OR(E54&gt;=0.3,E54&lt;=-0.3),"超过30%","")</f>
        <v/>
      </c>
      <c r="G54" s="434">
        <f>IF(G47&lt;I47,I47/G47-1,G47/I47-1)</f>
        <v>4.7337444576984522E-2</v>
      </c>
      <c r="H54" s="435" t="str">
        <f>IF(OR(G54&gt;=0.3,G54&lt;=-0.3),"超过30%","")</f>
        <v/>
      </c>
      <c r="I54" s="434">
        <f>IF(I47&lt;E47,E47/I47-1,I47/E47-1)</f>
        <v>5.9755576061758742E-2</v>
      </c>
      <c r="J54" s="435" t="str">
        <f>IF(OR(I54&gt;=0.3,I54&lt;=-0.3),"超过30%","")</f>
        <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7" t="s">
        <v>1714</v>
      </c>
      <c r="B57" s="385"/>
      <c r="C57" s="658"/>
      <c r="D57" s="658"/>
      <c r="E57" s="658"/>
      <c r="F57" s="659"/>
      <c r="G57" s="659"/>
      <c r="H57" s="658"/>
      <c r="I57" s="658"/>
      <c r="J57" s="658"/>
      <c r="K57" s="886"/>
      <c r="L57" s="887"/>
      <c r="M57" s="885"/>
      <c r="N57" s="885"/>
      <c r="O57" s="885"/>
      <c r="P57" s="1770"/>
      <c r="Q57" s="439"/>
    </row>
    <row r="58" spans="1:29" s="442" customFormat="1" ht="14.4">
      <c r="A58" s="440" t="s">
        <v>1715</v>
      </c>
      <c r="B58" s="441"/>
      <c r="C58" s="1104" t="str">
        <f>YEAR(C7)&amp;"-"&amp;MONTH(C7)</f>
        <v>2025-6</v>
      </c>
      <c r="D58" s="1103">
        <f>EDATE(C58,-1)</f>
        <v>45778</v>
      </c>
      <c r="E58" s="1103">
        <f>EDATE(D58,-1)</f>
        <v>45748</v>
      </c>
      <c r="F58" s="1103">
        <f t="shared" ref="F58:O58" si="19">EDATE(E58,-1)</f>
        <v>45717</v>
      </c>
      <c r="G58" s="1103">
        <f t="shared" si="19"/>
        <v>45689</v>
      </c>
      <c r="H58" s="1103">
        <f t="shared" si="19"/>
        <v>45658</v>
      </c>
      <c r="I58" s="1103">
        <f t="shared" si="19"/>
        <v>45627</v>
      </c>
      <c r="J58" s="1103">
        <f t="shared" si="19"/>
        <v>45597</v>
      </c>
      <c r="K58" s="1103">
        <f t="shared" si="19"/>
        <v>45566</v>
      </c>
      <c r="L58" s="1103">
        <f t="shared" si="19"/>
        <v>45536</v>
      </c>
      <c r="M58" s="1103">
        <f t="shared" si="19"/>
        <v>45505</v>
      </c>
      <c r="N58" s="1103">
        <f t="shared" si="19"/>
        <v>45474</v>
      </c>
      <c r="O58" s="1103">
        <f t="shared" si="19"/>
        <v>45444</v>
      </c>
      <c r="P58" s="1099"/>
    </row>
    <row r="59" spans="1:29" s="102" customFormat="1">
      <c r="A59" s="443"/>
      <c r="B59" s="1771"/>
      <c r="C59" s="1101">
        <v>100</v>
      </c>
      <c r="D59" s="445">
        <v>100</v>
      </c>
      <c r="E59" s="446">
        <v>100</v>
      </c>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89" t="s">
        <v>4023</v>
      </c>
      <c r="E61" s="31"/>
      <c r="F61" s="31"/>
      <c r="G61" s="31"/>
      <c r="H61" s="31"/>
      <c r="I61" s="31"/>
      <c r="J61" s="31"/>
      <c r="K61" s="31"/>
      <c r="L61" s="457"/>
      <c r="M61" s="458"/>
      <c r="N61" s="877"/>
      <c r="O61" s="877"/>
      <c r="P61" s="1773"/>
      <c r="Q61" s="439"/>
    </row>
    <row r="62" spans="1:29" s="102" customFormat="1" ht="14.4" thickBot="1">
      <c r="A62" s="455"/>
      <c r="B62" s="444"/>
      <c r="C62" s="445">
        <v>100</v>
      </c>
      <c r="D62" s="446">
        <v>105</v>
      </c>
      <c r="E62" s="446"/>
      <c r="F62" s="446"/>
      <c r="G62" s="446"/>
      <c r="H62" s="446"/>
      <c r="I62" s="446"/>
      <c r="J62" s="446"/>
      <c r="K62" s="446"/>
      <c r="L62" s="446"/>
      <c r="M62" s="448"/>
      <c r="N62" s="877"/>
      <c r="O62" s="877"/>
      <c r="P62" s="1772"/>
      <c r="Q62" s="439"/>
    </row>
    <row r="63" spans="1:29" ht="14.4">
      <c r="A63" s="379" t="s">
        <v>1719</v>
      </c>
      <c r="B63" s="460" t="s">
        <v>1685</v>
      </c>
      <c r="C63" s="461" t="str">
        <f>C9</f>
        <v>住宅</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1688</v>
      </c>
      <c r="C65" s="3190" t="str">
        <f>C10</f>
        <v>40-50（含）</v>
      </c>
      <c r="D65" s="3190" t="str">
        <f>E10</f>
        <v>50-60（含）</v>
      </c>
      <c r="E65" s="3190" t="s">
        <v>4024</v>
      </c>
      <c r="F65" s="513"/>
      <c r="G65" s="513"/>
      <c r="H65" s="513"/>
      <c r="I65" s="513"/>
      <c r="J65" s="513"/>
      <c r="K65" s="513"/>
      <c r="L65" s="513"/>
      <c r="M65" s="513"/>
      <c r="N65" s="879"/>
      <c r="O65" s="879"/>
      <c r="P65" s="1774"/>
      <c r="Q65" s="439"/>
    </row>
    <row r="66" spans="1:17" ht="14.4" thickBot="1">
      <c r="A66" s="367"/>
      <c r="B66" s="474"/>
      <c r="C66" s="467">
        <v>100</v>
      </c>
      <c r="D66" s="467">
        <v>101</v>
      </c>
      <c r="E66" s="467">
        <v>102</v>
      </c>
      <c r="F66" s="467"/>
      <c r="G66" s="467"/>
      <c r="H66" s="467"/>
      <c r="I66" s="467"/>
      <c r="J66" s="467"/>
      <c r="K66" s="467"/>
      <c r="L66" s="467"/>
      <c r="M66" s="468"/>
      <c r="N66" s="879"/>
      <c r="O66" s="879"/>
      <c r="P66" s="1774"/>
      <c r="Q66" s="439"/>
    </row>
    <row r="67" spans="1:17" ht="1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v>0</v>
      </c>
      <c r="D68" s="480">
        <v>1</v>
      </c>
      <c r="E68" s="480">
        <v>2</v>
      </c>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3177" t="s">
        <v>4026</v>
      </c>
      <c r="D86" s="3177" t="s">
        <v>4020</v>
      </c>
      <c r="E86" s="3177" t="s">
        <v>4025</v>
      </c>
      <c r="F86" s="485"/>
      <c r="G86" s="485"/>
      <c r="H86" s="485"/>
      <c r="I86" s="485"/>
      <c r="J86" s="485"/>
      <c r="K86" s="485"/>
      <c r="L86" s="510"/>
      <c r="M86" s="511"/>
      <c r="N86" s="877"/>
      <c r="O86" s="877"/>
      <c r="P86" s="1774"/>
      <c r="Q86" s="439"/>
    </row>
    <row r="87" spans="1:17" s="102" customFormat="1" ht="14.4" thickBot="1">
      <c r="A87" s="370"/>
      <c r="B87" s="474"/>
      <c r="C87" s="512">
        <v>100</v>
      </c>
      <c r="D87" s="475" t="e">
        <f t="shared" ref="D87:M87" si="23">$C$87-($C$86-D86)*$K$25</f>
        <v>#VALUE!</v>
      </c>
      <c r="E87" s="475" t="e">
        <f t="shared" si="23"/>
        <v>#VALUE!</v>
      </c>
      <c r="F87" s="475" t="e">
        <f t="shared" si="23"/>
        <v>#VALUE!</v>
      </c>
      <c r="G87" s="475" t="e">
        <f t="shared" si="23"/>
        <v>#VALUE!</v>
      </c>
      <c r="H87" s="475" t="e">
        <f t="shared" si="23"/>
        <v>#VALUE!</v>
      </c>
      <c r="I87" s="475" t="e">
        <f t="shared" si="23"/>
        <v>#VALUE!</v>
      </c>
      <c r="J87" s="475" t="e">
        <f t="shared" si="23"/>
        <v>#VALUE!</v>
      </c>
      <c r="K87" s="475" t="e">
        <f t="shared" si="23"/>
        <v>#VALUE!</v>
      </c>
      <c r="L87" s="475" t="e">
        <f t="shared" si="23"/>
        <v>#VALUE!</v>
      </c>
      <c r="M87" s="475" t="e">
        <f t="shared" si="23"/>
        <v>#VALUE!</v>
      </c>
      <c r="N87" s="879"/>
      <c r="O87" s="879"/>
      <c r="P87" s="1774"/>
      <c r="Q87" s="439"/>
    </row>
    <row r="88" spans="1:17" s="102" customFormat="1" ht="15" thickTop="1">
      <c r="A88" s="370"/>
      <c r="B88" s="469" t="s">
        <v>1735</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 thickTop="1">
      <c r="A90" s="484"/>
      <c r="B90" s="469" t="str">
        <f>B27</f>
        <v>楼层</v>
      </c>
      <c r="C90" s="3177" t="s">
        <v>4026</v>
      </c>
      <c r="D90" s="3177" t="s">
        <v>4020</v>
      </c>
      <c r="E90" s="3177" t="s">
        <v>4025</v>
      </c>
      <c r="F90" s="485"/>
      <c r="G90" s="485"/>
      <c r="H90" s="486"/>
      <c r="I90" s="486"/>
      <c r="J90" s="486"/>
      <c r="K90" s="486"/>
      <c r="L90" s="487"/>
      <c r="M90" s="488"/>
      <c r="N90" s="880"/>
      <c r="O90" s="880"/>
      <c r="P90" s="1775"/>
      <c r="Q90" s="490"/>
    </row>
    <row r="91" spans="1:17" s="408" customFormat="1" ht="14.4" thickBot="1">
      <c r="A91" s="484"/>
      <c r="B91" s="474"/>
      <c r="C91" s="491">
        <v>100</v>
      </c>
      <c r="D91" s="491">
        <f>C91-2</f>
        <v>98</v>
      </c>
      <c r="E91" s="491">
        <f>D91-2</f>
        <v>96</v>
      </c>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1694</v>
      </c>
      <c r="B100" s="460" t="s">
        <v>1736</v>
      </c>
      <c r="C100" s="3179" t="s">
        <v>4027</v>
      </c>
      <c r="D100" s="3179" t="s">
        <v>4028</v>
      </c>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97</v>
      </c>
      <c r="E101" s="475">
        <f t="shared" si="25"/>
        <v>94</v>
      </c>
      <c r="F101" s="475">
        <f t="shared" si="25"/>
        <v>91</v>
      </c>
      <c r="G101" s="475">
        <f t="shared" si="25"/>
        <v>88</v>
      </c>
      <c r="H101" s="475">
        <f t="shared" si="25"/>
        <v>85</v>
      </c>
      <c r="I101" s="475">
        <f t="shared" si="25"/>
        <v>82</v>
      </c>
      <c r="J101" s="475">
        <f t="shared" si="25"/>
        <v>79</v>
      </c>
      <c r="K101" s="475">
        <f t="shared" si="25"/>
        <v>76</v>
      </c>
      <c r="L101" s="475">
        <f t="shared" si="25"/>
        <v>73</v>
      </c>
      <c r="M101" s="475">
        <f t="shared" si="25"/>
        <v>70</v>
      </c>
      <c r="N101" s="879"/>
      <c r="O101" s="879"/>
      <c r="P101" s="1774"/>
      <c r="Q101" s="439"/>
    </row>
    <row r="102" spans="1:17" ht="15" thickTop="1">
      <c r="A102" s="367"/>
      <c r="B102" s="469" t="s">
        <v>1737</v>
      </c>
      <c r="C102" s="509" t="str">
        <f>C103&amp;"(含)"&amp;"-"&amp;D103</f>
        <v>0(含)-150</v>
      </c>
      <c r="D102" s="509" t="str">
        <f t="shared" ref="D102:L102" si="26">D103&amp;"(含)"&amp;"-"&amp;E103</f>
        <v>150(含)-200</v>
      </c>
      <c r="E102" s="509" t="str">
        <f t="shared" si="26"/>
        <v>200(含)-300</v>
      </c>
      <c r="F102" s="509" t="str">
        <f t="shared" si="26"/>
        <v>300(含)-400</v>
      </c>
      <c r="G102" s="509" t="str">
        <f t="shared" si="26"/>
        <v>400(含)-500</v>
      </c>
      <c r="H102" s="509" t="str">
        <f t="shared" si="26"/>
        <v>500(含)-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v>0</v>
      </c>
      <c r="D103" s="6">
        <v>150</v>
      </c>
      <c r="E103" s="6">
        <v>200</v>
      </c>
      <c r="F103" s="6">
        <v>300</v>
      </c>
      <c r="G103" s="6">
        <v>400</v>
      </c>
      <c r="H103" s="6">
        <v>500</v>
      </c>
      <c r="I103" s="6"/>
      <c r="J103" s="524"/>
      <c r="K103" s="524"/>
      <c r="L103" s="525"/>
      <c r="M103" s="526"/>
      <c r="N103" s="880"/>
      <c r="O103" s="880"/>
      <c r="P103" s="1775"/>
      <c r="Q103" s="490"/>
    </row>
    <row r="104" spans="1:17" s="408" customFormat="1" ht="14.4" thickBot="1">
      <c r="A104" s="484"/>
      <c r="B104" s="474"/>
      <c r="C104" s="491">
        <v>100</v>
      </c>
      <c r="D104" s="467">
        <f>C104+2</f>
        <v>102</v>
      </c>
      <c r="E104" s="467">
        <f t="shared" ref="E104:H104" si="27">D104+2</f>
        <v>104</v>
      </c>
      <c r="F104" s="467">
        <f t="shared" si="27"/>
        <v>106</v>
      </c>
      <c r="G104" s="467">
        <f t="shared" si="27"/>
        <v>108</v>
      </c>
      <c r="H104" s="467">
        <f t="shared" si="27"/>
        <v>110</v>
      </c>
      <c r="I104" s="467"/>
      <c r="J104" s="467"/>
      <c r="K104" s="467"/>
      <c r="L104" s="467"/>
      <c r="M104" s="467"/>
      <c r="N104" s="879"/>
      <c r="O104" s="879"/>
      <c r="P104" s="1775"/>
      <c r="Q104" s="490"/>
    </row>
    <row r="105" spans="1:17" ht="15" thickTop="1">
      <c r="A105" s="409"/>
      <c r="B105" s="469" t="s">
        <v>1738</v>
      </c>
      <c r="C105" s="3177" t="s">
        <v>4029</v>
      </c>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79"/>
      <c r="O106" s="879"/>
      <c r="P106" s="1774"/>
      <c r="Q106" s="439"/>
    </row>
    <row r="107" spans="1:17" ht="15" thickTop="1">
      <c r="A107" s="409"/>
      <c r="B107" s="469" t="s">
        <v>1739</v>
      </c>
      <c r="C107" s="3178" t="s">
        <v>4030</v>
      </c>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79"/>
      <c r="O108" s="879"/>
      <c r="P108" s="1774"/>
      <c r="Q108" s="439"/>
    </row>
    <row r="109" spans="1:17" ht="15" thickTop="1">
      <c r="A109" s="409"/>
      <c r="B109" s="469" t="s">
        <v>1740</v>
      </c>
      <c r="C109" s="3177" t="s">
        <v>4031</v>
      </c>
      <c r="D109" s="3177" t="s">
        <v>4032</v>
      </c>
      <c r="E109" s="3177" t="s">
        <v>4033</v>
      </c>
      <c r="F109" s="3178" t="s">
        <v>4034</v>
      </c>
      <c r="G109" s="513"/>
      <c r="H109" s="513"/>
      <c r="I109" s="513"/>
      <c r="J109" s="513"/>
      <c r="K109" s="514"/>
      <c r="L109" s="515"/>
      <c r="M109" s="516"/>
      <c r="N109" s="878"/>
      <c r="O109" s="878"/>
      <c r="P109" s="1774"/>
      <c r="Q109" s="439"/>
    </row>
    <row r="110" spans="1:17" ht="14.4"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3177" t="s">
        <v>4035</v>
      </c>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79"/>
      <c r="O115" s="879"/>
      <c r="P115" s="1774"/>
      <c r="Q115" s="439"/>
    </row>
    <row r="116" spans="1:17" ht="15" thickTop="1">
      <c r="A116" s="409"/>
      <c r="B116" s="469" t="s">
        <v>1742</v>
      </c>
      <c r="C116" s="3177" t="s">
        <v>4036</v>
      </c>
      <c r="D116" s="3177" t="s">
        <v>4037</v>
      </c>
      <c r="E116" s="3177" t="s">
        <v>4038</v>
      </c>
      <c r="F116" s="3177" t="s">
        <v>4039</v>
      </c>
      <c r="G116" s="3177" t="s">
        <v>4040</v>
      </c>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3178" t="s">
        <v>4041</v>
      </c>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79"/>
      <c r="O119" s="879"/>
      <c r="P119" s="1774"/>
      <c r="Q119" s="439"/>
    </row>
    <row r="120" spans="1:17" s="408" customFormat="1" ht="29.4"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3177" t="s">
        <v>4042</v>
      </c>
      <c r="D122" s="3177" t="s">
        <v>4031</v>
      </c>
      <c r="E122" s="3177" t="s">
        <v>4032</v>
      </c>
      <c r="F122" s="3177" t="s">
        <v>4033</v>
      </c>
      <c r="G122" s="3178" t="s">
        <v>4034</v>
      </c>
      <c r="H122" s="513"/>
      <c r="I122" s="513"/>
      <c r="J122" s="513"/>
      <c r="K122" s="514"/>
      <c r="L122" s="515"/>
      <c r="M122" s="516"/>
      <c r="N122" s="878"/>
      <c r="O122" s="878"/>
      <c r="P122" s="1774"/>
      <c r="Q122" s="439"/>
    </row>
    <row r="123" spans="1:17" ht="14.4" thickBot="1">
      <c r="A123" s="367"/>
      <c r="B123" s="474"/>
      <c r="C123" s="475">
        <v>100</v>
      </c>
      <c r="D123" s="475">
        <f t="shared" ref="D123:M123" si="33">C123-$K42</f>
        <v>97</v>
      </c>
      <c r="E123" s="475">
        <f t="shared" si="33"/>
        <v>94</v>
      </c>
      <c r="F123" s="475">
        <f t="shared" si="33"/>
        <v>91</v>
      </c>
      <c r="G123" s="475">
        <f t="shared" si="33"/>
        <v>88</v>
      </c>
      <c r="H123" s="475">
        <f t="shared" si="33"/>
        <v>85</v>
      </c>
      <c r="I123" s="475">
        <f t="shared" si="33"/>
        <v>82</v>
      </c>
      <c r="J123" s="475">
        <f t="shared" si="33"/>
        <v>79</v>
      </c>
      <c r="K123" s="475">
        <f t="shared" si="33"/>
        <v>76</v>
      </c>
      <c r="L123" s="475">
        <f t="shared" si="33"/>
        <v>73</v>
      </c>
      <c r="M123" s="475">
        <f t="shared" si="33"/>
        <v>70</v>
      </c>
      <c r="N123" s="879"/>
      <c r="O123" s="879"/>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t="str">
        <f>B44</f>
        <v>户型</v>
      </c>
      <c r="C126" s="939" t="s">
        <v>4043</v>
      </c>
      <c r="D126" s="940" t="s">
        <v>4044</v>
      </c>
      <c r="E126" s="940" t="s">
        <v>4045</v>
      </c>
      <c r="F126" s="940" t="s">
        <v>4068</v>
      </c>
      <c r="G126" s="940" t="s">
        <v>4069</v>
      </c>
      <c r="H126" s="486"/>
      <c r="I126" s="486"/>
      <c r="J126" s="486"/>
      <c r="K126" s="486"/>
      <c r="L126" s="487"/>
      <c r="M126" s="488"/>
      <c r="N126" s="880"/>
      <c r="O126" s="880"/>
      <c r="P126" s="1775"/>
      <c r="Q126" s="490"/>
    </row>
    <row r="127" spans="1:17" s="408" customFormat="1" ht="14.4" thickBot="1">
      <c r="A127" s="484"/>
      <c r="B127" s="474"/>
      <c r="C127" s="849">
        <v>98</v>
      </c>
      <c r="D127" s="846">
        <v>100</v>
      </c>
      <c r="E127" s="846">
        <v>102</v>
      </c>
      <c r="F127" s="846">
        <v>104</v>
      </c>
      <c r="G127" s="491">
        <v>106</v>
      </c>
      <c r="H127" s="493"/>
      <c r="I127" s="493"/>
      <c r="J127" s="493"/>
      <c r="K127" s="493"/>
      <c r="L127" s="493"/>
      <c r="M127" s="494"/>
      <c r="N127" s="880"/>
      <c r="O127" s="880"/>
      <c r="P127" s="1775"/>
      <c r="Q127" s="490"/>
    </row>
    <row r="128" spans="1:17" ht="15" thickTop="1">
      <c r="A128" s="409"/>
      <c r="B128" s="469" t="str">
        <f>B45</f>
        <v>类型</v>
      </c>
      <c r="C128" s="3177" t="s">
        <v>4046</v>
      </c>
      <c r="D128" s="3177" t="s">
        <v>4047</v>
      </c>
      <c r="E128" s="485"/>
      <c r="F128" s="485"/>
      <c r="G128" s="513"/>
      <c r="H128" s="513"/>
      <c r="I128" s="513"/>
      <c r="J128" s="513"/>
      <c r="K128" s="514"/>
      <c r="L128" s="515"/>
      <c r="M128" s="516"/>
      <c r="N128" s="878"/>
      <c r="O128" s="878"/>
      <c r="P128" s="1774"/>
      <c r="Q128" s="439"/>
    </row>
    <row r="129" spans="1:17" ht="14.4" thickBot="1">
      <c r="A129" s="367"/>
      <c r="B129" s="474"/>
      <c r="C129" s="491">
        <v>100</v>
      </c>
      <c r="D129" s="491">
        <v>98</v>
      </c>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4" priority="14"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F7:F46 H7:H46 J7:J46">
    <cfRule type="cellIs" dxfId="121" priority="1" operator="notEqual">
      <formula>100</formula>
    </cfRule>
  </conditionalFormatting>
  <conditionalFormatting sqref="F48">
    <cfRule type="expression" dxfId="120" priority="4">
      <formula>$D$48="简单平均"</formula>
    </cfRule>
  </conditionalFormatting>
  <conditionalFormatting sqref="F52:F54 H52:H54 J52:J54">
    <cfRule type="containsText" dxfId="119" priority="15" stopIfTrue="1" operator="containsText" text="超过">
      <formula>NOT(ISERROR(SEARCH("超过",F52)))</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G54">
    <cfRule type="expression" dxfId="116" priority="12" stopIfTrue="1">
      <formula>$H$54="超过30%"</formula>
    </cfRule>
  </conditionalFormatting>
  <conditionalFormatting sqref="H48">
    <cfRule type="expression" dxfId="115" priority="3">
      <formula>$D$48="简单平均"</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J48">
    <cfRule type="expression" dxfId="111"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I27" sqref="I2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0">
        <f ca="1">ROUND(IF(D2="——",C52/10000,C52/10000-E2),4)</f>
        <v>2531.2883999999999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138632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13863792</v>
      </c>
      <c r="D5" s="203" t="s">
        <v>1469</v>
      </c>
      <c r="E5" s="204" t="s">
        <v>1470</v>
      </c>
      <c r="F5" s="204" t="s">
        <v>1471</v>
      </c>
      <c r="G5" s="205"/>
    </row>
    <row r="6" spans="1:8" s="206" customFormat="1" ht="13.5" customHeight="1">
      <c r="A6" s="731" t="s">
        <v>1472</v>
      </c>
      <c r="B6" s="207" t="s">
        <v>1473</v>
      </c>
      <c r="C6" s="208">
        <f>ROUND('土地比较法-住宅、综合'!B56*'土地比较法-住宅、综合'!E56,0)</f>
        <v>13425112</v>
      </c>
      <c r="D6" s="209"/>
      <c r="E6" s="210"/>
      <c r="F6" s="210"/>
      <c r="G6" s="211"/>
    </row>
    <row r="7" spans="1:8" s="206" customFormat="1" ht="13.5" customHeight="1">
      <c r="A7" s="731" t="s">
        <v>1474</v>
      </c>
      <c r="B7" s="207" t="s">
        <v>1475</v>
      </c>
      <c r="C7" s="212">
        <f>ROUND(C6*F7,0)</f>
        <v>409466</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29214</v>
      </c>
      <c r="D8" s="214"/>
      <c r="E8" s="212"/>
      <c r="F8" s="213"/>
      <c r="G8" s="1713" t="s">
        <v>3427</v>
      </c>
    </row>
    <row r="9" spans="1:8" s="206" customFormat="1" ht="13.5" customHeight="1">
      <c r="A9" s="732" t="s">
        <v>355</v>
      </c>
      <c r="B9" s="216" t="s">
        <v>1478</v>
      </c>
      <c r="C9" s="217">
        <f ca="1">ROUND(D9*E9,0)</f>
        <v>29214</v>
      </c>
      <c r="D9" s="794">
        <f ca="1">IF(B1="",'数据-汇总表'!E5,IF(INDIRECT("'数据-取费表'!c"&amp;$G$1)="住宅",INDIRECT("'数据-取费表'!k"&amp;$G$1),0))</f>
        <v>182.59</v>
      </c>
      <c r="E9" s="217">
        <f>'数据-取费表'!B27</f>
        <v>160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182.59</v>
      </c>
      <c r="E19" s="203">
        <f>'数据-取费表'!B31</f>
        <v>200</v>
      </c>
      <c r="F19" s="223"/>
      <c r="G19" s="1713" t="s">
        <v>3428</v>
      </c>
    </row>
    <row r="20" spans="1:7" s="206" customFormat="1" ht="13.5" customHeight="1">
      <c r="A20" s="247" t="s">
        <v>1574</v>
      </c>
      <c r="B20" s="202" t="s">
        <v>1575</v>
      </c>
      <c r="C20" s="224">
        <f ca="1">ROUND((C5+C19)*F20,0)</f>
        <v>277276</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1298119</v>
      </c>
      <c r="D22" s="227">
        <f ca="1">C26</f>
        <v>1.4E-3</v>
      </c>
      <c r="E22" s="228" t="s">
        <v>1579</v>
      </c>
      <c r="F22" s="229">
        <f ca="1">'数据-取费表'!B40</f>
        <v>0.03</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1285548</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12571</v>
      </c>
      <c r="D25" s="230"/>
      <c r="E25" s="233"/>
      <c r="F25" s="231"/>
      <c r="G25" s="234" t="s">
        <v>1588</v>
      </c>
    </row>
    <row r="26" spans="1:7" s="206" customFormat="1">
      <c r="A26" s="733" t="s">
        <v>350</v>
      </c>
      <c r="B26" s="207" t="s">
        <v>1511</v>
      </c>
      <c r="C26" s="230">
        <f ca="1">ROUND(IF('数据-取费表'!B22&lt;=1,F21*F22*'数据-取费表'!B22/2,F21*(POWER((1+F22),'数据-取费表'!B22/2)-1)),4)</f>
        <v>1.4E-3</v>
      </c>
      <c r="D26" s="230"/>
      <c r="E26" s="233"/>
      <c r="F26" s="231"/>
      <c r="G26" s="235"/>
    </row>
    <row r="27" spans="1:7" s="206" customFormat="1" ht="26.4">
      <c r="A27" s="247" t="s">
        <v>1512</v>
      </c>
      <c r="B27" s="236" t="s">
        <v>1513</v>
      </c>
      <c r="C27" s="237">
        <f ca="1">C28</f>
        <v>3535267</v>
      </c>
      <c r="D27" s="227">
        <f ca="1">C29</f>
        <v>7.4999999999999997E-3</v>
      </c>
      <c r="E27" s="228" t="s">
        <v>1514</v>
      </c>
      <c r="F27" s="238">
        <f ca="1">IF(B1="",'数据-取费表'!Q16,INDIRECT("'数据-取费表'!q"&amp;$G$1))</f>
        <v>0.25</v>
      </c>
      <c r="G27" s="239" t="s">
        <v>1515</v>
      </c>
    </row>
    <row r="28" spans="1:7" s="206" customFormat="1" ht="13.5" customHeight="1">
      <c r="A28" s="733" t="s">
        <v>346</v>
      </c>
      <c r="B28" s="240" t="s">
        <v>1516</v>
      </c>
      <c r="C28" s="241">
        <f ca="1">ROUND((C5+C19+C20)*F27,0)</f>
        <v>3535267</v>
      </c>
      <c r="D28" s="227"/>
      <c r="E28" s="228"/>
      <c r="F28" s="238"/>
      <c r="G28" s="239"/>
    </row>
    <row r="29" spans="1:7" s="206" customFormat="1" ht="13.5" customHeight="1">
      <c r="A29" s="733" t="s">
        <v>347</v>
      </c>
      <c r="B29" s="240" t="s">
        <v>1517</v>
      </c>
      <c r="C29" s="230">
        <f ca="1">ROUND(C21*F27,4)</f>
        <v>7.4999999999999997E-3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20901580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3483817</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2921440</v>
      </c>
      <c r="D34" s="209"/>
      <c r="E34" s="212"/>
      <c r="F34" s="249"/>
      <c r="G34" s="211"/>
    </row>
    <row r="35" spans="1:7" ht="13.5" customHeight="1">
      <c r="A35" s="733" t="s">
        <v>351</v>
      </c>
      <c r="B35" s="207" t="s">
        <v>1527</v>
      </c>
      <c r="C35" s="212">
        <f ca="1">ROUND(C34*F35,0)</f>
        <v>233715</v>
      </c>
      <c r="D35" s="212"/>
      <c r="E35" s="212"/>
      <c r="F35" s="251">
        <f>'数据-取费表'!B33</f>
        <v>0.08</v>
      </c>
      <c r="G35" s="211" t="s">
        <v>1528</v>
      </c>
    </row>
    <row r="36" spans="1:7" ht="24">
      <c r="A36" s="733" t="s">
        <v>352</v>
      </c>
      <c r="B36" s="207" t="s">
        <v>1529</v>
      </c>
      <c r="C36" s="212">
        <f ca="1">ROUND(IF(B1="",SUM('数据-取费表'!AP6:AP13)*F36,IF(INDIRECT("'数据-取费表'!c"&amp;$G$1)="住宅",INDIRECT("'数据-取费表'!k"&amp;$G$1)*INDIRECT("'数据-取费表'!l"&amp;$G$1)*F36,0)),0)</f>
        <v>233715</v>
      </c>
      <c r="D36" s="212"/>
      <c r="E36" s="212"/>
      <c r="F36" s="251">
        <f>'数据-取费表'!B34</f>
        <v>0.08</v>
      </c>
      <c r="G36" s="252" t="s">
        <v>1530</v>
      </c>
    </row>
    <row r="37" spans="1:7" s="250" customFormat="1" ht="13.5" customHeight="1">
      <c r="A37" s="733" t="s">
        <v>353</v>
      </c>
      <c r="B37" s="207" t="s">
        <v>1531</v>
      </c>
      <c r="C37" s="241">
        <f ca="1">ROUND(E37*D37,0)</f>
        <v>36518</v>
      </c>
      <c r="D37" s="209">
        <f ca="1">D19</f>
        <v>182.59</v>
      </c>
      <c r="E37" s="241">
        <f>'数据-取费表'!B35</f>
        <v>200</v>
      </c>
      <c r="F37" s="251"/>
      <c r="G37" s="253"/>
    </row>
    <row r="38" spans="1:7" ht="13.5" customHeight="1">
      <c r="A38" s="733" t="s">
        <v>354</v>
      </c>
      <c r="B38" s="207" t="s">
        <v>1533</v>
      </c>
      <c r="C38" s="212">
        <f ca="1">ROUND(C34*F38,0)</f>
        <v>58429</v>
      </c>
      <c r="D38" s="212"/>
      <c r="E38" s="212"/>
      <c r="F38" s="251">
        <f>'数据-取费表'!B36</f>
        <v>0.02</v>
      </c>
      <c r="G38" s="211" t="s">
        <v>1528</v>
      </c>
    </row>
    <row r="39" spans="1:7" s="206" customFormat="1" ht="13.5" customHeight="1">
      <c r="A39" s="247" t="s">
        <v>1534</v>
      </c>
      <c r="B39" s="202" t="s">
        <v>1535</v>
      </c>
      <c r="C39" s="224">
        <f ca="1">ROUND(C33*F20,0)</f>
        <v>69676</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161101</v>
      </c>
      <c r="D41" s="227">
        <f ca="1">C44</f>
        <v>1.4E-3</v>
      </c>
      <c r="E41" s="228" t="s">
        <v>1539</v>
      </c>
      <c r="F41" s="229">
        <f ca="1">F22</f>
        <v>0.03</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157942</v>
      </c>
      <c r="D42" s="230"/>
      <c r="E42" s="230"/>
      <c r="F42" s="231"/>
      <c r="G42" s="3396" t="s">
        <v>1591</v>
      </c>
    </row>
    <row r="43" spans="1:7" ht="13.5" customHeight="1">
      <c r="A43" s="733" t="s">
        <v>347</v>
      </c>
      <c r="B43" s="207" t="s">
        <v>1545</v>
      </c>
      <c r="C43" s="230">
        <f ca="1">ROUND(IF('数据-取费表'!B22&lt;=1,C39*F22*'数据-取费表'!B20/2,C39*(POWER((1+F22),'数据-取费表'!B20/2)-1)),0)</f>
        <v>3159</v>
      </c>
      <c r="D43" s="230"/>
      <c r="E43" s="230"/>
      <c r="F43" s="231"/>
      <c r="G43" s="3397"/>
    </row>
    <row r="44" spans="1:7" ht="13.5" customHeight="1">
      <c r="A44" s="733" t="s">
        <v>348</v>
      </c>
      <c r="B44" s="207" t="s">
        <v>1546</v>
      </c>
      <c r="C44" s="230">
        <f ca="1">ROUND(IF('数据-取费表'!B22&lt;=1,C40*F22*'数据-取费表'!B20/2,C40*(POWER((1+F22),'数据-取费表'!B20/2)-1)),4)</f>
        <v>1.4E-3</v>
      </c>
      <c r="D44" s="230"/>
      <c r="E44" s="230"/>
      <c r="F44" s="231"/>
      <c r="G44" s="3398"/>
    </row>
    <row r="45" spans="1:7" s="206" customFormat="1" ht="13.5" customHeight="1">
      <c r="A45" s="247" t="s">
        <v>1547</v>
      </c>
      <c r="B45" s="236" t="s">
        <v>1513</v>
      </c>
      <c r="C45" s="237">
        <f ca="1">C46</f>
        <v>888373</v>
      </c>
      <c r="D45" s="227">
        <f ca="1">C47</f>
        <v>7.4999999999999997E-3</v>
      </c>
      <c r="E45" s="228" t="s">
        <v>1539</v>
      </c>
      <c r="F45" s="238">
        <f ca="1">F27</f>
        <v>0.25</v>
      </c>
      <c r="G45" s="239" t="s">
        <v>1548</v>
      </c>
    </row>
    <row r="46" spans="1:7" s="206" customFormat="1" ht="13.5" customHeight="1">
      <c r="A46" s="733" t="s">
        <v>346</v>
      </c>
      <c r="B46" s="240" t="s">
        <v>1549</v>
      </c>
      <c r="C46" s="241">
        <f ca="1">ROUND((C33+C39)*F27,0)</f>
        <v>888373</v>
      </c>
      <c r="D46" s="255"/>
      <c r="E46" s="228"/>
      <c r="F46" s="238"/>
      <c r="G46" s="239"/>
    </row>
    <row r="47" spans="1:7" s="206" customFormat="1" ht="13.5" customHeight="1">
      <c r="A47" s="733" t="s">
        <v>347</v>
      </c>
      <c r="B47" s="240" t="s">
        <v>1550</v>
      </c>
      <c r="C47" s="230">
        <f ca="1">ROUND(C40*F27,4)</f>
        <v>7.4999999999999997E-3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5070464</v>
      </c>
      <c r="D49" s="224"/>
      <c r="E49" s="224"/>
      <c r="F49" s="256"/>
      <c r="G49" s="226" t="s">
        <v>1554</v>
      </c>
    </row>
    <row r="50" spans="1:7" s="250" customFormat="1">
      <c r="A50" s="247" t="s">
        <v>1555</v>
      </c>
      <c r="B50" s="202" t="s">
        <v>1556</v>
      </c>
      <c r="C50" s="224"/>
      <c r="D50" s="224"/>
      <c r="E50" s="224"/>
      <c r="F50" s="256">
        <f>IF('数据-取费表'!B24=0,'数据-取费表'!N16,1)</f>
        <v>0.87</v>
      </c>
      <c r="G50" s="239"/>
    </row>
    <row r="51" spans="1:7" ht="16.5" customHeight="1">
      <c r="A51" s="247" t="s">
        <v>1558</v>
      </c>
      <c r="B51" s="202" t="s">
        <v>1593</v>
      </c>
      <c r="C51" s="224">
        <f ca="1">ROUND(C49*F50,0)</f>
        <v>4411304</v>
      </c>
      <c r="D51" s="224"/>
      <c r="E51" s="224"/>
      <c r="F51" s="256"/>
      <c r="G51" s="226" t="s">
        <v>1560</v>
      </c>
    </row>
    <row r="52" spans="1:7" s="200" customFormat="1" ht="16.8" thickBot="1">
      <c r="A52" s="257" t="s">
        <v>1561</v>
      </c>
      <c r="B52" s="258"/>
      <c r="C52" s="259">
        <f ca="1">C31+C51</f>
        <v>25312884</v>
      </c>
      <c r="D52" s="258"/>
      <c r="E52" s="258"/>
      <c r="F52" s="258"/>
      <c r="G52" s="260"/>
    </row>
    <row r="55" spans="1:7" ht="15">
      <c r="B55" s="262" t="s">
        <v>1562</v>
      </c>
      <c r="C55" s="263"/>
    </row>
    <row r="56" spans="1:7">
      <c r="B56" s="265" t="s">
        <v>802</v>
      </c>
      <c r="C56" s="267">
        <f ca="1">1-C57</f>
        <v>0.82600000000000007</v>
      </c>
    </row>
    <row r="57" spans="1:7">
      <c r="B57" s="265" t="s">
        <v>803</v>
      </c>
      <c r="C57" s="266">
        <f ca="1">ROUND(C51/C52,3)</f>
        <v>0.17399999999999999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9"/>
      <c r="D1" s="1108"/>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55</v>
      </c>
      <c r="C3" s="268" t="s">
        <v>1596</v>
      </c>
      <c r="D3" s="268"/>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0.08</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0.08</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182.59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182.59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v>
      </c>
      <c r="D18" s="795"/>
      <c r="E18" s="21"/>
      <c r="F18" s="755"/>
      <c r="G18" s="1719"/>
      <c r="H18" s="1105"/>
      <c r="I18" s="1720" t="s">
        <v>1625</v>
      </c>
      <c r="J18" s="758"/>
      <c r="K18" s="759"/>
    </row>
    <row r="19" spans="1:33" s="754" customFormat="1" ht="13.5" customHeight="1">
      <c r="A19" s="751" t="s">
        <v>360</v>
      </c>
      <c r="B19" s="752" t="s">
        <v>1626</v>
      </c>
      <c r="C19" s="21">
        <f ca="1">ROUND(D19*E19/10000,0)</f>
        <v>3</v>
      </c>
      <c r="D19" s="795">
        <f ca="1">IF(C1="",'数据-汇总表'!E5,IF(INDIRECT("'数据-取费表'!c"&amp;$K$1)="住宅",INDIRECT("'数据-取费表'!k"&amp;$K$1),0))</f>
        <v>182.59</v>
      </c>
      <c r="E19" s="21">
        <f>'数据-取费表'!B27</f>
        <v>160</v>
      </c>
      <c r="F19" s="755"/>
      <c r="G19" s="12"/>
      <c r="H19" s="1107"/>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-1</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0.03</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0.25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1</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t="s">
        <v>21</v>
      </c>
      <c r="D1" s="1270" t="s">
        <v>43</v>
      </c>
      <c r="E1" s="1271" t="s">
        <v>678</v>
      </c>
      <c r="F1" s="998" t="e">
        <f ca="1">J53</f>
        <v>#N/A</v>
      </c>
      <c r="G1" s="1285" t="e">
        <f>MATCH(C1,'数据-取费表'!A6:A16,0)+5</f>
        <v>#N/A</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#N/A</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t="e">
        <f ca="1">C6+C10+C12</f>
        <v>#N/A</v>
      </c>
      <c r="D5" s="1272" t="s">
        <v>693</v>
      </c>
      <c r="E5" s="1007"/>
      <c r="F5" s="1008"/>
      <c r="G5" s="1291"/>
      <c r="H5" s="291">
        <v>1</v>
      </c>
      <c r="I5" s="292" t="s">
        <v>692</v>
      </c>
      <c r="J5" s="1006" t="e">
        <f ca="1">J6+J10+J12</f>
        <v>#N/A</v>
      </c>
      <c r="K5" s="1272" t="s">
        <v>693</v>
      </c>
      <c r="L5" s="1007"/>
      <c r="M5" s="1008"/>
    </row>
    <row r="6" spans="1:37" ht="18" customHeight="1">
      <c r="A6" s="1005" t="s">
        <v>398</v>
      </c>
      <c r="B6" s="3472" t="s">
        <v>694</v>
      </c>
      <c r="C6" s="1010" t="e">
        <f ca="1">ROUND(F6*F8*F7*(1-F9)/10000,0)</f>
        <v>#N/A</v>
      </c>
      <c r="D6" s="147" t="s">
        <v>2106</v>
      </c>
      <c r="E6" s="294" t="s">
        <v>696</v>
      </c>
      <c r="F6" s="295" t="e">
        <f ca="1">INDIRECT("'数据-取费表'!u"&amp;$G$1)</f>
        <v>#N/A</v>
      </c>
      <c r="G6" s="1291"/>
      <c r="H6" s="1005" t="s">
        <v>398</v>
      </c>
      <c r="I6" s="3472" t="s">
        <v>694</v>
      </c>
      <c r="J6" s="293" t="e">
        <f ca="1">ROUND(M6*M8*M7*(1-M9)/10000,0)</f>
        <v>#N/A</v>
      </c>
      <c r="K6" s="147" t="s">
        <v>2105</v>
      </c>
      <c r="L6" s="294" t="s">
        <v>696</v>
      </c>
      <c r="M6" s="295" t="e">
        <f ca="1">INDIRECT("'数据-取费表'!z"&amp;$G$1)</f>
        <v>#N/A</v>
      </c>
    </row>
    <row r="7" spans="1:37" ht="18" customHeight="1">
      <c r="A7" s="1009"/>
      <c r="B7" s="3473"/>
      <c r="C7" s="1011"/>
      <c r="D7" s="299"/>
      <c r="E7" s="1012" t="s">
        <v>697</v>
      </c>
      <c r="F7" s="295" t="e">
        <f ca="1">IF(INDIRECT("'数据-取费表'!ah"&amp;$G$1)="",INDIRECT("'数据-取费表'!k"&amp;$G$1),INDIRECT("'数据-取费表'!ah"&amp;$G$1))</f>
        <v>#N/A</v>
      </c>
      <c r="G7" s="1291"/>
      <c r="H7" s="296"/>
      <c r="I7" s="3473"/>
      <c r="J7" s="298"/>
      <c r="K7" s="299"/>
      <c r="L7" s="294" t="s">
        <v>697</v>
      </c>
      <c r="M7" s="295" t="e">
        <f ca="1">F7</f>
        <v>#N/A</v>
      </c>
    </row>
    <row r="8" spans="1:37" ht="18" customHeight="1">
      <c r="A8" s="296"/>
      <c r="B8" s="3473"/>
      <c r="C8" s="298"/>
      <c r="D8" s="299"/>
      <c r="E8" s="294" t="s">
        <v>698</v>
      </c>
      <c r="F8" s="295" t="e">
        <f ca="1">INDIRECT("'数据-取费表'!ai"&amp;$G$1)</f>
        <v>#N/A</v>
      </c>
      <c r="G8" s="1291"/>
      <c r="H8" s="296"/>
      <c r="I8" s="3473"/>
      <c r="J8" s="298"/>
      <c r="K8" s="299"/>
      <c r="L8" s="294" t="s">
        <v>698</v>
      </c>
      <c r="M8" s="295" t="e">
        <f ca="1">INDIRECT("'数据-取费表'!ai"&amp;$G$1)</f>
        <v>#N/A</v>
      </c>
    </row>
    <row r="9" spans="1:37" ht="18" customHeight="1">
      <c r="A9" s="296"/>
      <c r="B9" s="3474"/>
      <c r="C9" s="298"/>
      <c r="D9" s="299"/>
      <c r="E9" s="294" t="s">
        <v>699</v>
      </c>
      <c r="F9" s="304" t="e">
        <f ca="1">INDIRECT("'数据-取费表'!w"&amp;$G$1)</f>
        <v>#N/A</v>
      </c>
      <c r="G9" s="1291"/>
      <c r="H9" s="296"/>
      <c r="I9" s="3474"/>
      <c r="J9" s="298"/>
      <c r="K9" s="299"/>
      <c r="L9" s="305" t="s">
        <v>699</v>
      </c>
      <c r="M9" s="306" t="e">
        <f ca="1">INDIRECT("'数据-取费表'!ab"&amp;$G$1)</f>
        <v>#N/A</v>
      </c>
    </row>
    <row r="10" spans="1:37" ht="18" customHeight="1">
      <c r="A10" s="1005" t="s">
        <v>402</v>
      </c>
      <c r="B10" s="1273" t="s">
        <v>700</v>
      </c>
      <c r="C10" s="308" t="e">
        <f ca="1">ROUND(IF(F10="押一",C6/12*F11,IF(F10="押二",C6/12*2*F11,IF(F10="押三",C6/12*3*F11,C11*F11))),0)</f>
        <v>#N/A</v>
      </c>
      <c r="D10" s="150" t="s">
        <v>2114</v>
      </c>
      <c r="E10" s="305" t="s">
        <v>701</v>
      </c>
      <c r="F10" s="1052" t="s">
        <v>3429</v>
      </c>
      <c r="G10" s="1291"/>
      <c r="H10" s="1005" t="s">
        <v>402</v>
      </c>
      <c r="I10" s="1273" t="s">
        <v>700</v>
      </c>
      <c r="J10" s="293">
        <f ca="1">ROUND(IF(M10="押一",J6/12*M11,IF(M10="押二",J6/12*2*M11,IF(M10="押三",J6/12*3*M11,J11*M11))),0)</f>
        <v>0</v>
      </c>
      <c r="K10" s="150" t="s">
        <v>2113</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4" t="s">
        <v>707</v>
      </c>
      <c r="C14" s="310" t="e">
        <f ca="1">INDIRECT("'数据-取费表'!m"&amp;$G$1)+INDIRECT("'数据-取费表'!t"&amp;$G$1)</f>
        <v>#N/A</v>
      </c>
      <c r="D14" s="1256" t="s">
        <v>708</v>
      </c>
      <c r="E14" s="1254"/>
      <c r="F14" s="311"/>
      <c r="G14" s="1291"/>
      <c r="H14" s="927" t="s">
        <v>398</v>
      </c>
      <c r="I14" s="294" t="s">
        <v>709</v>
      </c>
      <c r="J14" s="21" t="e">
        <f ca="1">C29</f>
        <v>#N/A</v>
      </c>
      <c r="K14" s="12"/>
      <c r="L14" s="758"/>
      <c r="M14" s="759"/>
    </row>
    <row r="15" spans="1:37" s="1303" customFormat="1" ht="18" customHeight="1" thickBot="1">
      <c r="A15" s="927" t="s">
        <v>399</v>
      </c>
      <c r="B15" s="294" t="s">
        <v>710</v>
      </c>
      <c r="C15" s="21" t="e">
        <f ca="1">ROUND(C14*F15,0)</f>
        <v>#N/A</v>
      </c>
      <c r="D15" s="312" t="s">
        <v>711</v>
      </c>
      <c r="E15" s="312" t="s">
        <v>712</v>
      </c>
      <c r="F15" s="313">
        <f>'数据-取费表'!B33</f>
        <v>0.08</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t="e">
        <f ca="1">ROUND(INDIRECT("'数据-取费表'!m"&amp;$G$1)*F16,0)</f>
        <v>#N/A</v>
      </c>
      <c r="D16" s="294" t="s">
        <v>711</v>
      </c>
      <c r="E16" s="294" t="s">
        <v>712</v>
      </c>
      <c r="F16" s="314" t="e">
        <f ca="1">IF(INDIRECT("'数据-取费表'!c"&amp;$G$1)="住宅",'数据-取费表'!B34,0)</f>
        <v>#N/A</v>
      </c>
      <c r="G16" s="1291"/>
      <c r="H16" s="1015" t="s">
        <v>393</v>
      </c>
      <c r="I16" s="1016" t="s">
        <v>714</v>
      </c>
      <c r="J16" s="302" t="e">
        <f ca="1">ROUND(J17+J22+J23+J24,0)</f>
        <v>#N/A</v>
      </c>
      <c r="K16" s="1023" t="s">
        <v>715</v>
      </c>
      <c r="L16" s="1024"/>
      <c r="M16" s="1008"/>
    </row>
    <row r="17" spans="1:37" s="1303" customFormat="1" ht="18" customHeight="1">
      <c r="A17" s="927" t="s">
        <v>681</v>
      </c>
      <c r="B17" s="294" t="s">
        <v>716</v>
      </c>
      <c r="C17" s="21" t="e">
        <f ca="1">ROUND(F17*(F43+INDIRECT("'数据-取费表'!S"&amp;$G$1))/10000,0)</f>
        <v>#N/A</v>
      </c>
      <c r="D17" s="294" t="s">
        <v>717</v>
      </c>
      <c r="E17" s="294" t="s">
        <v>718</v>
      </c>
      <c r="F17" s="23">
        <f>'数据-取费表'!B35</f>
        <v>200</v>
      </c>
      <c r="G17" s="1302"/>
      <c r="H17" s="927" t="s">
        <v>398</v>
      </c>
      <c r="I17" s="294" t="s">
        <v>719</v>
      </c>
      <c r="J17" s="2139" t="e">
        <f ca="1">ROUND(IF(AND(项目基本情况!B11="自然人",项目基本情况!B10="北京市"),J6*M17/(1+'数据-取费表'!C42),J18+J19+J20),2)</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t="e">
        <f ca="1">ROUND(C14*F18,0)</f>
        <v>#N/A</v>
      </c>
      <c r="D18" s="294" t="s">
        <v>711</v>
      </c>
      <c r="E18" s="294" t="s">
        <v>712</v>
      </c>
      <c r="F18" s="314">
        <f>'数据-取费表'!B36</f>
        <v>0.02</v>
      </c>
      <c r="G18" s="1302"/>
      <c r="H18" s="927" t="s">
        <v>397</v>
      </c>
      <c r="I18" s="294" t="s">
        <v>723</v>
      </c>
      <c r="J18" s="21" t="e">
        <f ca="1">ROUND(J6*M18/(1+'数据-取费表'!C42),2)</f>
        <v>#N/A</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t="e">
        <f ca="1">SUM(C14:C18)</f>
        <v>#N/A</v>
      </c>
      <c r="D19" s="123" t="s">
        <v>726</v>
      </c>
      <c r="E19" s="1268"/>
      <c r="F19" s="23"/>
      <c r="G19" s="1291"/>
      <c r="H19" s="927" t="s">
        <v>399</v>
      </c>
      <c r="I19" s="294" t="s">
        <v>727</v>
      </c>
      <c r="J19" s="21" t="e">
        <f ca="1">IF(K19="按租金收入计税",ROUND(J6*M19/(1+'数据-取费表'!C42),2),ROUND(C29*M19*0.7,2))</f>
        <v>#N/A</v>
      </c>
      <c r="K19" s="1277" t="s">
        <v>3329</v>
      </c>
      <c r="L19" s="294" t="s">
        <v>712</v>
      </c>
      <c r="M19" s="314">
        <f>IF(K19="按租金收入计税",'数据-取费表'!B51,'数据-取费表'!B50)</f>
        <v>0.12</v>
      </c>
    </row>
    <row r="20" spans="1:37" s="1303" customFormat="1" ht="18" customHeight="1">
      <c r="A20" s="927" t="s">
        <v>402</v>
      </c>
      <c r="B20" s="294" t="s">
        <v>728</v>
      </c>
      <c r="C20" s="21" t="e">
        <f ca="1">ROUND(C19*F20,0)</f>
        <v>#N/A</v>
      </c>
      <c r="D20" s="315" t="s">
        <v>729</v>
      </c>
      <c r="E20" s="294" t="s">
        <v>712</v>
      </c>
      <c r="F20" s="314">
        <f>'数据-取费表'!B37</f>
        <v>0.02</v>
      </c>
      <c r="G20" s="1302"/>
      <c r="H20" s="927" t="s">
        <v>680</v>
      </c>
      <c r="I20" s="147" t="s">
        <v>730</v>
      </c>
      <c r="J20" s="22" t="e">
        <f ca="1">ROUND(M20*M21/10000,2)</f>
        <v>#N/A</v>
      </c>
      <c r="K20" s="316" t="s">
        <v>731</v>
      </c>
      <c r="L20" s="294" t="s">
        <v>732</v>
      </c>
      <c r="M20" s="317">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0.03</v>
      </c>
      <c r="G21" s="1302"/>
      <c r="H21" s="318"/>
      <c r="I21" s="303"/>
      <c r="J21" s="26"/>
      <c r="K21" s="319"/>
      <c r="L21" s="294" t="s">
        <v>736</v>
      </c>
      <c r="M21" s="295"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t="e">
        <f ca="1">ROUND(J14*M22,2)</f>
        <v>#N/A</v>
      </c>
      <c r="K22" s="1255" t="s">
        <v>739</v>
      </c>
      <c r="L22" s="294" t="s">
        <v>712</v>
      </c>
      <c r="M22" s="320" t="e">
        <f ca="1">INDIRECT("'数据-取费表'!Ak"&amp;$G$1)</f>
        <v>#N/A</v>
      </c>
    </row>
    <row r="23" spans="1:37" s="1303" customFormat="1" ht="18" customHeight="1">
      <c r="A23" s="927"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3</v>
      </c>
      <c r="G23" s="1302"/>
      <c r="H23" s="927" t="s">
        <v>437</v>
      </c>
      <c r="I23" s="294" t="s">
        <v>742</v>
      </c>
      <c r="J23" s="21" t="e">
        <f ca="1">ROUND(J13*M23,2)</f>
        <v>#N/A</v>
      </c>
      <c r="K23" s="1255" t="s">
        <v>743</v>
      </c>
      <c r="L23" s="294" t="s">
        <v>744</v>
      </c>
      <c r="M23" s="321"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2"/>
      <c r="H24" s="1025" t="s">
        <v>684</v>
      </c>
      <c r="I24" s="1026" t="s">
        <v>728</v>
      </c>
      <c r="J24" s="1027" t="e">
        <f ca="1">ROUND(J5*M24,2)</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t="e">
        <f ca="1">J5-J16</f>
        <v>#N/A</v>
      </c>
      <c r="K25" s="1031" t="s">
        <v>753</v>
      </c>
      <c r="L25" s="1032"/>
      <c r="M25" s="1033"/>
    </row>
    <row r="26" spans="1:37">
      <c r="A26" s="927" t="s">
        <v>397</v>
      </c>
      <c r="B26" s="294" t="s">
        <v>754</v>
      </c>
      <c r="C26" s="21" t="e">
        <f ca="1">ROUND((C19+C20)*F26,0)</f>
        <v>#N/A</v>
      </c>
      <c r="D26" s="315" t="s">
        <v>755</v>
      </c>
      <c r="E26" s="305" t="s">
        <v>756</v>
      </c>
      <c r="F26" s="304" t="e">
        <f ca="1">INDIRECT("'数据-取费表'!q"&amp;$G$1)</f>
        <v>#N/A</v>
      </c>
      <c r="G26" s="1291"/>
      <c r="H26" s="291" t="s">
        <v>395</v>
      </c>
      <c r="I26" s="292" t="s">
        <v>757</v>
      </c>
      <c r="J26" s="293" t="e">
        <f ca="1">IF(J5&lt;&gt;0,ROUND(J25*(1-((1+M28)/(1+M26))^M27)/(M26-M28),0),0)</f>
        <v>#N/A</v>
      </c>
      <c r="K26" s="316" t="s">
        <v>758</v>
      </c>
      <c r="L26" s="294" t="s">
        <v>759</v>
      </c>
      <c r="M26" s="304" t="e">
        <f ca="1">INDIRECT("'数据-取费表'!I"&amp;$G$1)</f>
        <v>#N/A</v>
      </c>
    </row>
    <row r="27" spans="1:37" ht="18" customHeight="1">
      <c r="A27" s="927" t="s">
        <v>399</v>
      </c>
      <c r="B27" s="294" t="s">
        <v>760</v>
      </c>
      <c r="C27" s="21" t="e">
        <f ca="1">ROUND(F21*F26,4)</f>
        <v>#N/A</v>
      </c>
      <c r="D27" s="315" t="s">
        <v>761</v>
      </c>
      <c r="E27" s="312"/>
      <c r="F27" s="313"/>
      <c r="G27" s="1291"/>
      <c r="H27" s="296"/>
      <c r="I27" s="297"/>
      <c r="J27" s="298"/>
      <c r="K27" s="323" t="s">
        <v>762</v>
      </c>
      <c r="L27" s="294" t="s">
        <v>763</v>
      </c>
      <c r="M27" s="324" t="e">
        <f ca="1">INDIRECT("'数据-取费表'!ag"&amp;$G$1)</f>
        <v>#N/A</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5" t="s">
        <v>396</v>
      </c>
      <c r="I29" s="326" t="s">
        <v>768</v>
      </c>
      <c r="J29" s="327" t="e">
        <f ca="1">ROUND(J26/(1+F40)^F41,0)</f>
        <v>#N/A</v>
      </c>
      <c r="K29" s="328" t="s">
        <v>769</v>
      </c>
      <c r="L29" s="329"/>
      <c r="M29" s="330"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#N/A</v>
      </c>
      <c r="D30" s="1023" t="s">
        <v>715</v>
      </c>
      <c r="E30" s="1024"/>
      <c r="F30" s="1008"/>
      <c r="G30" s="1291"/>
      <c r="H30" s="2468"/>
      <c r="I30" s="1304"/>
      <c r="J30" s="1305"/>
      <c r="K30" s="121"/>
      <c r="L30" s="2469"/>
      <c r="M30" s="2470"/>
    </row>
    <row r="31" spans="1:37" ht="18" customHeight="1">
      <c r="A31" s="927" t="s">
        <v>398</v>
      </c>
      <c r="B31" s="294" t="s">
        <v>719</v>
      </c>
      <c r="C31" s="2139" t="e">
        <f ca="1">ROUND(IF(AND(项目基本情况!B11="自然人",项目基本情况!B10="北京市"),C6*F31/(1+'数据-取费表'!C42),C32+C33+C34),2)</f>
        <v>#N/A</v>
      </c>
      <c r="D31" s="1256" t="s">
        <v>720</v>
      </c>
      <c r="E31" s="1255" t="s">
        <v>770</v>
      </c>
      <c r="F31" s="2138" t="str">
        <f>IF(项目基本情况!B11="企业","——",IF(M47="住宅",IF(F6*F7*F8/12/(1+'数据-取费表'!F30)&gt;100000,4%,2.5%),IF(F6*F7*F8/12/(1+'数据-取费表'!F30)&gt;100000,12%,7%)))</f>
        <v>——</v>
      </c>
      <c r="G31" s="1291"/>
      <c r="H31" s="2567" t="s">
        <v>2299</v>
      </c>
      <c r="I31" s="1304"/>
      <c r="J31" s="1305"/>
      <c r="K31" s="121"/>
      <c r="L31" s="2469"/>
      <c r="M31" s="2470"/>
    </row>
    <row r="32" spans="1:37" ht="18" customHeight="1">
      <c r="A32" s="927" t="s">
        <v>397</v>
      </c>
      <c r="B32" s="294" t="s">
        <v>723</v>
      </c>
      <c r="C32" s="21" t="e">
        <f ca="1">IF(项目基本情况!B11="自然人","——",ROUND(C6*F32/(1+'数据-取费表'!C42),2))</f>
        <v>#N/A</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t="e">
        <f ca="1">IF(项目基本情况!B11="自然人","——",IF(D33="按租金收入计税",ROUND(C6*F33/(1+'数据-取费表'!C42),2),IF(D33="按房产原值计税",ROUND(C29*F33*0.7,2),INDIRECT("'数据-取费表'!Aj"&amp;$G$1))))</f>
        <v>#N/A</v>
      </c>
      <c r="D33" s="1277" t="s">
        <v>3329</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t="e">
        <f ca="1">IF(项目基本情况!B11="自然人","——",ROUND(F34*F35/10000,2))</f>
        <v>#N/A</v>
      </c>
      <c r="D34" s="316" t="s">
        <v>731</v>
      </c>
      <c r="E34" s="294" t="s">
        <v>732</v>
      </c>
      <c r="F34" s="317">
        <f>'数据-取费表'!B52</f>
        <v>30</v>
      </c>
      <c r="G34" s="1291"/>
      <c r="H34" s="2468"/>
      <c r="I34" s="1304"/>
      <c r="J34" s="1305"/>
      <c r="K34" s="2473"/>
      <c r="L34" s="2474"/>
      <c r="M34" s="2474"/>
    </row>
    <row r="35" spans="1:18" ht="18" customHeight="1">
      <c r="A35" s="1039"/>
      <c r="B35" s="1037"/>
      <c r="C35" s="26"/>
      <c r="D35" s="319"/>
      <c r="E35" s="294" t="s">
        <v>736</v>
      </c>
      <c r="F35" s="295" t="e">
        <f ca="1">INDIRECT("'数据-取费表'!r"&amp;$G$1)</f>
        <v>#N/A</v>
      </c>
      <c r="G35" s="1291"/>
      <c r="H35" s="2468"/>
      <c r="I35" s="1304"/>
      <c r="J35" s="1305"/>
      <c r="K35" s="2472"/>
      <c r="L35" s="2471"/>
      <c r="M35" s="2471"/>
    </row>
    <row r="36" spans="1:18" ht="18" customHeight="1">
      <c r="A36" s="1038" t="s">
        <v>402</v>
      </c>
      <c r="B36" s="294" t="s">
        <v>738</v>
      </c>
      <c r="C36" s="21" t="e">
        <f ca="1">ROUND(C29*F36,2)</f>
        <v>#N/A</v>
      </c>
      <c r="D36" s="1255" t="s">
        <v>771</v>
      </c>
      <c r="E36" s="294" t="s">
        <v>712</v>
      </c>
      <c r="F36" s="320" t="e">
        <f ca="1">INDIRECT("'数据-取费表'!Ak"&amp;$G$1)</f>
        <v>#N/A</v>
      </c>
      <c r="G36" s="1291"/>
      <c r="H36" s="2471"/>
      <c r="I36" s="1304"/>
      <c r="J36" s="1305"/>
      <c r="K36" s="2329"/>
      <c r="L36" s="2471"/>
      <c r="M36" s="2471"/>
    </row>
    <row r="37" spans="1:18" ht="18" customHeight="1">
      <c r="A37" s="927" t="s">
        <v>437</v>
      </c>
      <c r="B37" s="294" t="s">
        <v>742</v>
      </c>
      <c r="C37" s="21" t="e">
        <f ca="1">ROUND(C13*F37,2)</f>
        <v>#N/A</v>
      </c>
      <c r="D37" s="1255" t="s">
        <v>743</v>
      </c>
      <c r="E37" s="294" t="s">
        <v>744</v>
      </c>
      <c r="F37" s="321" t="e">
        <f ca="1">INDIRECT("'数据-取费表'!Al"&amp;$G$1)</f>
        <v>#N/A</v>
      </c>
      <c r="G37" s="1291"/>
      <c r="H37" s="2471"/>
      <c r="I37" s="1304"/>
      <c r="J37" s="1305"/>
      <c r="K37" s="2329"/>
      <c r="L37" s="2471"/>
      <c r="M37" s="2471"/>
    </row>
    <row r="38" spans="1:18" ht="18" customHeight="1" thickBot="1">
      <c r="A38" s="1025" t="s">
        <v>684</v>
      </c>
      <c r="B38" s="1026" t="s">
        <v>728</v>
      </c>
      <c r="C38" s="1027" t="e">
        <f ca="1">ROUND(C5*F38,2)</f>
        <v>#N/A</v>
      </c>
      <c r="D38" s="1028" t="s">
        <v>748</v>
      </c>
      <c r="E38" s="1026" t="s">
        <v>744</v>
      </c>
      <c r="F38" s="1022" t="e">
        <f ca="1">INDIRECT("'数据-取费表'!Am"&amp;$G$1)</f>
        <v>#N/A</v>
      </c>
      <c r="G38" s="1291"/>
      <c r="H38" s="2471"/>
      <c r="I38" s="1304"/>
      <c r="J38" s="1305"/>
      <c r="K38" s="2469"/>
      <c r="L38" s="2471"/>
      <c r="M38" s="2471"/>
    </row>
    <row r="39" spans="1:18" ht="24.6" customHeight="1" thickTop="1">
      <c r="A39" s="1015" t="s">
        <v>394</v>
      </c>
      <c r="B39" s="1030" t="s">
        <v>772</v>
      </c>
      <c r="C39" s="302" t="e">
        <f ca="1">C5-C30</f>
        <v>#N/A</v>
      </c>
      <c r="D39" s="1031" t="s">
        <v>773</v>
      </c>
      <c r="E39" s="1032"/>
      <c r="F39" s="1033"/>
      <c r="G39" s="1291"/>
      <c r="H39" s="2471"/>
      <c r="I39" s="1304"/>
      <c r="J39" s="1305"/>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1"/>
      <c r="H40" s="1365"/>
      <c r="I40" s="1304"/>
      <c r="J40" s="1305"/>
      <c r="K40" s="2469"/>
      <c r="L40" s="1365"/>
      <c r="M40" s="1365"/>
    </row>
    <row r="41" spans="1:18" ht="18" customHeight="1">
      <c r="A41" s="296"/>
      <c r="B41" s="297"/>
      <c r="C41" s="298"/>
      <c r="D41" s="323" t="s">
        <v>775</v>
      </c>
      <c r="E41" s="294" t="s">
        <v>763</v>
      </c>
      <c r="F41" s="324" t="e">
        <f ca="1">IF(INDIRECT("'数据-取费表'!af"&amp;$G$1)=0,INDIRECT("'数据-取费表'!ae"&amp;$G$1),INDIRECT("'数据-取费表'!af"&amp;$G$1))</f>
        <v>#N/A</v>
      </c>
      <c r="G41" s="1291"/>
      <c r="H41" s="121"/>
      <c r="I41" s="1304"/>
      <c r="J41" s="1305"/>
      <c r="K41" s="2329"/>
      <c r="L41" s="121"/>
      <c r="M41" s="121"/>
    </row>
    <row r="42" spans="1:18" ht="18" customHeight="1">
      <c r="A42" s="300"/>
      <c r="B42" s="301"/>
      <c r="C42" s="302"/>
      <c r="D42" s="319"/>
      <c r="E42" s="294" t="s">
        <v>766</v>
      </c>
      <c r="F42" s="304" t="e">
        <f ca="1">INDIRECT("'数据-取费表'!v"&amp;$G$1)</f>
        <v>#N/A</v>
      </c>
      <c r="G42" s="1291"/>
      <c r="H42" s="121"/>
      <c r="I42" s="1304"/>
      <c r="J42" s="1305"/>
      <c r="K42" s="2329"/>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8" thickBot="1">
      <c r="A46" s="1310" t="s">
        <v>809</v>
      </c>
      <c r="C46" s="1311" t="e">
        <f ca="1">C68-C40</f>
        <v>#N/A</v>
      </c>
      <c r="D46" s="1312" t="str">
        <f>C2</f>
        <v>万元</v>
      </c>
      <c r="E46" s="1306"/>
      <c r="F46" s="1306"/>
      <c r="I46" s="1313" t="s">
        <v>810</v>
      </c>
      <c r="J46" s="1314"/>
      <c r="K46" s="1315"/>
      <c r="L46" s="1316" t="e">
        <f ca="1">IF(M47="住宅",0,IF(L48&gt;J51,L60,J60))</f>
        <v>#N/A</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3430</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40.200000000000003" thickBot="1">
      <c r="A48" s="1046" t="s">
        <v>438</v>
      </c>
      <c r="B48" s="292" t="s">
        <v>692</v>
      </c>
      <c r="C48" s="1267" t="e">
        <f ca="1">C49+C53+C55</f>
        <v>#N/A</v>
      </c>
      <c r="D48" s="1048"/>
      <c r="E48" s="1049"/>
      <c r="F48" s="907"/>
      <c r="G48" s="680"/>
      <c r="H48" s="681"/>
      <c r="I48" s="1327" t="s">
        <v>819</v>
      </c>
      <c r="J48" s="1328" t="s">
        <v>3431</v>
      </c>
      <c r="K48" s="1329" t="s">
        <v>820</v>
      </c>
      <c r="L48" s="1330" t="e">
        <f ca="1">INDIRECT("'数据-取费表'!f"&amp;$G$1)</f>
        <v>#N/A</v>
      </c>
      <c r="O48" s="1324" t="s">
        <v>404</v>
      </c>
      <c r="P48" s="1325" t="s">
        <v>821</v>
      </c>
      <c r="Q48" s="1326" t="e">
        <f ca="1">J60</f>
        <v>#N/A</v>
      </c>
      <c r="R48" s="1326" t="s">
        <v>822</v>
      </c>
    </row>
    <row r="49" spans="1:18" s="1291" customFormat="1" ht="13.8" thickBot="1">
      <c r="A49" s="920" t="s">
        <v>439</v>
      </c>
      <c r="B49" s="1278" t="s">
        <v>779</v>
      </c>
      <c r="C49" s="1050" t="e">
        <f ca="1">ROUND(F49*F51*F50*(1-F52)/10000,0)</f>
        <v>#N/A</v>
      </c>
      <c r="D49" s="991" t="s">
        <v>2107</v>
      </c>
      <c r="E49" s="1279" t="s">
        <v>780</v>
      </c>
      <c r="F49" s="996"/>
      <c r="H49" s="681"/>
      <c r="I49" s="1327" t="s">
        <v>823</v>
      </c>
      <c r="J49" s="1331">
        <f>'数据-取费表'!O19</f>
        <v>2010</v>
      </c>
      <c r="K49" s="1329" t="s">
        <v>824</v>
      </c>
      <c r="L49" s="1332"/>
      <c r="O49" s="1333" t="s">
        <v>405</v>
      </c>
      <c r="P49" s="1325" t="s">
        <v>825</v>
      </c>
      <c r="Q49" s="1326" t="e">
        <f ca="1">C29</f>
        <v>#N/A</v>
      </c>
      <c r="R49" s="1326" t="s">
        <v>818</v>
      </c>
    </row>
    <row r="50" spans="1:18" s="1291" customFormat="1" ht="13.8" thickBot="1">
      <c r="A50" s="921"/>
      <c r="B50" s="924"/>
      <c r="C50" s="1054"/>
      <c r="D50" s="898"/>
      <c r="E50" s="992" t="s">
        <v>697</v>
      </c>
      <c r="F50" s="993" t="e">
        <f ca="1">F7</f>
        <v>#N/A</v>
      </c>
      <c r="H50" s="681"/>
      <c r="I50" s="1327" t="s">
        <v>826</v>
      </c>
      <c r="J50" s="1334">
        <f>SUMPRODUCT((I63:I65=J47)*(J62:L62=J48)*(J63:L65))</f>
        <v>60</v>
      </c>
      <c r="K50" s="1329" t="s">
        <v>827</v>
      </c>
      <c r="L50" s="1332"/>
      <c r="M50" s="1335"/>
      <c r="O50" s="1333" t="s">
        <v>406</v>
      </c>
      <c r="P50" s="1325" t="s">
        <v>828</v>
      </c>
      <c r="Q50" s="1336" t="e">
        <f ca="1">J58</f>
        <v>#N/A</v>
      </c>
      <c r="R50" s="1326"/>
    </row>
    <row r="51" spans="1:18" s="1291" customFormat="1" ht="13.8" thickBot="1">
      <c r="A51" s="922"/>
      <c r="B51" s="924"/>
      <c r="C51" s="925"/>
      <c r="D51" s="898"/>
      <c r="E51" s="926" t="s">
        <v>698</v>
      </c>
      <c r="F51" s="295" t="e">
        <f ca="1">F8</f>
        <v>#N/A</v>
      </c>
      <c r="I51" s="1337" t="s">
        <v>829</v>
      </c>
      <c r="J51" s="1330">
        <f>IF(J49="",J50,J49+J50-YEAR('数据-取费表'!B2))</f>
        <v>45</v>
      </c>
      <c r="K51" s="1338" t="s">
        <v>830</v>
      </c>
      <c r="L51" s="1339" t="e">
        <f ca="1">ROUND(-PV(INDIRECT("'数据-取费表'!h"&amp;$G$1),J51,(C39-C13*C76),0),0)</f>
        <v>#N/A</v>
      </c>
      <c r="M51" s="1340"/>
      <c r="O51" s="1333" t="s">
        <v>407</v>
      </c>
      <c r="P51" s="1325" t="s">
        <v>831</v>
      </c>
      <c r="Q51" s="1336">
        <f>J52</f>
        <v>7.0000000000000007E-2</v>
      </c>
      <c r="R51" s="1326"/>
    </row>
    <row r="52" spans="1:18" s="1291" customFormat="1" ht="13.8" thickBot="1">
      <c r="A52" s="922"/>
      <c r="B52" s="924"/>
      <c r="C52" s="925"/>
      <c r="D52" s="898"/>
      <c r="E52" s="926" t="s">
        <v>699</v>
      </c>
      <c r="F52" s="990"/>
      <c r="I52" s="1341" t="s">
        <v>832</v>
      </c>
      <c r="J52" s="1342">
        <v>7.0000000000000007E-2</v>
      </c>
      <c r="K52" s="1341" t="s">
        <v>833</v>
      </c>
      <c r="L52" s="1342"/>
      <c r="O52" s="1333" t="s">
        <v>408</v>
      </c>
      <c r="P52" s="1325" t="s">
        <v>834</v>
      </c>
      <c r="Q52" s="1326" t="e">
        <f ca="1">J53</f>
        <v>#N/A</v>
      </c>
      <c r="R52" s="1326" t="s">
        <v>835</v>
      </c>
    </row>
    <row r="53" spans="1:18" s="1291" customFormat="1" ht="36.6" thickBot="1">
      <c r="A53" s="1078" t="s">
        <v>440</v>
      </c>
      <c r="B53" s="1280" t="s">
        <v>700</v>
      </c>
      <c r="C53" s="308">
        <f ca="1">ROUND(IF(F53="押一",C49/12*F11,IF(F53="押二",C49/12*2*F11,IF(F53="押三",C49/12*3*F11,C54*F11))),0)</f>
        <v>0</v>
      </c>
      <c r="D53" s="150" t="s">
        <v>2113</v>
      </c>
      <c r="E53" s="305" t="s">
        <v>701</v>
      </c>
      <c r="F53" s="1052"/>
      <c r="I53" s="1343" t="s">
        <v>836</v>
      </c>
      <c r="J53" s="2005" t="e">
        <f ca="1">IF(M47="住宅",IF(D1="——",MAX(J51,L48),MAX(J51,L48-'数据-取费表'!B24)),IF(D1="——",MIN(J51,L48),MIN(J51,L48-'数据-取费表'!B24)))</f>
        <v>#N/A</v>
      </c>
      <c r="K53" s="3470" t="s">
        <v>837</v>
      </c>
      <c r="L53" s="3471"/>
      <c r="O53" s="1324" t="s">
        <v>409</v>
      </c>
      <c r="P53" s="1325" t="s">
        <v>838</v>
      </c>
      <c r="Q53" s="1326" t="e">
        <f ca="1">Q47+Q48</f>
        <v>#N/A</v>
      </c>
      <c r="R53" s="1326" t="s">
        <v>410</v>
      </c>
    </row>
    <row r="54" spans="1:18" s="1291" customFormat="1" ht="24.6" thickBot="1">
      <c r="A54" s="1079"/>
      <c r="B54" s="1274" t="s">
        <v>679</v>
      </c>
      <c r="C54" s="904"/>
      <c r="D54" s="150"/>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37.200000000000003" thickTop="1" thickBot="1">
      <c r="A56" s="902">
        <v>2</v>
      </c>
      <c r="B56" s="903" t="s">
        <v>704</v>
      </c>
      <c r="C56" s="224" t="e">
        <f ca="1">C13</f>
        <v>#N/A</v>
      </c>
      <c r="D56" s="1351"/>
      <c r="E56" s="1352"/>
      <c r="F56" s="1344"/>
      <c r="I56" s="1353" t="s">
        <v>842</v>
      </c>
      <c r="J56" s="1354"/>
      <c r="K56" s="1327" t="s">
        <v>843</v>
      </c>
      <c r="L56" s="1330" t="e">
        <f ca="1">IF(L48&lt;J51,"——",L48-J53)</f>
        <v>#N/A</v>
      </c>
      <c r="O56" s="1324" t="s">
        <v>403</v>
      </c>
      <c r="P56" s="1325" t="s">
        <v>817</v>
      </c>
      <c r="Q56" s="1326" t="e">
        <f ca="1">C40+J29</f>
        <v>#N/A</v>
      </c>
      <c r="R56" s="1326" t="s">
        <v>818</v>
      </c>
    </row>
    <row r="57" spans="1:18" s="1291" customFormat="1" ht="24.6" thickBot="1">
      <c r="A57" s="1355"/>
      <c r="B57" s="895" t="s">
        <v>767</v>
      </c>
      <c r="C57" s="230" t="e">
        <f ca="1">C29</f>
        <v>#N/A</v>
      </c>
      <c r="D57" s="1356"/>
      <c r="E57" s="1357"/>
      <c r="F57" s="1358"/>
      <c r="I57" s="1359" t="s">
        <v>844</v>
      </c>
      <c r="J57" s="1360" t="e">
        <f ca="1">IF(OR(M47="住宅",J51&lt;L48,J56="是"),"——",J51-L48)</f>
        <v>#N/A</v>
      </c>
      <c r="K57" s="1327" t="s">
        <v>845</v>
      </c>
      <c r="L57" s="1330" t="e">
        <f ca="1">IF(L48&lt;J51,"——",IF(L55="比较法",L49,IF(L55="基准地价",L50,L51)))</f>
        <v>#N/A</v>
      </c>
      <c r="O57" s="1324" t="s">
        <v>404</v>
      </c>
      <c r="P57" s="1325" t="s">
        <v>846</v>
      </c>
      <c r="Q57" s="1326" t="e">
        <f ca="1">L60</f>
        <v>#N/A</v>
      </c>
      <c r="R57" s="1326" t="s">
        <v>847</v>
      </c>
    </row>
    <row r="58" spans="1:18" s="1291" customFormat="1" ht="24.6" thickBot="1">
      <c r="A58" s="307" t="s">
        <v>393</v>
      </c>
      <c r="B58" s="903" t="s">
        <v>714</v>
      </c>
      <c r="C58" s="308" t="e">
        <f ca="1">ROUND(C59+C64+C65+C66,0)</f>
        <v>#N/A</v>
      </c>
      <c r="D58" s="905" t="s">
        <v>715</v>
      </c>
      <c r="E58" s="906"/>
      <c r="F58" s="907"/>
      <c r="I58" s="1359" t="s">
        <v>848</v>
      </c>
      <c r="J58" s="1361" t="e">
        <f ca="1">IF(J55&lt;0.4,0.4,J55)</f>
        <v>#N/A</v>
      </c>
      <c r="K58" s="1338" t="s">
        <v>849</v>
      </c>
      <c r="L58" s="1330" t="e">
        <f ca="1">ROUND(POWER(1+L52,L47-L48)*(POWER(1+L52,L48)-1)/(POWER(1+L52,L47)-1),4)</f>
        <v>#N/A</v>
      </c>
      <c r="O58" s="1333" t="s">
        <v>405</v>
      </c>
      <c r="P58" s="1325" t="s">
        <v>850</v>
      </c>
      <c r="Q58" s="1326">
        <f>IF(L55="比较法",L49,IF(L55="基准地价",L50,0))</f>
        <v>0</v>
      </c>
      <c r="R58" s="1326" t="s">
        <v>818</v>
      </c>
    </row>
    <row r="59" spans="1:18" s="1291" customFormat="1" ht="24.6"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852</v>
      </c>
      <c r="Q59" s="1336">
        <f>L52</f>
        <v>0</v>
      </c>
      <c r="R59" s="1326"/>
    </row>
    <row r="60" spans="1:18" s="1291" customFormat="1" ht="16.2" thickBot="1">
      <c r="A60" s="927" t="s">
        <v>397</v>
      </c>
      <c r="B60" s="895" t="s">
        <v>723</v>
      </c>
      <c r="C60" s="21" t="e">
        <f ca="1">IF(项目基本情况!B11="自然人","——",ROUND(C48*F60/(1+'数据-取费表'!C42),2))</f>
        <v>#N/A</v>
      </c>
      <c r="D60" s="909" t="s">
        <v>724</v>
      </c>
      <c r="E60" s="895" t="s">
        <v>712</v>
      </c>
      <c r="F60" s="322">
        <f t="shared" ref="F60:F66" si="0">F32</f>
        <v>5.6000000000000001E-2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8" thickBot="1">
      <c r="A61" s="927" t="s">
        <v>781</v>
      </c>
      <c r="B61" s="895" t="s">
        <v>782</v>
      </c>
      <c r="C61" s="21" t="e">
        <f ca="1">IF(项目基本情况!B11="自然人","——",IF(D61="按租金收入计税",ROUND(C49*F61/(1+'数据-取费表'!C42),2),IF(D61="按房产原值计税",ROUND(C57*F61*0.7,2),INDIRECT("'数据-取费表'!Aj"&amp;$G$1))))</f>
        <v>#N/A</v>
      </c>
      <c r="D61" s="1277" t="s">
        <v>3329</v>
      </c>
      <c r="E61" s="895" t="s">
        <v>783</v>
      </c>
      <c r="F61" s="314">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8" thickBot="1">
      <c r="A62" s="927" t="s">
        <v>784</v>
      </c>
      <c r="B62" s="894" t="s">
        <v>785</v>
      </c>
      <c r="C62" s="22" t="e">
        <f ca="1">IF(项目基本情况!B11="自然人","——",ROUND(F62*F63/10000,2))</f>
        <v>#N/A</v>
      </c>
      <c r="D62" s="910" t="s">
        <v>786</v>
      </c>
      <c r="E62" s="895" t="s">
        <v>787</v>
      </c>
      <c r="F62" s="317">
        <f t="shared" si="0"/>
        <v>30</v>
      </c>
      <c r="I62" s="1366" t="s">
        <v>858</v>
      </c>
      <c r="J62" s="610" t="s">
        <v>859</v>
      </c>
      <c r="K62" s="610" t="s">
        <v>860</v>
      </c>
      <c r="L62" s="610" t="s">
        <v>861</v>
      </c>
      <c r="M62" s="1367" t="s">
        <v>862</v>
      </c>
      <c r="O62" s="1324" t="s">
        <v>409</v>
      </c>
      <c r="P62" s="1325" t="s">
        <v>863</v>
      </c>
      <c r="Q62" s="1326" t="e">
        <f ca="1">Q56+Q57</f>
        <v>#N/A</v>
      </c>
      <c r="R62" s="1326" t="s">
        <v>410</v>
      </c>
    </row>
    <row r="63" spans="1:18" s="1291" customFormat="1" ht="13.8" thickBot="1">
      <c r="A63" s="318"/>
      <c r="B63" s="901"/>
      <c r="C63" s="26"/>
      <c r="D63" s="911"/>
      <c r="E63" s="895" t="s">
        <v>788</v>
      </c>
      <c r="F63" s="295" t="e">
        <f t="shared" ca="1" si="0"/>
        <v>#N/A</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t="e">
        <f ca="1">ROUND(C57*F64,2)</f>
        <v>#N/A</v>
      </c>
      <c r="D64" s="909" t="s">
        <v>791</v>
      </c>
      <c r="E64" s="895" t="s">
        <v>783</v>
      </c>
      <c r="F64" s="320" t="e">
        <f t="shared" ca="1" si="0"/>
        <v>#N/A</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t="e">
        <f ca="1">ROUND(C56*F65,2)</f>
        <v>#N/A</v>
      </c>
      <c r="D65" s="909" t="s">
        <v>743</v>
      </c>
      <c r="E65" s="895" t="s">
        <v>744</v>
      </c>
      <c r="F65" s="321" t="e">
        <f t="shared" ca="1" si="0"/>
        <v>#N/A</v>
      </c>
      <c r="I65" s="1366" t="s">
        <v>867</v>
      </c>
      <c r="J65" s="610">
        <v>40</v>
      </c>
      <c r="K65" s="610">
        <v>30</v>
      </c>
      <c r="L65" s="610">
        <v>50</v>
      </c>
      <c r="M65" s="1368">
        <v>0.02</v>
      </c>
      <c r="O65" s="1324" t="s">
        <v>403</v>
      </c>
      <c r="P65" s="1325" t="s">
        <v>868</v>
      </c>
      <c r="Q65" s="1326" t="e">
        <f ca="1">C40+J29</f>
        <v>#N/A</v>
      </c>
      <c r="R65" s="1326" t="s">
        <v>818</v>
      </c>
    </row>
    <row r="66" spans="1:18" s="1291" customFormat="1" ht="16.2" thickBot="1">
      <c r="A66" s="927" t="s">
        <v>793</v>
      </c>
      <c r="B66" s="895" t="s">
        <v>728</v>
      </c>
      <c r="C66" s="21" t="e">
        <f ca="1">ROUND(C48*F66,2)</f>
        <v>#N/A</v>
      </c>
      <c r="D66" s="909" t="s">
        <v>794</v>
      </c>
      <c r="E66" s="895" t="s">
        <v>712</v>
      </c>
      <c r="F66" s="304" t="e">
        <f t="shared" ca="1" si="0"/>
        <v>#N/A</v>
      </c>
      <c r="O66" s="1324" t="s">
        <v>404</v>
      </c>
      <c r="P66" s="1325" t="s">
        <v>846</v>
      </c>
      <c r="Q66" s="1326" t="e">
        <f ca="1">L60</f>
        <v>#N/A</v>
      </c>
      <c r="R66" s="1326" t="s">
        <v>869</v>
      </c>
    </row>
    <row r="67" spans="1:18" s="1291" customFormat="1" ht="24.6" thickBot="1">
      <c r="A67" s="902" t="s">
        <v>394</v>
      </c>
      <c r="B67" s="912" t="s">
        <v>752</v>
      </c>
      <c r="C67" s="308" t="e">
        <f ca="1">C48-C58</f>
        <v>#N/A</v>
      </c>
      <c r="D67" s="908" t="s">
        <v>753</v>
      </c>
      <c r="E67" s="913"/>
      <c r="F67" s="914"/>
      <c r="O67" s="1333" t="s">
        <v>405</v>
      </c>
      <c r="P67" s="1325" t="s">
        <v>850</v>
      </c>
      <c r="Q67" s="1369" t="e">
        <f ca="1">L51</f>
        <v>#N/A</v>
      </c>
      <c r="R67" s="1326" t="s">
        <v>870</v>
      </c>
    </row>
    <row r="68" spans="1:18" s="1291" customFormat="1" ht="16.2" thickBot="1">
      <c r="A68" s="892" t="s">
        <v>395</v>
      </c>
      <c r="B68" s="893" t="s">
        <v>774</v>
      </c>
      <c r="C68" s="293" t="e">
        <f ca="1">ROUND(C67*(1-((1+F70)/(1+F68))^F69)/(F68-F70),0)</f>
        <v>#N/A</v>
      </c>
      <c r="D68" s="910" t="s">
        <v>758</v>
      </c>
      <c r="E68" s="895" t="s">
        <v>759</v>
      </c>
      <c r="F68" s="304" t="e">
        <f ca="1">F40</f>
        <v>#N/A</v>
      </c>
      <c r="O68" s="1333" t="s">
        <v>406</v>
      </c>
      <c r="P68" s="1370" t="s">
        <v>871</v>
      </c>
      <c r="Q68" s="1326" t="e">
        <f ca="1">ROUND(Q69-Q70*Q71,0)</f>
        <v>#N/A</v>
      </c>
      <c r="R68" s="1326" t="s">
        <v>414</v>
      </c>
    </row>
    <row r="69" spans="1:18" s="1291" customFormat="1" ht="13.8" thickBot="1">
      <c r="A69" s="896"/>
      <c r="B69" s="897"/>
      <c r="C69" s="298"/>
      <c r="D69" s="915" t="s">
        <v>762</v>
      </c>
      <c r="E69" s="895" t="s">
        <v>763</v>
      </c>
      <c r="F69" s="324" t="e">
        <f ca="1">F41</f>
        <v>#N/A</v>
      </c>
      <c r="O69" s="1333" t="s">
        <v>411</v>
      </c>
      <c r="P69" s="1370" t="s">
        <v>872</v>
      </c>
      <c r="Q69" s="1326" t="e">
        <f ca="1">C39</f>
        <v>#N/A</v>
      </c>
      <c r="R69" s="1326" t="s">
        <v>818</v>
      </c>
    </row>
    <row r="70" spans="1:18" s="1291" customFormat="1" ht="13.8" thickBot="1">
      <c r="A70" s="899"/>
      <c r="B70" s="900"/>
      <c r="C70" s="302"/>
      <c r="D70" s="911"/>
      <c r="E70" s="895" t="s">
        <v>766</v>
      </c>
      <c r="F70" s="990"/>
      <c r="O70" s="1333" t="s">
        <v>412</v>
      </c>
      <c r="P70" s="1370" t="s">
        <v>873</v>
      </c>
      <c r="Q70" s="1326" t="e">
        <f ca="1">C13</f>
        <v>#N/A</v>
      </c>
      <c r="R70" s="1326" t="s">
        <v>818</v>
      </c>
    </row>
    <row r="71" spans="1:18" s="1291" customFormat="1" ht="13.8" thickBot="1">
      <c r="A71" s="916" t="s">
        <v>396</v>
      </c>
      <c r="B71" s="917" t="s">
        <v>776</v>
      </c>
      <c r="C71" s="327" t="e">
        <f ca="1">ROUND(C68*10000/F71,0)</f>
        <v>#N/A</v>
      </c>
      <c r="D71" s="918" t="s">
        <v>777</v>
      </c>
      <c r="E71" s="919" t="s">
        <v>778</v>
      </c>
      <c r="F71" s="330" t="e">
        <f ca="1">F43</f>
        <v>#N/A</v>
      </c>
      <c r="O71" s="1333" t="s">
        <v>413</v>
      </c>
      <c r="P71" s="1370" t="s">
        <v>874</v>
      </c>
      <c r="Q71" s="1336" t="e">
        <f ca="1">C76</f>
        <v>#N/A</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#N/A</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#N/A</v>
      </c>
      <c r="R74" s="1326" t="s">
        <v>857</v>
      </c>
    </row>
    <row r="75" spans="1:18" ht="13.8" thickBot="1">
      <c r="A75" s="1291"/>
      <c r="B75" s="331" t="s">
        <v>795</v>
      </c>
      <c r="C75" s="332" t="e">
        <f ca="1">ROUND(C13*C76,0)</f>
        <v>#N/A</v>
      </c>
      <c r="D75" s="1291"/>
      <c r="E75" s="1291"/>
      <c r="F75" s="1291"/>
      <c r="K75" s="1308"/>
      <c r="L75" s="1291"/>
      <c r="O75" s="1324" t="s">
        <v>409</v>
      </c>
      <c r="P75" s="1325" t="s">
        <v>838</v>
      </c>
      <c r="Q75" s="1326" t="e">
        <f ca="1">Q65+Q66</f>
        <v>#N/A</v>
      </c>
      <c r="R75" s="1326" t="s">
        <v>410</v>
      </c>
    </row>
    <row r="76" spans="1:18">
      <c r="B76" s="333" t="s">
        <v>796</v>
      </c>
      <c r="C76" s="334" t="e">
        <f ca="1">INDIRECT("'数据-取费表'!j"&amp;$G$1)</f>
        <v>#N/A</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1" zoomScale="70" zoomScaleNormal="70" zoomScaleSheetLayoutView="70" workbookViewId="0">
      <selection activeCell="E57" sqref="E5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t="s">
        <v>21</v>
      </c>
      <c r="D1" s="1270" t="s">
        <v>43</v>
      </c>
      <c r="E1" s="1271" t="s">
        <v>678</v>
      </c>
      <c r="F1" s="998" t="e">
        <f ca="1">J53</f>
        <v>#N/A</v>
      </c>
      <c r="G1" s="1285" t="e">
        <f>MATCH(C1,'数据-取费表'!A6:A16,0)+5</f>
        <v>#N/A</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t="e">
        <f ca="1">ROUND(D2/10000,4)</f>
        <v>#N/A</v>
      </c>
      <c r="C2" s="1288" t="s">
        <v>879</v>
      </c>
      <c r="D2" s="1374" t="e">
        <f ca="1">C40+J29+L46</f>
        <v>#N/A</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t="e">
        <f ca="1">C6+C10+C12</f>
        <v>#N/A</v>
      </c>
      <c r="D5" s="1272" t="s">
        <v>889</v>
      </c>
      <c r="E5" s="1007"/>
      <c r="F5" s="1008"/>
      <c r="G5" s="1291"/>
      <c r="H5" s="291">
        <v>1</v>
      </c>
      <c r="I5" s="292" t="s">
        <v>888</v>
      </c>
      <c r="J5" s="1006" t="e">
        <f ca="1">J6+J10+J12</f>
        <v>#N/A</v>
      </c>
      <c r="K5" s="1272" t="s">
        <v>889</v>
      </c>
      <c r="L5" s="1007"/>
      <c r="M5" s="1008"/>
    </row>
    <row r="6" spans="1:37" ht="18" customHeight="1">
      <c r="A6" s="1005" t="s">
        <v>398</v>
      </c>
      <c r="B6" s="3472" t="s">
        <v>694</v>
      </c>
      <c r="C6" s="1010" t="e">
        <f ca="1">ROUND(F6*F8*F7*(1-F9),0)</f>
        <v>#N/A</v>
      </c>
      <c r="D6" s="147" t="s">
        <v>2103</v>
      </c>
      <c r="E6" s="294" t="s">
        <v>696</v>
      </c>
      <c r="F6" s="295" t="e">
        <f ca="1">INDIRECT("'数据-取费表'!u"&amp;$G$1)</f>
        <v>#N/A</v>
      </c>
      <c r="G6" s="1291"/>
      <c r="H6" s="1005" t="s">
        <v>398</v>
      </c>
      <c r="I6" s="3472" t="s">
        <v>694</v>
      </c>
      <c r="J6" s="293" t="e">
        <f ca="1">ROUND(M6*M8*M7*(1-M9),0)</f>
        <v>#N/A</v>
      </c>
      <c r="K6" s="1283" t="s">
        <v>2104</v>
      </c>
      <c r="L6" s="294" t="s">
        <v>696</v>
      </c>
      <c r="M6" s="295" t="e">
        <f ca="1">INDIRECT("'数据-取费表'!z"&amp;$G$1)</f>
        <v>#N/A</v>
      </c>
    </row>
    <row r="7" spans="1:37" ht="18" customHeight="1">
      <c r="A7" s="1009"/>
      <c r="B7" s="3473"/>
      <c r="C7" s="1011"/>
      <c r="D7" s="299"/>
      <c r="E7" s="1012" t="s">
        <v>697</v>
      </c>
      <c r="F7" s="295" t="e">
        <f ca="1">IF(INDIRECT("'数据-取费表'!ah"&amp;$G$1)="",INDIRECT("'数据-取费表'!k"&amp;$G$1),INDIRECT("'数据-取费表'!ah"&amp;$G$1))</f>
        <v>#N/A</v>
      </c>
      <c r="G7" s="1291"/>
      <c r="H7" s="296"/>
      <c r="I7" s="3473"/>
      <c r="J7" s="298"/>
      <c r="K7" s="299"/>
      <c r="L7" s="294" t="s">
        <v>697</v>
      </c>
      <c r="M7" s="295" t="e">
        <f ca="1">F7</f>
        <v>#N/A</v>
      </c>
    </row>
    <row r="8" spans="1:37" ht="18" customHeight="1">
      <c r="A8" s="296"/>
      <c r="B8" s="3473"/>
      <c r="C8" s="298"/>
      <c r="D8" s="299"/>
      <c r="E8" s="294" t="s">
        <v>698</v>
      </c>
      <c r="F8" s="295" t="e">
        <f ca="1">INDIRECT("'数据-取费表'!ai"&amp;$G$1)</f>
        <v>#N/A</v>
      </c>
      <c r="G8" s="1291"/>
      <c r="H8" s="296"/>
      <c r="I8" s="3473"/>
      <c r="J8" s="298"/>
      <c r="K8" s="299"/>
      <c r="L8" s="294" t="s">
        <v>698</v>
      </c>
      <c r="M8" s="295" t="e">
        <f ca="1">INDIRECT("'数据-取费表'!ai"&amp;$G$1)</f>
        <v>#N/A</v>
      </c>
    </row>
    <row r="9" spans="1:37" ht="18" customHeight="1">
      <c r="A9" s="296"/>
      <c r="B9" s="3474"/>
      <c r="C9" s="298"/>
      <c r="D9" s="299"/>
      <c r="E9" s="294" t="s">
        <v>699</v>
      </c>
      <c r="F9" s="304" t="e">
        <f ca="1">INDIRECT("'数据-取费表'!w"&amp;$G$1)</f>
        <v>#N/A</v>
      </c>
      <c r="G9" s="1291"/>
      <c r="H9" s="296"/>
      <c r="I9" s="3474"/>
      <c r="J9" s="298"/>
      <c r="K9" s="299"/>
      <c r="L9" s="305" t="s">
        <v>699</v>
      </c>
      <c r="M9" s="306" t="e">
        <f ca="1">INDIRECT("'数据-取费表'!ab"&amp;$G$1)</f>
        <v>#N/A</v>
      </c>
    </row>
    <row r="10" spans="1:37" ht="18" customHeight="1">
      <c r="A10" s="1005" t="s">
        <v>402</v>
      </c>
      <c r="B10" s="1273" t="s">
        <v>700</v>
      </c>
      <c r="C10" s="308" t="e">
        <f ca="1">ROUND(IF(F10="押一",C6/12*F11,IF(F10="押二",C6/12*2*F11,IF(F10="押三",C6/12*3*F11,C11*F11))),0)</f>
        <v>#N/A</v>
      </c>
      <c r="D10" s="150" t="s">
        <v>2113</v>
      </c>
      <c r="E10" s="305" t="s">
        <v>701</v>
      </c>
      <c r="F10" s="1052" t="s">
        <v>3429</v>
      </c>
      <c r="G10" s="1291"/>
      <c r="H10" s="1005" t="s">
        <v>402</v>
      </c>
      <c r="I10" s="1273" t="s">
        <v>700</v>
      </c>
      <c r="J10" s="293">
        <f ca="1">ROUND(IF(M10="押一",J6/12*M11,IF(M10="押二",J6/12*2*M11,IF(M10="押三",J6/12*3*M11,J11*M11))),0)</f>
        <v>0</v>
      </c>
      <c r="K10" s="1284" t="s">
        <v>2115</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4" t="s">
        <v>707</v>
      </c>
      <c r="C14" s="310" t="e">
        <f ca="1">ROUND(INDIRECT("'数据-取费表'!l"&amp;$G$1)*F43+'数据-取费表'!L14*INDIRECT("'数据-取费表'!S"&amp;$G$1),0)</f>
        <v>#N/A</v>
      </c>
      <c r="D14" s="1256" t="s">
        <v>708</v>
      </c>
      <c r="E14" s="1254"/>
      <c r="F14" s="311"/>
      <c r="G14" s="1291"/>
      <c r="H14" s="927" t="s">
        <v>398</v>
      </c>
      <c r="I14" s="294" t="s">
        <v>709</v>
      </c>
      <c r="J14" s="21" t="e">
        <f ca="1">C29</f>
        <v>#N/A</v>
      </c>
      <c r="K14" s="12"/>
      <c r="L14" s="758"/>
      <c r="M14" s="759"/>
    </row>
    <row r="15" spans="1:37" s="1303" customFormat="1" ht="18" customHeight="1" thickBot="1">
      <c r="A15" s="927" t="s">
        <v>399</v>
      </c>
      <c r="B15" s="294" t="s">
        <v>710</v>
      </c>
      <c r="C15" s="21" t="e">
        <f ca="1">ROUND(C14*F15,0)</f>
        <v>#N/A</v>
      </c>
      <c r="D15" s="312" t="s">
        <v>711</v>
      </c>
      <c r="E15" s="312" t="s">
        <v>712</v>
      </c>
      <c r="F15" s="313">
        <f>'数据-取费表'!B33</f>
        <v>0.08</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t="e">
        <f ca="1">ROUND(INDIRECT("'数据-取费表'!l"&amp;$G$1)*F43*F16,0)</f>
        <v>#N/A</v>
      </c>
      <c r="D16" s="294" t="s">
        <v>711</v>
      </c>
      <c r="E16" s="294" t="s">
        <v>712</v>
      </c>
      <c r="F16" s="314" t="e">
        <f ca="1">IF(INDIRECT("'数据-取费表'!c"&amp;$G$1)="住宅",'数据-取费表'!B34,0)</f>
        <v>#N/A</v>
      </c>
      <c r="G16" s="1291"/>
      <c r="H16" s="1015" t="s">
        <v>393</v>
      </c>
      <c r="I16" s="1016" t="s">
        <v>714</v>
      </c>
      <c r="J16" s="302" t="e">
        <f ca="1">ROUND(J17+J22+J23+J24,0)</f>
        <v>#N/A</v>
      </c>
      <c r="K16" s="1023" t="s">
        <v>715</v>
      </c>
      <c r="L16" s="1024"/>
      <c r="M16" s="1008"/>
    </row>
    <row r="17" spans="1:37" s="1303" customFormat="1" ht="18" customHeight="1">
      <c r="A17" s="927" t="s">
        <v>681</v>
      </c>
      <c r="B17" s="294" t="s">
        <v>716</v>
      </c>
      <c r="C17" s="21" t="e">
        <f ca="1">ROUND(F17*(F43+INDIRECT("'数据-取费表'!S"&amp;$G$1)),0)</f>
        <v>#N/A</v>
      </c>
      <c r="D17" s="294" t="s">
        <v>717</v>
      </c>
      <c r="E17" s="294" t="s">
        <v>718</v>
      </c>
      <c r="F17" s="23">
        <f>'数据-取费表'!B35</f>
        <v>200</v>
      </c>
      <c r="G17" s="1302"/>
      <c r="H17" s="927" t="s">
        <v>398</v>
      </c>
      <c r="I17" s="294" t="s">
        <v>719</v>
      </c>
      <c r="J17" s="2139" t="e">
        <f ca="1">ROUND(IF(AND(项目基本情况!B11="自然人",项目基本情况!B10="北京市"),J6*M17/(1+'数据-取费表'!C42),J18+J19+J20),0)</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t="e">
        <f ca="1">ROUND(C14*F18,0)</f>
        <v>#N/A</v>
      </c>
      <c r="D18" s="294" t="s">
        <v>711</v>
      </c>
      <c r="E18" s="294" t="s">
        <v>712</v>
      </c>
      <c r="F18" s="314">
        <f>'数据-取费表'!B36</f>
        <v>0.02</v>
      </c>
      <c r="G18" s="1302"/>
      <c r="H18" s="927" t="s">
        <v>397</v>
      </c>
      <c r="I18" s="294" t="s">
        <v>723</v>
      </c>
      <c r="J18" s="21" t="e">
        <f ca="1">ROUND(J6*M18/(1+'数据-取费表'!C42),0)</f>
        <v>#N/A</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t="e">
        <f ca="1">SUM(C14:C18)</f>
        <v>#N/A</v>
      </c>
      <c r="D19" s="123" t="s">
        <v>726</v>
      </c>
      <c r="E19" s="1268"/>
      <c r="F19" s="23"/>
      <c r="G19" s="1291"/>
      <c r="H19" s="927" t="s">
        <v>399</v>
      </c>
      <c r="I19" s="294" t="s">
        <v>727</v>
      </c>
      <c r="J19" s="21" t="e">
        <f ca="1">IF(K19="按租金收入计税",ROUND(J6*M19/(1+'数据-取费表'!C42),0),ROUND(C29*M19*0.7,0))</f>
        <v>#N/A</v>
      </c>
      <c r="K19" s="1277" t="s">
        <v>3329</v>
      </c>
      <c r="L19" s="294" t="s">
        <v>712</v>
      </c>
      <c r="M19" s="314">
        <f>IF(K19="按租金收入计税",'数据-取费表'!B51,'数据-取费表'!B50)</f>
        <v>0.12</v>
      </c>
    </row>
    <row r="20" spans="1:37" s="1303" customFormat="1" ht="18" customHeight="1">
      <c r="A20" s="927" t="s">
        <v>402</v>
      </c>
      <c r="B20" s="294" t="s">
        <v>728</v>
      </c>
      <c r="C20" s="21" t="e">
        <f ca="1">ROUND(C19*F20,0)</f>
        <v>#N/A</v>
      </c>
      <c r="D20" s="315" t="s">
        <v>729</v>
      </c>
      <c r="E20" s="294" t="s">
        <v>712</v>
      </c>
      <c r="F20" s="314">
        <f>'数据-取费表'!B37</f>
        <v>0.02</v>
      </c>
      <c r="G20" s="1302"/>
      <c r="H20" s="927" t="s">
        <v>680</v>
      </c>
      <c r="I20" s="147" t="s">
        <v>730</v>
      </c>
      <c r="J20" s="22" t="e">
        <f ca="1">ROUND(M20*M21,0)</f>
        <v>#N/A</v>
      </c>
      <c r="K20" s="316" t="s">
        <v>731</v>
      </c>
      <c r="L20" s="294" t="s">
        <v>732</v>
      </c>
      <c r="M20" s="317">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0.03</v>
      </c>
      <c r="G21" s="1302"/>
      <c r="H21" s="318"/>
      <c r="I21" s="303"/>
      <c r="J21" s="26"/>
      <c r="K21" s="319"/>
      <c r="L21" s="294" t="s">
        <v>736</v>
      </c>
      <c r="M21" s="295"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t="e">
        <f ca="1">ROUND(J14*M22,0)</f>
        <v>#N/A</v>
      </c>
      <c r="K22" s="1255" t="s">
        <v>739</v>
      </c>
      <c r="L22" s="294" t="s">
        <v>712</v>
      </c>
      <c r="M22" s="320" t="e">
        <f ca="1">INDIRECT("'数据-取费表'!Ak"&amp;$G$1)</f>
        <v>#N/A</v>
      </c>
    </row>
    <row r="23" spans="1:37" s="1303" customFormat="1" ht="18" customHeight="1">
      <c r="A23" s="927"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3</v>
      </c>
      <c r="G23" s="1302"/>
      <c r="H23" s="927" t="s">
        <v>437</v>
      </c>
      <c r="I23" s="294" t="s">
        <v>742</v>
      </c>
      <c r="J23" s="21" t="e">
        <f ca="1">ROUND(J13*M23,0)</f>
        <v>#N/A</v>
      </c>
      <c r="K23" s="1255" t="s">
        <v>743</v>
      </c>
      <c r="L23" s="294" t="s">
        <v>744</v>
      </c>
      <c r="M23" s="321"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2"/>
      <c r="H24" s="1025" t="s">
        <v>684</v>
      </c>
      <c r="I24" s="1026" t="s">
        <v>728</v>
      </c>
      <c r="J24" s="1027" t="e">
        <f ca="1">ROUND(J5*M24,0)</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t="e">
        <f ca="1">J5-J16</f>
        <v>#N/A</v>
      </c>
      <c r="K25" s="1031" t="s">
        <v>753</v>
      </c>
      <c r="L25" s="1032"/>
      <c r="M25" s="1033"/>
    </row>
    <row r="26" spans="1:37" ht="18" customHeight="1">
      <c r="A26" s="927" t="s">
        <v>397</v>
      </c>
      <c r="B26" s="294" t="s">
        <v>754</v>
      </c>
      <c r="C26" s="21" t="e">
        <f ca="1">ROUND((C19+C20)*F26,0)</f>
        <v>#N/A</v>
      </c>
      <c r="D26" s="315" t="s">
        <v>755</v>
      </c>
      <c r="E26" s="305" t="s">
        <v>756</v>
      </c>
      <c r="F26" s="304" t="e">
        <f ca="1">INDIRECT("'数据-取费表'!q"&amp;$G$1)</f>
        <v>#N/A</v>
      </c>
      <c r="G26" s="1291"/>
      <c r="H26" s="291" t="s">
        <v>395</v>
      </c>
      <c r="I26" s="292" t="s">
        <v>757</v>
      </c>
      <c r="J26" s="293" t="e">
        <f ca="1">IF(J5&lt;&gt;0,ROUND(J25*(1-((1+M28)/(1+M26))^M27)/(M26-M28),0),0)</f>
        <v>#N/A</v>
      </c>
      <c r="K26" s="316" t="s">
        <v>758</v>
      </c>
      <c r="L26" s="294" t="s">
        <v>759</v>
      </c>
      <c r="M26" s="304" t="e">
        <f ca="1">INDIRECT("'数据-取费表'!I"&amp;$G$1)</f>
        <v>#N/A</v>
      </c>
    </row>
    <row r="27" spans="1:37" ht="18" customHeight="1">
      <c r="A27" s="927" t="s">
        <v>399</v>
      </c>
      <c r="B27" s="294" t="s">
        <v>760</v>
      </c>
      <c r="C27" s="21" t="e">
        <f ca="1">ROUND(F21*F26,4)</f>
        <v>#N/A</v>
      </c>
      <c r="D27" s="315" t="s">
        <v>761</v>
      </c>
      <c r="E27" s="312"/>
      <c r="F27" s="313"/>
      <c r="G27" s="1291"/>
      <c r="H27" s="296"/>
      <c r="I27" s="297"/>
      <c r="J27" s="298"/>
      <c r="K27" s="323" t="s">
        <v>762</v>
      </c>
      <c r="L27" s="294" t="s">
        <v>763</v>
      </c>
      <c r="M27" s="324" t="e">
        <f ca="1">INDIRECT("'数据-取费表'!ag"&amp;$G$1)</f>
        <v>#N/A</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5" t="s">
        <v>396</v>
      </c>
      <c r="I29" s="326" t="s">
        <v>768</v>
      </c>
      <c r="J29" s="327" t="e">
        <f ca="1">ROUND(J26/(1+F40)^F41,0)</f>
        <v>#N/A</v>
      </c>
      <c r="K29" s="328" t="s">
        <v>769</v>
      </c>
      <c r="L29" s="329"/>
      <c r="M29" s="330"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#N/A</v>
      </c>
      <c r="D30" s="1023" t="s">
        <v>715</v>
      </c>
      <c r="E30" s="1024"/>
      <c r="F30" s="1008"/>
      <c r="G30" s="1291"/>
      <c r="H30" s="2468"/>
      <c r="I30" s="1304"/>
      <c r="J30" s="1305"/>
      <c r="K30" s="121"/>
      <c r="L30" s="2469"/>
      <c r="M30" s="2470"/>
    </row>
    <row r="31" spans="1:37" ht="18" customHeight="1">
      <c r="A31" s="927" t="s">
        <v>398</v>
      </c>
      <c r="B31" s="294" t="s">
        <v>719</v>
      </c>
      <c r="C31" s="2139" t="e">
        <f ca="1">ROUND(IF(AND(项目基本情况!B11="自然人",项目基本情况!B10="北京市"),C6*F31/(1+'数据-取费表'!C42),C32+C33+C34),0)</f>
        <v>#N/A</v>
      </c>
      <c r="D31" s="1256" t="s">
        <v>720</v>
      </c>
      <c r="E31" s="1255" t="s">
        <v>770</v>
      </c>
      <c r="F31" s="2138" t="str">
        <f>IF(项目基本情况!B11="企业","——",IF(M47="住宅",IF(F6*F7*F8/12/(1+'数据-取费表'!F30)&gt;100000,4%,2.5%),IF(F6*F7*F8/12/(1+'数据-取费表'!F30)&gt;100000,12%,7%)))</f>
        <v>——</v>
      </c>
      <c r="G31" s="1291"/>
      <c r="H31" s="2567" t="s">
        <v>2299</v>
      </c>
      <c r="I31" s="1304"/>
      <c r="J31" s="1305"/>
      <c r="K31" s="121"/>
      <c r="L31" s="2469"/>
      <c r="M31" s="2470"/>
    </row>
    <row r="32" spans="1:37" ht="18" customHeight="1">
      <c r="A32" s="927" t="s">
        <v>397</v>
      </c>
      <c r="B32" s="294" t="s">
        <v>723</v>
      </c>
      <c r="C32" s="21" t="e">
        <f ca="1">IF(项目基本情况!B11="自然人","——",ROUND(C6*F32/(1+'数据-取费表'!C42),0))</f>
        <v>#N/A</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t="e">
        <f ca="1">IF(项目基本情况!B11="自然人","——",IF(D33="按租金收入计税",ROUND(C6*F33/(1+'数据-取费表'!C42),0),IF(D33="按房产原值计税",ROUND(C29*F33*0.7,0),INDIRECT("'数据-取费表'!Aj"&amp;$G$1))))</f>
        <v>#N/A</v>
      </c>
      <c r="D33" s="1277" t="s">
        <v>3329</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t="e">
        <f ca="1">IF(项目基本情况!B11="自然人","——",ROUND(F34*F35,0))</f>
        <v>#N/A</v>
      </c>
      <c r="D34" s="316" t="s">
        <v>731</v>
      </c>
      <c r="E34" s="294" t="s">
        <v>732</v>
      </c>
      <c r="F34" s="317">
        <f>'数据-取费表'!B52</f>
        <v>30</v>
      </c>
      <c r="G34" s="1291"/>
      <c r="H34" s="2468"/>
      <c r="I34" s="1304"/>
      <c r="J34" s="1305"/>
      <c r="K34" s="2473"/>
      <c r="L34" s="2474"/>
      <c r="M34" s="2474"/>
    </row>
    <row r="35" spans="1:18" ht="18" customHeight="1">
      <c r="A35" s="1039"/>
      <c r="B35" s="1037"/>
      <c r="C35" s="26"/>
      <c r="D35" s="319"/>
      <c r="E35" s="294" t="s">
        <v>736</v>
      </c>
      <c r="F35" s="295" t="e">
        <f ca="1">INDIRECT("'数据-取费表'!r"&amp;$G$1)</f>
        <v>#N/A</v>
      </c>
      <c r="G35" s="1291"/>
      <c r="H35" s="2468"/>
      <c r="I35" s="1304"/>
      <c r="J35" s="1305"/>
      <c r="K35" s="2472"/>
      <c r="L35" s="2471"/>
      <c r="M35" s="2471"/>
    </row>
    <row r="36" spans="1:18" ht="18" customHeight="1">
      <c r="A36" s="1038" t="s">
        <v>402</v>
      </c>
      <c r="B36" s="294" t="s">
        <v>738</v>
      </c>
      <c r="C36" s="21" t="e">
        <f ca="1">ROUND(C29*F36,0)</f>
        <v>#N/A</v>
      </c>
      <c r="D36" s="1255" t="s">
        <v>771</v>
      </c>
      <c r="E36" s="294" t="s">
        <v>712</v>
      </c>
      <c r="F36" s="320" t="e">
        <f ca="1">INDIRECT("'数据-取费表'!Ak"&amp;$G$1)</f>
        <v>#N/A</v>
      </c>
      <c r="G36" s="1291"/>
      <c r="H36" s="2471"/>
      <c r="I36" s="1304"/>
      <c r="J36" s="1305"/>
      <c r="K36" s="2329"/>
      <c r="L36" s="2471"/>
      <c r="M36" s="2471"/>
    </row>
    <row r="37" spans="1:18" ht="18" customHeight="1">
      <c r="A37" s="927" t="s">
        <v>437</v>
      </c>
      <c r="B37" s="294" t="s">
        <v>742</v>
      </c>
      <c r="C37" s="21" t="e">
        <f ca="1">ROUND(C13*F37,0)</f>
        <v>#N/A</v>
      </c>
      <c r="D37" s="1255" t="s">
        <v>743</v>
      </c>
      <c r="E37" s="294" t="s">
        <v>744</v>
      </c>
      <c r="F37" s="321" t="e">
        <f ca="1">INDIRECT("'数据-取费表'!Al"&amp;$G$1)</f>
        <v>#N/A</v>
      </c>
      <c r="G37" s="1291"/>
      <c r="H37" s="2471"/>
      <c r="I37" s="1304"/>
      <c r="J37" s="1305"/>
      <c r="K37" s="2329"/>
      <c r="L37" s="2471"/>
      <c r="M37" s="2471"/>
    </row>
    <row r="38" spans="1:18" ht="18" customHeight="1" thickBot="1">
      <c r="A38" s="1025" t="s">
        <v>684</v>
      </c>
      <c r="B38" s="1026" t="s">
        <v>728</v>
      </c>
      <c r="C38" s="1027" t="e">
        <f ca="1">ROUND(C5*F38,0)</f>
        <v>#N/A</v>
      </c>
      <c r="D38" s="1028" t="s">
        <v>748</v>
      </c>
      <c r="E38" s="1026" t="s">
        <v>744</v>
      </c>
      <c r="F38" s="1022" t="e">
        <f ca="1">INDIRECT("'数据-取费表'!Am"&amp;$G$1)</f>
        <v>#N/A</v>
      </c>
      <c r="G38" s="1291"/>
      <c r="H38" s="2471"/>
      <c r="I38" s="1304"/>
      <c r="J38" s="1305"/>
      <c r="K38" s="2469"/>
      <c r="L38" s="2471"/>
      <c r="M38" s="2471"/>
    </row>
    <row r="39" spans="1:18" ht="24.6" customHeight="1" thickTop="1">
      <c r="A39" s="1015" t="s">
        <v>394</v>
      </c>
      <c r="B39" s="1030" t="s">
        <v>772</v>
      </c>
      <c r="C39" s="302" t="e">
        <f ca="1">C5-C30</f>
        <v>#N/A</v>
      </c>
      <c r="D39" s="1031" t="s">
        <v>773</v>
      </c>
      <c r="E39" s="1032"/>
      <c r="F39" s="1033"/>
      <c r="G39" s="1291"/>
      <c r="H39" s="2471"/>
      <c r="I39" s="1304"/>
      <c r="J39" s="1305"/>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1"/>
      <c r="H40" s="1365"/>
      <c r="I40" s="1304"/>
      <c r="J40" s="1305"/>
      <c r="K40" s="2469"/>
      <c r="L40" s="1365"/>
      <c r="M40" s="1365"/>
    </row>
    <row r="41" spans="1:18" ht="18" customHeight="1">
      <c r="A41" s="296"/>
      <c r="B41" s="297"/>
      <c r="C41" s="298"/>
      <c r="D41" s="323" t="s">
        <v>775</v>
      </c>
      <c r="E41" s="294" t="s">
        <v>763</v>
      </c>
      <c r="F41" s="324" t="e">
        <f ca="1">IF(INDIRECT("'数据-取费表'!af"&amp;$G$1)=0,INDIRECT("'数据-取费表'!ae"&amp;$G$1),INDIRECT("'数据-取费表'!af"&amp;$G$1))</f>
        <v>#N/A</v>
      </c>
      <c r="G41" s="1291"/>
      <c r="H41" s="121"/>
      <c r="I41" s="1304"/>
      <c r="J41" s="1305"/>
      <c r="K41" s="2329"/>
      <c r="L41" s="121"/>
      <c r="M41" s="121"/>
    </row>
    <row r="42" spans="1:18" ht="18" customHeight="1">
      <c r="A42" s="300"/>
      <c r="B42" s="301"/>
      <c r="C42" s="302"/>
      <c r="D42" s="319"/>
      <c r="E42" s="294" t="s">
        <v>766</v>
      </c>
      <c r="F42" s="304" t="e">
        <f ca="1">INDIRECT("'数据-取费表'!v"&amp;$G$1)</f>
        <v>#N/A</v>
      </c>
      <c r="G42" s="1291"/>
      <c r="H42" s="121"/>
      <c r="I42" s="1304"/>
      <c r="J42" s="1305"/>
      <c r="K42" s="2329"/>
      <c r="L42" s="121"/>
      <c r="M42" s="121"/>
    </row>
    <row r="43" spans="1:18" ht="18" customHeight="1" thickBot="1">
      <c r="A43" s="325" t="s">
        <v>396</v>
      </c>
      <c r="B43" s="326" t="s">
        <v>776</v>
      </c>
      <c r="C43" s="327" t="e">
        <f ca="1">ROUND(C40/F43,0)</f>
        <v>#N/A</v>
      </c>
      <c r="D43" s="328" t="s">
        <v>777</v>
      </c>
      <c r="E43" s="329" t="s">
        <v>778</v>
      </c>
      <c r="F43" s="330" t="e">
        <f ca="1">INDIRECT("'数据-取费表'!k"&amp;$G$1)</f>
        <v>#N/A</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3345</v>
      </c>
      <c r="B45" s="1306"/>
      <c r="C45" s="1375" t="e">
        <f ca="1">ROUND((C68-C40)/10000,4)</f>
        <v>#N/A</v>
      </c>
      <c r="D45" s="3128" t="s">
        <v>3346</v>
      </c>
      <c r="E45" s="1306"/>
      <c r="F45" s="1306"/>
      <c r="O45" s="1309" t="s">
        <v>808</v>
      </c>
      <c r="P45" s="1365"/>
      <c r="Q45" s="1365"/>
      <c r="R45" s="1365"/>
    </row>
    <row r="46" spans="1:18" s="1291" customFormat="1" ht="13.8" thickBot="1">
      <c r="A46" s="1310" t="s">
        <v>809</v>
      </c>
      <c r="C46" s="1311" t="e">
        <f ca="1">ROUND(C45,0)</f>
        <v>#N/A</v>
      </c>
      <c r="D46" s="1312" t="str">
        <f>C2</f>
        <v>万元</v>
      </c>
      <c r="I46" s="1313" t="s">
        <v>810</v>
      </c>
      <c r="J46" s="1314"/>
      <c r="K46" s="1315"/>
      <c r="L46" s="1316" t="e">
        <f ca="1">IF(M47="住宅",0,IF(L48&gt;J51,L60,J60))</f>
        <v>#N/A</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3430</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40.200000000000003" thickBot="1">
      <c r="A48" s="1046" t="s">
        <v>438</v>
      </c>
      <c r="B48" s="292" t="s">
        <v>692</v>
      </c>
      <c r="C48" s="1267" t="e">
        <f ca="1">C49+C53+C55</f>
        <v>#N/A</v>
      </c>
      <c r="D48" s="1048"/>
      <c r="E48" s="1049"/>
      <c r="F48" s="907"/>
      <c r="G48" s="680"/>
      <c r="H48" s="681"/>
      <c r="I48" s="1327" t="s">
        <v>819</v>
      </c>
      <c r="J48" s="1328" t="s">
        <v>3431</v>
      </c>
      <c r="K48" s="1329" t="s">
        <v>820</v>
      </c>
      <c r="L48" s="1330" t="e">
        <f ca="1">INDIRECT("'数据-取费表'!f"&amp;$G$1)</f>
        <v>#N/A</v>
      </c>
      <c r="O48" s="1324" t="s">
        <v>404</v>
      </c>
      <c r="P48" s="1325" t="s">
        <v>821</v>
      </c>
      <c r="Q48" s="1326" t="e">
        <f ca="1">J60</f>
        <v>#N/A</v>
      </c>
      <c r="R48" s="1326" t="s">
        <v>822</v>
      </c>
    </row>
    <row r="49" spans="1:18" s="1291" customFormat="1" ht="13.8" thickBot="1">
      <c r="A49" s="920" t="s">
        <v>439</v>
      </c>
      <c r="B49" s="1278" t="s">
        <v>779</v>
      </c>
      <c r="C49" s="1050" t="e">
        <f ca="1">ROUND(F49*F51*F50*(1-F52),0)</f>
        <v>#N/A</v>
      </c>
      <c r="D49" s="991" t="s">
        <v>695</v>
      </c>
      <c r="E49" s="1279" t="s">
        <v>780</v>
      </c>
      <c r="F49" s="996"/>
      <c r="H49" s="681"/>
      <c r="I49" s="1327" t="s">
        <v>823</v>
      </c>
      <c r="J49" s="1331">
        <f>'[3]数据-取费表'!O19</f>
        <v>1996</v>
      </c>
      <c r="K49" s="1329" t="s">
        <v>824</v>
      </c>
      <c r="L49" s="1332"/>
      <c r="O49" s="1333" t="s">
        <v>405</v>
      </c>
      <c r="P49" s="1325" t="s">
        <v>825</v>
      </c>
      <c r="Q49" s="1326" t="e">
        <f ca="1">C29</f>
        <v>#N/A</v>
      </c>
      <c r="R49" s="1326" t="s">
        <v>818</v>
      </c>
    </row>
    <row r="50" spans="1:18" s="1291" customFormat="1" ht="13.8" thickBot="1">
      <c r="A50" s="921"/>
      <c r="B50" s="924"/>
      <c r="C50" s="925"/>
      <c r="D50" s="898"/>
      <c r="E50" s="992" t="s">
        <v>697</v>
      </c>
      <c r="F50" s="993" t="e">
        <f ca="1">F7</f>
        <v>#N/A</v>
      </c>
      <c r="H50" s="681"/>
      <c r="I50" s="1327" t="s">
        <v>826</v>
      </c>
      <c r="J50" s="1334">
        <f>SUMPRODUCT((I63:I65=J47)*(J62:L62=J48)*(J63:L65))</f>
        <v>60</v>
      </c>
      <c r="K50" s="1329" t="s">
        <v>827</v>
      </c>
      <c r="L50" s="1332"/>
      <c r="M50" s="1335"/>
      <c r="O50" s="1333" t="s">
        <v>406</v>
      </c>
      <c r="P50" s="1325" t="s">
        <v>828</v>
      </c>
      <c r="Q50" s="1336" t="e">
        <f ca="1">J58</f>
        <v>#N/A</v>
      </c>
      <c r="R50" s="1326"/>
    </row>
    <row r="51" spans="1:18" s="1291" customFormat="1" ht="13.8" thickBot="1">
      <c r="A51" s="922"/>
      <c r="B51" s="924"/>
      <c r="C51" s="925"/>
      <c r="D51" s="898"/>
      <c r="E51" s="926" t="s">
        <v>698</v>
      </c>
      <c r="F51" s="295" t="e">
        <f ca="1">F8</f>
        <v>#N/A</v>
      </c>
      <c r="I51" s="1337" t="s">
        <v>829</v>
      </c>
      <c r="J51" s="1330">
        <f>IF(J49="",J50,J49+J50-YEAR('数据-取费表'!B2))</f>
        <v>31</v>
      </c>
      <c r="K51" s="1338" t="s">
        <v>830</v>
      </c>
      <c r="L51" s="1339" t="e">
        <f ca="1">ROUND(-PV(INDIRECT("'数据-取费表'!h"&amp;$G$1),J51,(C39-C13*C76),0),0)</f>
        <v>#N/A</v>
      </c>
      <c r="M51" s="1340"/>
      <c r="O51" s="1333" t="s">
        <v>407</v>
      </c>
      <c r="P51" s="1325" t="s">
        <v>831</v>
      </c>
      <c r="Q51" s="1336">
        <f>J52</f>
        <v>7.0000000000000007E-2</v>
      </c>
      <c r="R51" s="1326"/>
    </row>
    <row r="52" spans="1:18" s="1291" customFormat="1" ht="13.8" thickBot="1">
      <c r="A52" s="922"/>
      <c r="B52" s="924"/>
      <c r="C52" s="925"/>
      <c r="D52" s="898"/>
      <c r="E52" s="926" t="s">
        <v>699</v>
      </c>
      <c r="F52" s="990"/>
      <c r="I52" s="1341" t="s">
        <v>832</v>
      </c>
      <c r="J52" s="1342">
        <v>7.0000000000000007E-2</v>
      </c>
      <c r="K52" s="1341" t="s">
        <v>833</v>
      </c>
      <c r="L52" s="1342"/>
      <c r="O52" s="1333" t="s">
        <v>408</v>
      </c>
      <c r="P52" s="1325" t="s">
        <v>834</v>
      </c>
      <c r="Q52" s="1326" t="e">
        <f ca="1">J53</f>
        <v>#N/A</v>
      </c>
      <c r="R52" s="1326" t="s">
        <v>835</v>
      </c>
    </row>
    <row r="53" spans="1:18" s="1291" customFormat="1" ht="30.75" customHeight="1" thickBot="1">
      <c r="A53" s="1047" t="s">
        <v>440</v>
      </c>
      <c r="B53" s="315" t="s">
        <v>700</v>
      </c>
      <c r="C53" s="308">
        <f ca="1">ROUND(IF(F53="押一",C49/12*F11,IF(F53="押二",C49/12*2*F11,IF(F53="押三",C49/12*3*F11,C54*F11))),0)</f>
        <v>0</v>
      </c>
      <c r="D53" s="150" t="s">
        <v>2116</v>
      </c>
      <c r="E53" s="305" t="s">
        <v>701</v>
      </c>
      <c r="F53" s="1052"/>
      <c r="I53" s="1343" t="s">
        <v>836</v>
      </c>
      <c r="J53" s="2005" t="e">
        <f ca="1">IF(M47="住宅",IF(D1="——",MAX(J51,L48),MAX(J51,L48-'数据-取费表'!B24)),IF(D1="——",MIN(J51,L48),MIN(J51,L48-'数据-取费表'!B24)))</f>
        <v>#N/A</v>
      </c>
      <c r="K53" s="3470" t="s">
        <v>837</v>
      </c>
      <c r="L53" s="3471"/>
      <c r="O53" s="1324" t="s">
        <v>409</v>
      </c>
      <c r="P53" s="1325" t="s">
        <v>838</v>
      </c>
      <c r="Q53" s="1326" t="e">
        <f ca="1">Q47+Q48</f>
        <v>#N/A</v>
      </c>
      <c r="R53" s="1326" t="s">
        <v>410</v>
      </c>
    </row>
    <row r="54" spans="1:18" s="1291" customFormat="1" ht="13.8" thickBot="1">
      <c r="A54" s="920"/>
      <c r="B54" s="1376" t="s">
        <v>891</v>
      </c>
      <c r="C54" s="904"/>
      <c r="D54" s="150"/>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36" customHeight="1" thickTop="1" thickBot="1">
      <c r="A56" s="902">
        <v>2</v>
      </c>
      <c r="B56" s="903" t="s">
        <v>704</v>
      </c>
      <c r="C56" s="224" t="e">
        <f ca="1">C13</f>
        <v>#N/A</v>
      </c>
      <c r="D56" s="1351"/>
      <c r="E56" s="1352"/>
      <c r="F56" s="1344"/>
      <c r="I56" s="1353" t="s">
        <v>842</v>
      </c>
      <c r="J56" s="1354"/>
      <c r="K56" s="1327" t="s">
        <v>843</v>
      </c>
      <c r="L56" s="1330" t="e">
        <f ca="1">IF(L48&lt;J51,"——",L48-J51)</f>
        <v>#N/A</v>
      </c>
      <c r="O56" s="1324" t="s">
        <v>403</v>
      </c>
      <c r="P56" s="1325" t="s">
        <v>817</v>
      </c>
      <c r="Q56" s="1326" t="e">
        <f ca="1">C40+J29</f>
        <v>#N/A</v>
      </c>
      <c r="R56" s="1326" t="s">
        <v>818</v>
      </c>
    </row>
    <row r="57" spans="1:18" s="1291" customFormat="1" ht="24.6" thickBot="1">
      <c r="A57" s="1355"/>
      <c r="B57" s="895" t="s">
        <v>767</v>
      </c>
      <c r="C57" s="230" t="e">
        <f ca="1">C29</f>
        <v>#N/A</v>
      </c>
      <c r="D57" s="1356"/>
      <c r="E57" s="1357"/>
      <c r="F57" s="1358"/>
      <c r="I57" s="1359" t="s">
        <v>844</v>
      </c>
      <c r="J57" s="1360" t="e">
        <f ca="1">IF(OR(M47="住宅",J51&lt;L48,J56="是"),"——",J51-L48)</f>
        <v>#N/A</v>
      </c>
      <c r="K57" s="1327" t="s">
        <v>892</v>
      </c>
      <c r="L57" s="1330" t="e">
        <f ca="1">IF(L48&lt;J51,"——",IF(L55="比较法",L49,IF(L55="基准地价",L50,L51)))</f>
        <v>#N/A</v>
      </c>
      <c r="O57" s="1324" t="s">
        <v>404</v>
      </c>
      <c r="P57" s="1325" t="s">
        <v>893</v>
      </c>
      <c r="Q57" s="1326" t="e">
        <f ca="1">L60</f>
        <v>#N/A</v>
      </c>
      <c r="R57" s="1326" t="s">
        <v>894</v>
      </c>
    </row>
    <row r="58" spans="1:18" s="1291" customFormat="1" ht="24.6" thickBot="1">
      <c r="A58" s="307" t="s">
        <v>393</v>
      </c>
      <c r="B58" s="903" t="s">
        <v>714</v>
      </c>
      <c r="C58" s="308" t="e">
        <f ca="1">ROUND(C59+C64+C65+C66,0)</f>
        <v>#N/A</v>
      </c>
      <c r="D58" s="905" t="s">
        <v>715</v>
      </c>
      <c r="E58" s="906"/>
      <c r="F58" s="907"/>
      <c r="I58" s="1359" t="s">
        <v>848</v>
      </c>
      <c r="J58" s="1361" t="e">
        <f ca="1">IF(J55&lt;0.4,0.4,J55)</f>
        <v>#N/A</v>
      </c>
      <c r="K58" s="1338" t="s">
        <v>895</v>
      </c>
      <c r="L58" s="1330" t="e">
        <f ca="1">ROUND(POWER(1+L52,L47-L48)*(POWER(1+L52,L48)-1)/(POWER(1+L52,L47)-1),4)</f>
        <v>#N/A</v>
      </c>
      <c r="O58" s="1333" t="s">
        <v>405</v>
      </c>
      <c r="P58" s="1325" t="s">
        <v>850</v>
      </c>
      <c r="Q58" s="1326">
        <f>IF(L55="比较法",L49,IF(L55="基准地价",L50,0))</f>
        <v>0</v>
      </c>
      <c r="R58" s="1326" t="s">
        <v>818</v>
      </c>
    </row>
    <row r="59" spans="1:18" s="1291" customFormat="1" ht="24.6"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3" t="s">
        <v>406</v>
      </c>
      <c r="P59" s="1325" t="s">
        <v>852</v>
      </c>
      <c r="Q59" s="1336">
        <f>L52</f>
        <v>0</v>
      </c>
      <c r="R59" s="1326"/>
    </row>
    <row r="60" spans="1:18" s="1291" customFormat="1" ht="16.2" thickBot="1">
      <c r="A60" s="927" t="s">
        <v>397</v>
      </c>
      <c r="B60" s="895" t="s">
        <v>723</v>
      </c>
      <c r="C60" s="21" t="e">
        <f ca="1">IF(项目基本情况!B11="自然人","——",ROUND(C48*F60/(1+'数据-取费表'!C42),0))</f>
        <v>#N/A</v>
      </c>
      <c r="D60" s="909" t="s">
        <v>724</v>
      </c>
      <c r="E60" s="895" t="s">
        <v>712</v>
      </c>
      <c r="F60" s="322">
        <f t="shared" ref="F60:F66" si="0">F32</f>
        <v>5.6000000000000001E-2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8" thickBot="1">
      <c r="A61" s="927" t="s">
        <v>781</v>
      </c>
      <c r="B61" s="895" t="s">
        <v>782</v>
      </c>
      <c r="C61" s="21" t="e">
        <f ca="1">IF(项目基本情况!B11="自然人","——",IF(D61="按租金收入计税",ROUND(C49*F61/(1+'数据-取费表'!C42),0),IF(D61="按房产原值计税",ROUND(C57*F61*0.7,0),INDIRECT("'数据-取费表'!Aj"&amp;$G$1))))</f>
        <v>#N/A</v>
      </c>
      <c r="D61" s="1277" t="s">
        <v>3329</v>
      </c>
      <c r="E61" s="895" t="s">
        <v>783</v>
      </c>
      <c r="F61" s="314">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8" thickBot="1">
      <c r="A62" s="927" t="s">
        <v>784</v>
      </c>
      <c r="B62" s="894" t="s">
        <v>785</v>
      </c>
      <c r="C62" s="22" t="e">
        <f ca="1">IF(项目基本情况!B11="自然人","——",ROUND(F62*F63,0))</f>
        <v>#N/A</v>
      </c>
      <c r="D62" s="910" t="s">
        <v>786</v>
      </c>
      <c r="E62" s="895" t="s">
        <v>787</v>
      </c>
      <c r="F62" s="317">
        <f t="shared" si="0"/>
        <v>30</v>
      </c>
      <c r="I62" s="1366" t="s">
        <v>858</v>
      </c>
      <c r="J62" s="610" t="s">
        <v>859</v>
      </c>
      <c r="K62" s="610" t="s">
        <v>860</v>
      </c>
      <c r="L62" s="610" t="s">
        <v>861</v>
      </c>
      <c r="M62" s="1367" t="s">
        <v>862</v>
      </c>
      <c r="O62" s="1324" t="s">
        <v>409</v>
      </c>
      <c r="P62" s="1325" t="s">
        <v>863</v>
      </c>
      <c r="Q62" s="1326" t="e">
        <f ca="1">Q56+Q57</f>
        <v>#N/A</v>
      </c>
      <c r="R62" s="1326" t="s">
        <v>410</v>
      </c>
    </row>
    <row r="63" spans="1:18" s="1291" customFormat="1" ht="13.8" thickBot="1">
      <c r="A63" s="318"/>
      <c r="B63" s="901"/>
      <c r="C63" s="26"/>
      <c r="D63" s="911"/>
      <c r="E63" s="895" t="s">
        <v>788</v>
      </c>
      <c r="F63" s="295" t="e">
        <f t="shared" ca="1" si="0"/>
        <v>#N/A</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t="e">
        <f ca="1">ROUND(C57*F64,0)</f>
        <v>#N/A</v>
      </c>
      <c r="D64" s="909" t="s">
        <v>791</v>
      </c>
      <c r="E64" s="895" t="s">
        <v>783</v>
      </c>
      <c r="F64" s="320" t="e">
        <f t="shared" ca="1" si="0"/>
        <v>#N/A</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t="e">
        <f ca="1">ROUND(C56*F65,0)</f>
        <v>#N/A</v>
      </c>
      <c r="D65" s="909" t="s">
        <v>743</v>
      </c>
      <c r="E65" s="895" t="s">
        <v>744</v>
      </c>
      <c r="F65" s="321" t="e">
        <f t="shared" ca="1" si="0"/>
        <v>#N/A</v>
      </c>
      <c r="I65" s="1366" t="s">
        <v>867</v>
      </c>
      <c r="J65" s="610">
        <v>40</v>
      </c>
      <c r="K65" s="610">
        <v>30</v>
      </c>
      <c r="L65" s="610">
        <v>50</v>
      </c>
      <c r="M65" s="1368">
        <v>0.02</v>
      </c>
      <c r="O65" s="1324" t="s">
        <v>403</v>
      </c>
      <c r="P65" s="1325" t="s">
        <v>868</v>
      </c>
      <c r="Q65" s="1326" t="e">
        <f ca="1">C40+J29</f>
        <v>#N/A</v>
      </c>
      <c r="R65" s="1326" t="s">
        <v>818</v>
      </c>
    </row>
    <row r="66" spans="1:18" s="1291" customFormat="1" ht="16.2" thickBot="1">
      <c r="A66" s="927" t="s">
        <v>793</v>
      </c>
      <c r="B66" s="895" t="s">
        <v>728</v>
      </c>
      <c r="C66" s="21" t="e">
        <f ca="1">ROUND(C48*F66,0)</f>
        <v>#N/A</v>
      </c>
      <c r="D66" s="909" t="s">
        <v>794</v>
      </c>
      <c r="E66" s="895" t="s">
        <v>712</v>
      </c>
      <c r="F66" s="304" t="e">
        <f t="shared" ca="1" si="0"/>
        <v>#N/A</v>
      </c>
      <c r="O66" s="1324" t="s">
        <v>404</v>
      </c>
      <c r="P66" s="1325" t="s">
        <v>846</v>
      </c>
      <c r="Q66" s="1326" t="e">
        <f ca="1">L60</f>
        <v>#N/A</v>
      </c>
      <c r="R66" s="1326" t="s">
        <v>869</v>
      </c>
    </row>
    <row r="67" spans="1:18" s="1291" customFormat="1" ht="24.6" thickBot="1">
      <c r="A67" s="902" t="s">
        <v>394</v>
      </c>
      <c r="B67" s="912" t="s">
        <v>752</v>
      </c>
      <c r="C67" s="308" t="e">
        <f ca="1">C48-C58</f>
        <v>#N/A</v>
      </c>
      <c r="D67" s="908" t="s">
        <v>753</v>
      </c>
      <c r="E67" s="913"/>
      <c r="F67" s="914"/>
      <c r="O67" s="1333" t="s">
        <v>405</v>
      </c>
      <c r="P67" s="1325" t="s">
        <v>850</v>
      </c>
      <c r="Q67" s="1369" t="e">
        <f ca="1">L51</f>
        <v>#N/A</v>
      </c>
      <c r="R67" s="1326" t="s">
        <v>870</v>
      </c>
    </row>
    <row r="68" spans="1:18" s="1291" customFormat="1" ht="16.2" thickBot="1">
      <c r="A68" s="892" t="s">
        <v>395</v>
      </c>
      <c r="B68" s="893" t="s">
        <v>774</v>
      </c>
      <c r="C68" s="293" t="e">
        <f ca="1">ROUND(C67*(1-((1+F70)/(1+F68))^F69)/(F68-F70),0)</f>
        <v>#N/A</v>
      </c>
      <c r="D68" s="910" t="s">
        <v>758</v>
      </c>
      <c r="E68" s="895" t="s">
        <v>759</v>
      </c>
      <c r="F68" s="304" t="e">
        <f ca="1">F40</f>
        <v>#N/A</v>
      </c>
      <c r="O68" s="1333" t="s">
        <v>406</v>
      </c>
      <c r="P68" s="1370" t="s">
        <v>871</v>
      </c>
      <c r="Q68" s="1326" t="e">
        <f ca="1">ROUND(Q69-Q70*Q71,0)</f>
        <v>#N/A</v>
      </c>
      <c r="R68" s="1326" t="s">
        <v>414</v>
      </c>
    </row>
    <row r="69" spans="1:18" s="1291" customFormat="1" ht="13.8" thickBot="1">
      <c r="A69" s="896"/>
      <c r="B69" s="897"/>
      <c r="C69" s="298"/>
      <c r="D69" s="915" t="s">
        <v>762</v>
      </c>
      <c r="E69" s="895" t="s">
        <v>763</v>
      </c>
      <c r="F69" s="324" t="e">
        <f ca="1">F41</f>
        <v>#N/A</v>
      </c>
      <c r="O69" s="1333" t="s">
        <v>411</v>
      </c>
      <c r="P69" s="1370" t="s">
        <v>872</v>
      </c>
      <c r="Q69" s="1326" t="e">
        <f ca="1">C39</f>
        <v>#N/A</v>
      </c>
      <c r="R69" s="1326" t="s">
        <v>818</v>
      </c>
    </row>
    <row r="70" spans="1:18" s="1291" customFormat="1" ht="13.8" thickBot="1">
      <c r="A70" s="899"/>
      <c r="B70" s="900"/>
      <c r="C70" s="302"/>
      <c r="D70" s="911"/>
      <c r="E70" s="895" t="s">
        <v>766</v>
      </c>
      <c r="F70" s="990"/>
      <c r="O70" s="1333" t="s">
        <v>412</v>
      </c>
      <c r="P70" s="1370" t="s">
        <v>873</v>
      </c>
      <c r="Q70" s="1326" t="e">
        <f ca="1">C13</f>
        <v>#N/A</v>
      </c>
      <c r="R70" s="1326" t="s">
        <v>818</v>
      </c>
    </row>
    <row r="71" spans="1:18" s="1291" customFormat="1" ht="13.8" thickBot="1">
      <c r="A71" s="916" t="s">
        <v>396</v>
      </c>
      <c r="B71" s="917" t="s">
        <v>776</v>
      </c>
      <c r="C71" s="327" t="e">
        <f ca="1">ROUND(C68/F71,0)</f>
        <v>#N/A</v>
      </c>
      <c r="D71" s="918" t="s">
        <v>777</v>
      </c>
      <c r="E71" s="919" t="s">
        <v>778</v>
      </c>
      <c r="F71" s="330" t="e">
        <f ca="1">F43</f>
        <v>#N/A</v>
      </c>
      <c r="O71" s="1333" t="s">
        <v>413</v>
      </c>
      <c r="P71" s="1370" t="s">
        <v>874</v>
      </c>
      <c r="Q71" s="1336" t="e">
        <f ca="1">C76</f>
        <v>#N/A</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#N/A</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#N/A</v>
      </c>
      <c r="R74" s="1326" t="s">
        <v>857</v>
      </c>
    </row>
    <row r="75" spans="1:18" ht="13.8" thickBot="1">
      <c r="A75" s="1291"/>
      <c r="B75" s="331" t="s">
        <v>795</v>
      </c>
      <c r="C75" s="332" t="e">
        <f ca="1">ROUND(C13*C76,0)</f>
        <v>#N/A</v>
      </c>
      <c r="D75" s="1291"/>
      <c r="E75" s="1291"/>
      <c r="F75" s="1291"/>
      <c r="K75" s="1308"/>
      <c r="L75" s="1291"/>
      <c r="O75" s="1324" t="s">
        <v>409</v>
      </c>
      <c r="P75" s="1325" t="s">
        <v>838</v>
      </c>
      <c r="Q75" s="1326" t="e">
        <f ca="1">Q65+Q66</f>
        <v>#N/A</v>
      </c>
      <c r="R75" s="1326" t="s">
        <v>410</v>
      </c>
    </row>
    <row r="76" spans="1:18">
      <c r="B76" s="333" t="s">
        <v>796</v>
      </c>
      <c r="C76" s="334" t="e">
        <f ca="1">INDIRECT("'数据-取费表'!j"&amp;$G$1)</f>
        <v>#N/A</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2428</v>
      </c>
      <c r="B1" s="2581"/>
      <c r="C1" s="2593"/>
      <c r="D1" s="2593"/>
      <c r="E1" s="2582"/>
      <c r="F1" s="2583"/>
      <c r="G1" s="2584"/>
      <c r="J1" s="2587" t="s">
        <v>2307</v>
      </c>
      <c r="K1" s="2588"/>
      <c r="L1" s="2588"/>
      <c r="M1" s="2588"/>
      <c r="N1" s="2588"/>
      <c r="O1" s="2588"/>
      <c r="P1" s="2588"/>
      <c r="Q1" s="2588"/>
      <c r="R1" s="2589"/>
      <c r="S1" s="2590"/>
      <c r="T1" s="2590"/>
      <c r="U1" s="2590"/>
    </row>
    <row r="2" spans="1:22" s="2602" customFormat="1" ht="13.2" customHeight="1">
      <c r="A2" s="1292" t="s">
        <v>2308</v>
      </c>
      <c r="B2" s="2592" t="e">
        <f>IF(D2="——",C40,C40+E2)</f>
        <v>#DIV/0!</v>
      </c>
      <c r="C2" s="2593" t="s">
        <v>2309</v>
      </c>
      <c r="D2" s="3136" t="s">
        <v>3352</v>
      </c>
      <c r="E2" s="3137"/>
      <c r="F2" s="2595"/>
      <c r="G2" s="2596"/>
      <c r="H2" s="2597"/>
      <c r="I2" s="2598"/>
      <c r="J2" s="3475" t="s">
        <v>2310</v>
      </c>
      <c r="K2" s="3476"/>
      <c r="L2" s="2599" t="s">
        <v>2311</v>
      </c>
      <c r="M2" s="2599" t="s">
        <v>2312</v>
      </c>
      <c r="N2" s="2599" t="s">
        <v>2313</v>
      </c>
      <c r="O2" s="2599" t="s">
        <v>2314</v>
      </c>
      <c r="P2" s="2599" t="s">
        <v>2315</v>
      </c>
      <c r="Q2" s="2600" t="s">
        <v>2316</v>
      </c>
      <c r="R2" s="2601" t="s">
        <v>2317</v>
      </c>
      <c r="S2" s="2590"/>
      <c r="T2" s="2590"/>
      <c r="U2" s="2590"/>
      <c r="V2" s="2598"/>
    </row>
    <row r="3" spans="1:22" s="2602" customFormat="1" ht="13.2" customHeight="1">
      <c r="A3" s="2603" t="s">
        <v>2318</v>
      </c>
      <c r="B3" s="2604" t="e">
        <f>ROUND(B2*10000/B4,0)</f>
        <v>#DIV/0!</v>
      </c>
      <c r="C3" s="2593" t="s">
        <v>2319</v>
      </c>
      <c r="D3" s="2593"/>
      <c r="E3" s="2594"/>
      <c r="F3" s="2595"/>
      <c r="G3" s="2596"/>
      <c r="H3" s="2597"/>
      <c r="I3" s="2598"/>
      <c r="J3" s="3477" t="s">
        <v>2320</v>
      </c>
      <c r="K3" s="3478"/>
      <c r="L3" s="2605"/>
      <c r="M3" s="2605"/>
      <c r="N3" s="2605"/>
      <c r="O3" s="2605"/>
      <c r="P3" s="2605"/>
      <c r="Q3" s="2606"/>
      <c r="R3" s="2607">
        <f>SUM(L3:Q3)</f>
        <v>0</v>
      </c>
      <c r="S3" s="2590"/>
      <c r="T3" s="2590"/>
      <c r="U3" s="2590"/>
      <c r="V3" s="2598"/>
    </row>
    <row r="4" spans="1:22" s="2602" customFormat="1" ht="13.2" customHeight="1">
      <c r="A4" s="2608" t="s">
        <v>2321</v>
      </c>
      <c r="B4" s="2609"/>
      <c r="C4" s="2593"/>
      <c r="D4" s="2593"/>
      <c r="E4" s="2594"/>
      <c r="F4" s="2595"/>
      <c r="G4" s="2596"/>
      <c r="H4" s="2597"/>
      <c r="I4" s="2598"/>
      <c r="J4" s="3477" t="s">
        <v>2322</v>
      </c>
      <c r="K4" s="3478"/>
      <c r="L4" s="2610"/>
      <c r="M4" s="2610"/>
      <c r="N4" s="2610"/>
      <c r="O4" s="2610"/>
      <c r="P4" s="2610"/>
      <c r="Q4" s="2611"/>
      <c r="R4" s="2612">
        <f>SUM(L4:Q4)</f>
        <v>0</v>
      </c>
      <c r="S4" s="2590"/>
      <c r="T4" s="2590"/>
      <c r="U4" s="2590"/>
      <c r="V4" s="2598"/>
    </row>
    <row r="5" spans="1:22" s="2602" customFormat="1" ht="13.2" customHeight="1" thickBot="1">
      <c r="A5" s="2613" t="s">
        <v>2323</v>
      </c>
      <c r="B5" s="2614"/>
      <c r="C5" s="2593"/>
      <c r="D5" s="2615"/>
      <c r="E5" s="2595"/>
      <c r="F5" s="2595"/>
      <c r="G5" s="2596"/>
      <c r="H5" s="2597"/>
      <c r="I5" s="2598"/>
      <c r="J5" s="2616" t="s">
        <v>2324</v>
      </c>
      <c r="K5" s="2617"/>
      <c r="L5" s="2617"/>
      <c r="M5" s="2618"/>
      <c r="N5" s="2618"/>
      <c r="O5" s="2618"/>
      <c r="P5" s="2618"/>
      <c r="Q5" s="2618"/>
      <c r="R5" s="2601">
        <f>SUM(R14,R19,R24,R25,R27,R28)</f>
        <v>0</v>
      </c>
      <c r="S5" s="2590"/>
      <c r="T5" s="2590" t="s">
        <v>2325</v>
      </c>
      <c r="U5" s="2590" t="e">
        <f>ROUND(R5*10000/365/R3,1)</f>
        <v>#DIV/0!</v>
      </c>
      <c r="V5" s="2598"/>
    </row>
    <row r="6" spans="1:22" s="2602" customFormat="1" ht="13.2" customHeight="1" thickBot="1">
      <c r="A6" s="3479" t="s">
        <v>2326</v>
      </c>
      <c r="B6" s="3480"/>
      <c r="C6" s="3481"/>
      <c r="D6" s="2619"/>
      <c r="E6" s="2620"/>
      <c r="F6" s="2621"/>
      <c r="G6" s="2622"/>
      <c r="H6" s="2597"/>
      <c r="I6" s="2598"/>
      <c r="J6" s="3482">
        <v>1</v>
      </c>
      <c r="K6" s="3483" t="s">
        <v>2327</v>
      </c>
      <c r="L6" s="2623" t="s">
        <v>2328</v>
      </c>
      <c r="M6" s="2624" t="s">
        <v>2329</v>
      </c>
      <c r="N6" s="2624" t="s">
        <v>2330</v>
      </c>
      <c r="O6" s="2624" t="s">
        <v>2331</v>
      </c>
      <c r="P6" s="2624" t="s">
        <v>2332</v>
      </c>
      <c r="Q6" s="2624" t="s">
        <v>2333</v>
      </c>
      <c r="R6" s="2607" t="s">
        <v>2334</v>
      </c>
      <c r="S6" s="2590"/>
      <c r="T6" s="2590" t="s">
        <v>2335</v>
      </c>
      <c r="U6" s="2590"/>
      <c r="V6" s="2598"/>
    </row>
    <row r="7" spans="1:22" s="2602" customFormat="1" ht="13.2" customHeight="1">
      <c r="A7" s="2625" t="s">
        <v>2336</v>
      </c>
      <c r="B7" s="2626"/>
      <c r="C7" s="2627"/>
      <c r="D7" s="2628">
        <f>SUM(D9,D10,D11,D17,0)</f>
        <v>0</v>
      </c>
      <c r="E7" s="2629" t="e">
        <f>E9+E10+E11+E17</f>
        <v>#DIV/0!</v>
      </c>
      <c r="F7" s="2630"/>
      <c r="G7" s="2631"/>
      <c r="H7" s="2597"/>
      <c r="I7" s="2598"/>
      <c r="J7" s="3482"/>
      <c r="K7" s="3484"/>
      <c r="L7" s="2632" t="s">
        <v>2337</v>
      </c>
      <c r="M7" s="2633"/>
      <c r="N7" s="2609"/>
      <c r="O7" s="2634"/>
      <c r="P7" s="2634"/>
      <c r="Q7" s="2635">
        <v>365</v>
      </c>
      <c r="R7" s="2636">
        <f>ROUND(M7*N7*O7*P7*Q7/10000,0)</f>
        <v>0</v>
      </c>
      <c r="S7" s="2590"/>
      <c r="T7" s="2590" t="s">
        <v>2338</v>
      </c>
      <c r="U7" s="2590"/>
      <c r="V7" s="2598"/>
    </row>
    <row r="8" spans="1:22" s="2602" customFormat="1" ht="13.2" customHeight="1">
      <c r="A8" s="2637" t="s">
        <v>2339</v>
      </c>
      <c r="B8" s="3486" t="s">
        <v>2340</v>
      </c>
      <c r="C8" s="3487"/>
      <c r="D8" s="2638" t="s">
        <v>2341</v>
      </c>
      <c r="E8" s="2639" t="s">
        <v>2342</v>
      </c>
      <c r="F8" s="2640" t="s">
        <v>2343</v>
      </c>
      <c r="G8" s="2641"/>
      <c r="H8" s="2597"/>
      <c r="I8" s="2598"/>
      <c r="J8" s="3482"/>
      <c r="K8" s="3484"/>
      <c r="L8" s="2632" t="s">
        <v>2344</v>
      </c>
      <c r="M8" s="2633"/>
      <c r="N8" s="2609"/>
      <c r="O8" s="2634"/>
      <c r="P8" s="2634"/>
      <c r="Q8" s="2635">
        <v>365</v>
      </c>
      <c r="R8" s="2636">
        <f t="shared" ref="R8:R13" si="0">ROUND(M8*N8*O8*P8*Q8/10000,0)</f>
        <v>0</v>
      </c>
      <c r="S8" s="2590"/>
      <c r="T8" s="2590" t="s">
        <v>2345</v>
      </c>
      <c r="U8" s="2590"/>
      <c r="V8" s="2598"/>
    </row>
    <row r="9" spans="1:22" s="2602" customFormat="1" ht="13.2" customHeight="1">
      <c r="A9" s="2637">
        <v>1</v>
      </c>
      <c r="B9" s="3486" t="s">
        <v>2346</v>
      </c>
      <c r="C9" s="3487"/>
      <c r="D9" s="2638">
        <f>ROUND(D6*E9,0)</f>
        <v>0</v>
      </c>
      <c r="E9" s="2642"/>
      <c r="F9" s="2643" t="s">
        <v>2347</v>
      </c>
      <c r="G9" s="2622"/>
      <c r="H9" s="2597"/>
      <c r="I9" s="2598"/>
      <c r="J9" s="3482"/>
      <c r="K9" s="3484"/>
      <c r="L9" s="2632" t="s">
        <v>2348</v>
      </c>
      <c r="M9" s="2633"/>
      <c r="N9" s="2609"/>
      <c r="O9" s="2634"/>
      <c r="P9" s="2634"/>
      <c r="Q9" s="2635">
        <v>365</v>
      </c>
      <c r="R9" s="2636">
        <f t="shared" si="0"/>
        <v>0</v>
      </c>
      <c r="S9" s="2590"/>
      <c r="T9" s="2590"/>
      <c r="U9" s="2590"/>
      <c r="V9" s="2598"/>
    </row>
    <row r="10" spans="1:22" s="2602" customFormat="1" ht="13.2" customHeight="1">
      <c r="A10" s="2637">
        <v>2</v>
      </c>
      <c r="B10" s="3486" t="s">
        <v>2349</v>
      </c>
      <c r="C10" s="3487"/>
      <c r="D10" s="2638">
        <f>ROUND(D6*E10,0)</f>
        <v>0</v>
      </c>
      <c r="E10" s="2642"/>
      <c r="F10" s="2643" t="s">
        <v>2350</v>
      </c>
      <c r="G10" s="2622"/>
      <c r="H10" s="2597"/>
      <c r="I10" s="2598"/>
      <c r="J10" s="3482"/>
      <c r="K10" s="3484"/>
      <c r="L10" s="2632" t="s">
        <v>2351</v>
      </c>
      <c r="M10" s="2633"/>
      <c r="N10" s="2609"/>
      <c r="O10" s="2634"/>
      <c r="P10" s="2634"/>
      <c r="Q10" s="2635">
        <v>365</v>
      </c>
      <c r="R10" s="2636">
        <f t="shared" si="0"/>
        <v>0</v>
      </c>
      <c r="S10" s="2590"/>
      <c r="T10" s="2590"/>
      <c r="U10" s="2590"/>
      <c r="V10" s="2598"/>
    </row>
    <row r="11" spans="1:22" s="2602" customFormat="1" ht="13.2" customHeight="1">
      <c r="A11" s="2637">
        <v>3</v>
      </c>
      <c r="B11" s="3486" t="s">
        <v>2352</v>
      </c>
      <c r="C11" s="3487"/>
      <c r="D11" s="2638">
        <f>D12+D14+D15+D16</f>
        <v>0</v>
      </c>
      <c r="E11" s="2644" t="e">
        <f>D11/D6</f>
        <v>#DIV/0!</v>
      </c>
      <c r="F11" s="2640"/>
      <c r="G11" s="2641"/>
      <c r="H11" s="2597"/>
      <c r="I11" s="2598"/>
      <c r="J11" s="3482"/>
      <c r="K11" s="3484"/>
      <c r="L11" s="2632" t="s">
        <v>2353</v>
      </c>
      <c r="M11" s="2633"/>
      <c r="N11" s="2609"/>
      <c r="O11" s="2634"/>
      <c r="P11" s="2634"/>
      <c r="Q11" s="2635">
        <v>365</v>
      </c>
      <c r="R11" s="2636">
        <f t="shared" si="0"/>
        <v>0</v>
      </c>
      <c r="S11" s="2590"/>
      <c r="T11" s="2590"/>
      <c r="U11" s="2590"/>
      <c r="V11" s="2598"/>
    </row>
    <row r="12" spans="1:22" s="2602" customFormat="1" ht="13.2" customHeight="1">
      <c r="A12" s="2645" t="s">
        <v>2354</v>
      </c>
      <c r="B12" s="3488" t="s">
        <v>2355</v>
      </c>
      <c r="C12" s="3489"/>
      <c r="D12" s="2646">
        <f>ROUND(D13*1.2%*(1-30%),0)</f>
        <v>0</v>
      </c>
      <c r="E12" s="2647">
        <v>1.2E-2</v>
      </c>
      <c r="F12" s="2640" t="s">
        <v>2356</v>
      </c>
      <c r="G12" s="2641"/>
      <c r="H12" s="2597"/>
      <c r="I12" s="2598"/>
      <c r="J12" s="3482"/>
      <c r="K12" s="3484"/>
      <c r="L12" s="2632" t="s">
        <v>2357</v>
      </c>
      <c r="M12" s="2633"/>
      <c r="N12" s="2609"/>
      <c r="O12" s="2634"/>
      <c r="P12" s="2634"/>
      <c r="Q12" s="2635">
        <v>365</v>
      </c>
      <c r="R12" s="2636">
        <f t="shared" si="0"/>
        <v>0</v>
      </c>
      <c r="S12" s="2590"/>
      <c r="T12" s="2590"/>
      <c r="U12" s="2590"/>
      <c r="V12" s="2598"/>
    </row>
    <row r="13" spans="1:22" s="2602" customFormat="1" ht="13.2" customHeight="1">
      <c r="A13" s="2645"/>
      <c r="B13" s="2648"/>
      <c r="C13" s="2649" t="s">
        <v>2358</v>
      </c>
      <c r="D13" s="2650"/>
      <c r="E13" s="2651"/>
      <c r="F13" s="2640"/>
      <c r="G13" s="2641"/>
      <c r="H13" s="2597"/>
      <c r="I13" s="2598"/>
      <c r="J13" s="3482"/>
      <c r="K13" s="3484"/>
      <c r="L13" s="2632" t="s">
        <v>2359</v>
      </c>
      <c r="M13" s="2633"/>
      <c r="N13" s="2609"/>
      <c r="O13" s="2634"/>
      <c r="P13" s="2634"/>
      <c r="Q13" s="2635">
        <v>365</v>
      </c>
      <c r="R13" s="2636">
        <f t="shared" si="0"/>
        <v>0</v>
      </c>
      <c r="S13" s="2590"/>
      <c r="T13" s="2590"/>
      <c r="U13" s="2590"/>
      <c r="V13" s="2598"/>
    </row>
    <row r="14" spans="1:22" s="2602" customFormat="1" ht="13.2" customHeight="1">
      <c r="A14" s="2645" t="s">
        <v>2360</v>
      </c>
      <c r="B14" s="3488" t="s">
        <v>2361</v>
      </c>
      <c r="C14" s="3489"/>
      <c r="D14" s="2646">
        <f>ROUND(E14*B5/10000,0)</f>
        <v>0</v>
      </c>
      <c r="E14" s="2635"/>
      <c r="F14" s="2640" t="s">
        <v>2362</v>
      </c>
      <c r="G14" s="2641"/>
      <c r="H14" s="2597"/>
      <c r="I14" s="2598"/>
      <c r="J14" s="3482"/>
      <c r="K14" s="3485"/>
      <c r="L14" s="2652" t="s">
        <v>2363</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2364</v>
      </c>
      <c r="B15" s="3488" t="s">
        <v>2365</v>
      </c>
      <c r="C15" s="3489"/>
      <c r="D15" s="2646">
        <f>ROUND(D6*E15,0)</f>
        <v>0</v>
      </c>
      <c r="E15" s="2647">
        <v>5.5E-2</v>
      </c>
      <c r="F15" s="2640" t="s">
        <v>2366</v>
      </c>
      <c r="G15" s="2622"/>
      <c r="H15" s="2597"/>
      <c r="I15" s="2598"/>
      <c r="J15" s="3482">
        <v>2</v>
      </c>
      <c r="K15" s="3483" t="s">
        <v>2367</v>
      </c>
      <c r="L15" s="2632" t="s">
        <v>2368</v>
      </c>
      <c r="M15" s="2633" t="s">
        <v>2369</v>
      </c>
      <c r="N15" s="2633" t="s">
        <v>2370</v>
      </c>
      <c r="O15" s="2634" t="s">
        <v>2371</v>
      </c>
      <c r="P15" s="2634" t="s">
        <v>2333</v>
      </c>
      <c r="Q15" s="2609" t="s">
        <v>2372</v>
      </c>
      <c r="R15" s="2656" t="s">
        <v>2334</v>
      </c>
      <c r="S15" s="2590"/>
      <c r="T15" s="2590"/>
      <c r="U15" s="2590"/>
      <c r="V15" s="2598"/>
    </row>
    <row r="16" spans="1:22" s="2602" customFormat="1" ht="13.2" customHeight="1">
      <c r="A16" s="2645" t="s">
        <v>2373</v>
      </c>
      <c r="B16" s="3488" t="s">
        <v>2374</v>
      </c>
      <c r="C16" s="3489"/>
      <c r="D16" s="2657">
        <f>D6*E16</f>
        <v>0</v>
      </c>
      <c r="E16" s="2658"/>
      <c r="F16" s="2643" t="s">
        <v>2375</v>
      </c>
      <c r="G16" s="2622"/>
      <c r="H16" s="2597"/>
      <c r="I16" s="2598"/>
      <c r="J16" s="3482"/>
      <c r="K16" s="3484"/>
      <c r="L16" s="2632" t="s">
        <v>2376</v>
      </c>
      <c r="M16" s="2633"/>
      <c r="N16" s="2633"/>
      <c r="O16" s="2634"/>
      <c r="P16" s="2635">
        <v>365</v>
      </c>
      <c r="Q16" s="2609"/>
      <c r="R16" s="2656">
        <f>ROUND(M16*N16*O16*P16/10000,0)</f>
        <v>0</v>
      </c>
      <c r="S16" s="2590"/>
      <c r="T16" s="2590"/>
      <c r="U16" s="2590"/>
      <c r="V16" s="2598"/>
    </row>
    <row r="17" spans="1:22" s="2602" customFormat="1" ht="13.2" customHeight="1" thickBot="1">
      <c r="A17" s="2659">
        <v>4</v>
      </c>
      <c r="B17" s="3490" t="s">
        <v>2377</v>
      </c>
      <c r="C17" s="3491"/>
      <c r="D17" s="2660">
        <f>ROUND(D6*E17,0)</f>
        <v>0</v>
      </c>
      <c r="E17" s="2661"/>
      <c r="F17" s="2662" t="s">
        <v>2378</v>
      </c>
      <c r="G17" s="2622"/>
      <c r="H17" s="2597"/>
      <c r="I17" s="2598"/>
      <c r="J17" s="3482"/>
      <c r="K17" s="3484"/>
      <c r="L17" s="2632" t="s">
        <v>2379</v>
      </c>
      <c r="M17" s="2633"/>
      <c r="N17" s="2633"/>
      <c r="O17" s="2634"/>
      <c r="P17" s="2635">
        <v>365</v>
      </c>
      <c r="Q17" s="2609"/>
      <c r="R17" s="2656">
        <f>ROUND(M17*N17*O17*P17/10000,0)</f>
        <v>0</v>
      </c>
      <c r="S17" s="2590"/>
      <c r="T17" s="2590"/>
      <c r="U17" s="2590"/>
      <c r="V17" s="2598"/>
    </row>
    <row r="18" spans="1:22" s="2602" customFormat="1" ht="13.2" customHeight="1" thickBot="1">
      <c r="A18" s="2625" t="s">
        <v>2380</v>
      </c>
      <c r="B18" s="2626"/>
      <c r="C18" s="2626"/>
      <c r="D18" s="2663">
        <f>ROUND(D6*E18,0)</f>
        <v>0</v>
      </c>
      <c r="E18" s="2664"/>
      <c r="F18" s="2665" t="s">
        <v>2381</v>
      </c>
      <c r="G18" s="2622"/>
      <c r="H18" s="2597"/>
      <c r="I18" s="2598"/>
      <c r="J18" s="3482"/>
      <c r="K18" s="3484"/>
      <c r="L18" s="2632" t="s">
        <v>2382</v>
      </c>
      <c r="M18" s="2633"/>
      <c r="N18" s="2633"/>
      <c r="O18" s="2634"/>
      <c r="P18" s="2635">
        <v>365</v>
      </c>
      <c r="Q18" s="2609"/>
      <c r="R18" s="2656">
        <f>ROUND(M18*N18*O18*P18/10000,0)</f>
        <v>0</v>
      </c>
      <c r="S18" s="2590"/>
      <c r="T18" s="2590"/>
      <c r="U18" s="2590"/>
      <c r="V18" s="2598"/>
    </row>
    <row r="19" spans="1:22" s="2602" customFormat="1" ht="13.2" customHeight="1" thickBot="1">
      <c r="A19" s="2666" t="s">
        <v>2383</v>
      </c>
      <c r="B19" s="2620"/>
      <c r="C19" s="2620"/>
      <c r="D19" s="2620"/>
      <c r="E19" s="2620"/>
      <c r="F19" s="2621"/>
      <c r="G19" s="2641"/>
      <c r="H19" s="2597"/>
      <c r="I19" s="2598"/>
      <c r="J19" s="3482"/>
      <c r="K19" s="3485"/>
      <c r="L19" s="2652" t="s">
        <v>2363</v>
      </c>
      <c r="M19" s="2653"/>
      <c r="N19" s="2653">
        <f>SUM(N16:N18)</f>
        <v>0</v>
      </c>
      <c r="O19" s="2654"/>
      <c r="P19" s="2667" t="s">
        <v>2427</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82">
        <v>3</v>
      </c>
      <c r="K20" s="3483" t="s">
        <v>2384</v>
      </c>
      <c r="L20" s="2632" t="s">
        <v>2385</v>
      </c>
      <c r="M20" s="2633" t="s">
        <v>2386</v>
      </c>
      <c r="N20" s="2670" t="s">
        <v>2387</v>
      </c>
      <c r="O20" s="2634" t="s">
        <v>2388</v>
      </c>
      <c r="P20" s="2635" t="s">
        <v>2389</v>
      </c>
      <c r="Q20" s="2609" t="s">
        <v>2390</v>
      </c>
      <c r="R20" s="2656" t="s">
        <v>2391</v>
      </c>
      <c r="S20" s="2590"/>
      <c r="T20" s="2590"/>
      <c r="U20" s="2590"/>
      <c r="V20" s="2598"/>
    </row>
    <row r="21" spans="1:22" s="2602" customFormat="1" ht="13.2" customHeight="1">
      <c r="A21" s="2625"/>
      <c r="B21" s="2626"/>
      <c r="C21" s="2671" t="s">
        <v>2392</v>
      </c>
      <c r="D21" s="2672" t="s">
        <v>2393</v>
      </c>
      <c r="E21" s="2673" t="s">
        <v>2394</v>
      </c>
      <c r="F21" s="2669"/>
      <c r="G21" s="2641"/>
      <c r="H21" s="2597"/>
      <c r="I21" s="2598"/>
      <c r="J21" s="3482"/>
      <c r="K21" s="3484"/>
      <c r="L21" s="2632" t="s">
        <v>2395</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2396</v>
      </c>
      <c r="D22" s="2676" t="s">
        <v>2397</v>
      </c>
      <c r="E22" s="2677" t="s">
        <v>2398</v>
      </c>
      <c r="F22" s="2669"/>
      <c r="G22" s="2590"/>
      <c r="H22" s="2597"/>
      <c r="I22" s="2598"/>
      <c r="J22" s="3482"/>
      <c r="K22" s="3484"/>
      <c r="L22" s="2632" t="s">
        <v>2399</v>
      </c>
      <c r="M22" s="2633"/>
      <c r="N22" s="2633"/>
      <c r="O22" s="2634"/>
      <c r="P22" s="2635">
        <v>365</v>
      </c>
      <c r="Q22" s="2609"/>
      <c r="R22" s="2674">
        <f>ROUND(M22*N22*O22*P22/10000,0)</f>
        <v>0</v>
      </c>
      <c r="S22" s="2590"/>
      <c r="T22" s="2590"/>
      <c r="U22" s="2590"/>
      <c r="V22" s="2598"/>
    </row>
    <row r="23" spans="1:22" s="2602" customFormat="1" ht="13.2" customHeight="1">
      <c r="A23" s="2678">
        <v>1</v>
      </c>
      <c r="B23" s="2679" t="s">
        <v>2400</v>
      </c>
      <c r="C23" s="2680">
        <f>D6</f>
        <v>0</v>
      </c>
      <c r="D23" s="2681">
        <f>C23*(1+D24)</f>
        <v>0</v>
      </c>
      <c r="E23" s="2682">
        <f>D23*(1+E24)</f>
        <v>0</v>
      </c>
      <c r="F23" s="2683"/>
      <c r="G23" s="2684"/>
      <c r="H23" s="2597"/>
      <c r="I23" s="2598"/>
      <c r="J23" s="3482"/>
      <c r="K23" s="3484"/>
      <c r="L23" s="2632" t="s">
        <v>2401</v>
      </c>
      <c r="M23" s="2633"/>
      <c r="N23" s="2633"/>
      <c r="O23" s="2634"/>
      <c r="P23" s="2635">
        <v>365</v>
      </c>
      <c r="Q23" s="2609"/>
      <c r="R23" s="2674">
        <f>ROUND(M23*N23*O23*P23/10000,0)</f>
        <v>0</v>
      </c>
      <c r="S23" s="2590"/>
      <c r="T23" s="2590"/>
      <c r="U23" s="2590"/>
      <c r="V23" s="2598"/>
    </row>
    <row r="24" spans="1:22" s="2602" customFormat="1" ht="13.2" customHeight="1">
      <c r="A24" s="2685"/>
      <c r="B24" s="2686" t="s">
        <v>2402</v>
      </c>
      <c r="C24" s="2687"/>
      <c r="D24" s="2688"/>
      <c r="E24" s="2689"/>
      <c r="F24" s="2690"/>
      <c r="G24" s="2684"/>
      <c r="H24" s="2597"/>
      <c r="I24" s="2598"/>
      <c r="J24" s="3482"/>
      <c r="K24" s="3485"/>
      <c r="L24" s="2652" t="s">
        <v>2363</v>
      </c>
      <c r="M24" s="2653">
        <f>SUM(M21:M23)</f>
        <v>0</v>
      </c>
      <c r="N24" s="2653"/>
      <c r="O24" s="2654"/>
      <c r="P24" s="2667" t="s">
        <v>2427</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2403</v>
      </c>
      <c r="L25" s="2693"/>
      <c r="M25" s="2693"/>
      <c r="N25" s="2693"/>
      <c r="O25" s="2693"/>
      <c r="P25" s="2694"/>
      <c r="Q25" s="2695">
        <v>0</v>
      </c>
      <c r="R25" s="2668">
        <f>ROUND(R14*Q25,0)</f>
        <v>0</v>
      </c>
      <c r="S25" s="2590"/>
      <c r="T25" s="2590"/>
      <c r="U25" s="2590"/>
      <c r="V25" s="2696"/>
    </row>
    <row r="26" spans="1:22" s="2697" customFormat="1" ht="13.2" customHeight="1">
      <c r="A26" s="2678">
        <v>2</v>
      </c>
      <c r="B26" s="2679" t="s">
        <v>2404</v>
      </c>
      <c r="C26" s="2680">
        <f>D7</f>
        <v>0</v>
      </c>
      <c r="D26" s="2681">
        <f>D23*D27</f>
        <v>0</v>
      </c>
      <c r="E26" s="2682">
        <f>E23*E27</f>
        <v>0</v>
      </c>
      <c r="F26" s="2683"/>
      <c r="G26" s="2684"/>
      <c r="H26" s="2597"/>
      <c r="I26" s="2598"/>
      <c r="J26" s="3492">
        <v>5</v>
      </c>
      <c r="K26" s="2698" t="s">
        <v>2405</v>
      </c>
      <c r="L26" s="2699"/>
      <c r="M26" s="2700"/>
      <c r="N26" s="2701" t="s">
        <v>2406</v>
      </c>
      <c r="O26" s="2701" t="s">
        <v>2407</v>
      </c>
      <c r="P26" s="2702" t="s">
        <v>2408</v>
      </c>
      <c r="Q26" s="2702" t="s">
        <v>2409</v>
      </c>
      <c r="R26" s="2607" t="s">
        <v>2334</v>
      </c>
      <c r="S26" s="2641"/>
      <c r="T26" s="2641"/>
      <c r="U26" s="2641"/>
      <c r="V26" s="2696"/>
    </row>
    <row r="27" spans="1:22" s="2602" customFormat="1" ht="13.2" customHeight="1">
      <c r="A27" s="2685"/>
      <c r="B27" s="2686" t="s">
        <v>2410</v>
      </c>
      <c r="C27" s="2703" t="e">
        <f>E7</f>
        <v>#DIV/0!</v>
      </c>
      <c r="D27" s="2688"/>
      <c r="E27" s="2689"/>
      <c r="F27" s="2690"/>
      <c r="G27" s="2684"/>
      <c r="H27" s="2704"/>
      <c r="I27" s="2696"/>
      <c r="J27" s="3493"/>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2411</v>
      </c>
      <c r="F28" s="2690"/>
      <c r="G28" s="2590"/>
      <c r="H28" s="2704"/>
      <c r="I28" s="2696"/>
      <c r="J28" s="2710">
        <v>6</v>
      </c>
      <c r="K28" s="2711" t="s">
        <v>2412</v>
      </c>
      <c r="L28" s="2712" t="s">
        <v>2413</v>
      </c>
      <c r="M28" s="2713"/>
      <c r="N28" s="2712" t="s">
        <v>2414</v>
      </c>
      <c r="O28" s="2714"/>
      <c r="P28" s="2712" t="s">
        <v>2415</v>
      </c>
      <c r="Q28" s="2715">
        <v>1.4999999999999999E-2</v>
      </c>
      <c r="R28" s="2716"/>
      <c r="S28" s="2590"/>
      <c r="T28" s="2590"/>
      <c r="U28" s="2590"/>
      <c r="V28" s="2696"/>
    </row>
    <row r="29" spans="1:22" s="2697" customFormat="1" ht="13.2" customHeight="1">
      <c r="A29" s="2678">
        <v>3</v>
      </c>
      <c r="B29" s="2679" t="s">
        <v>2416</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2410</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2417</v>
      </c>
      <c r="K31" s="2588"/>
      <c r="L31" s="2588"/>
      <c r="M31" s="2588"/>
      <c r="N31" s="2588"/>
      <c r="O31" s="2588"/>
      <c r="P31" s="2588"/>
      <c r="Q31" s="2588"/>
      <c r="R31" s="2589"/>
      <c r="S31" s="2590"/>
      <c r="T31" s="2590"/>
      <c r="U31" s="2590"/>
      <c r="V31" s="2696"/>
    </row>
    <row r="32" spans="1:22" s="2697" customFormat="1" ht="13.2" customHeight="1">
      <c r="A32" s="2678">
        <v>4</v>
      </c>
      <c r="B32" s="2679" t="s">
        <v>2418</v>
      </c>
      <c r="C32" s="2680">
        <f>C23-C26-C29</f>
        <v>0</v>
      </c>
      <c r="D32" s="2681">
        <f>D23-D26-D29</f>
        <v>0</v>
      </c>
      <c r="E32" s="2682">
        <f>E23-E26-E29</f>
        <v>0</v>
      </c>
      <c r="F32" s="2683"/>
      <c r="G32" s="2590"/>
      <c r="H32" s="2597"/>
      <c r="I32" s="2598"/>
      <c r="J32" s="3475" t="s">
        <v>2310</v>
      </c>
      <c r="K32" s="3476"/>
      <c r="L32" s="2599" t="s">
        <v>2311</v>
      </c>
      <c r="M32" s="2599" t="s">
        <v>2312</v>
      </c>
      <c r="N32" s="2599" t="s">
        <v>2313</v>
      </c>
      <c r="O32" s="2599" t="s">
        <v>2314</v>
      </c>
      <c r="P32" s="2599" t="s">
        <v>2315</v>
      </c>
      <c r="Q32" s="2600" t="s">
        <v>2316</v>
      </c>
      <c r="R32" s="2719" t="s">
        <v>2317</v>
      </c>
      <c r="S32" s="2590"/>
      <c r="T32" s="2590"/>
      <c r="U32" s="2590"/>
      <c r="V32" s="2696"/>
    </row>
    <row r="33" spans="1:23" s="2602" customFormat="1" ht="13.2" customHeight="1">
      <c r="A33" s="2678"/>
      <c r="B33" s="2679"/>
      <c r="C33" s="2680"/>
      <c r="D33" s="2720"/>
      <c r="E33" s="2721"/>
      <c r="F33" s="2683"/>
      <c r="G33" s="2590"/>
      <c r="H33" s="2704"/>
      <c r="I33" s="2696"/>
      <c r="J33" s="3477" t="s">
        <v>2320</v>
      </c>
      <c r="K33" s="3478"/>
      <c r="L33" s="2605"/>
      <c r="M33" s="2605"/>
      <c r="N33" s="2605"/>
      <c r="O33" s="2605"/>
      <c r="P33" s="2605"/>
      <c r="Q33" s="2606"/>
      <c r="R33" s="2722">
        <f>SUM(L33:Q33)</f>
        <v>0</v>
      </c>
      <c r="S33" s="2590"/>
      <c r="T33" s="2590"/>
      <c r="U33" s="2590"/>
      <c r="V33" s="2598"/>
    </row>
    <row r="34" spans="1:23" s="2602" customFormat="1" ht="13.2" customHeight="1">
      <c r="A34" s="2678">
        <v>5</v>
      </c>
      <c r="B34" s="2679" t="s">
        <v>2419</v>
      </c>
      <c r="C34" s="2723"/>
      <c r="D34" s="2724"/>
      <c r="E34" s="2725"/>
      <c r="F34" s="2683"/>
      <c r="G34" s="2590"/>
      <c r="H34" s="2704"/>
      <c r="I34" s="2696"/>
      <c r="J34" s="3477" t="s">
        <v>2322</v>
      </c>
      <c r="K34" s="3478"/>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2420</v>
      </c>
      <c r="C35" s="2727"/>
      <c r="D35" s="2728"/>
      <c r="E35" s="2729"/>
      <c r="F35" s="2683"/>
      <c r="G35" s="2730"/>
      <c r="H35" s="2597"/>
      <c r="I35" s="2696"/>
      <c r="J35" s="2616" t="s">
        <v>2324</v>
      </c>
      <c r="K35" s="2617"/>
      <c r="L35" s="2617"/>
      <c r="M35" s="2618"/>
      <c r="N35" s="2618"/>
      <c r="O35" s="2618"/>
      <c r="P35" s="2618"/>
      <c r="Q35" s="2618"/>
      <c r="R35" s="2731">
        <f>R40+R41+R43</f>
        <v>0</v>
      </c>
      <c r="S35" s="2590"/>
      <c r="T35" s="2590" t="s">
        <v>2325</v>
      </c>
      <c r="U35" s="2590"/>
      <c r="V35" s="2598"/>
    </row>
    <row r="36" spans="1:23" s="2602" customFormat="1" ht="13.2" customHeight="1" thickBot="1">
      <c r="A36" s="2678">
        <v>7</v>
      </c>
      <c r="B36" s="2732" t="s">
        <v>2421</v>
      </c>
      <c r="C36" s="2733"/>
      <c r="D36" s="2734"/>
      <c r="E36" s="2735"/>
      <c r="F36" s="2736">
        <f>C36+D36+E36</f>
        <v>0</v>
      </c>
      <c r="G36" s="2590"/>
      <c r="H36" s="2597"/>
      <c r="I36" s="2598"/>
      <c r="J36" s="3482">
        <v>1</v>
      </c>
      <c r="K36" s="3483" t="s">
        <v>2422</v>
      </c>
      <c r="L36" s="2623"/>
      <c r="M36" s="2624"/>
      <c r="N36" s="2624"/>
      <c r="O36" s="2624"/>
      <c r="P36" s="2624"/>
      <c r="Q36" s="2624"/>
      <c r="R36" s="2607" t="s">
        <v>2334</v>
      </c>
      <c r="S36" s="2590"/>
      <c r="T36" s="2590" t="s">
        <v>2335</v>
      </c>
      <c r="U36" s="2590"/>
      <c r="V36" s="2598"/>
    </row>
    <row r="37" spans="1:23" s="2602" customFormat="1" ht="13.2" customHeight="1">
      <c r="A37" s="2678"/>
      <c r="B37" s="2679"/>
      <c r="C37" s="2679"/>
      <c r="D37" s="2679"/>
      <c r="E37" s="2679"/>
      <c r="F37" s="2683"/>
      <c r="G37" s="2590"/>
      <c r="H37" s="2597"/>
      <c r="I37" s="2598"/>
      <c r="J37" s="3482"/>
      <c r="K37" s="3484"/>
      <c r="L37" s="2632"/>
      <c r="M37" s="2633"/>
      <c r="N37" s="2609"/>
      <c r="O37" s="2634"/>
      <c r="P37" s="2634"/>
      <c r="Q37" s="2635"/>
      <c r="R37" s="2636"/>
      <c r="S37" s="2590"/>
      <c r="T37" s="2590" t="s">
        <v>2338</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82"/>
      <c r="K38" s="3484"/>
      <c r="L38" s="2632"/>
      <c r="M38" s="2633"/>
      <c r="N38" s="2609"/>
      <c r="O38" s="2634"/>
      <c r="P38" s="2634"/>
      <c r="Q38" s="2635"/>
      <c r="R38" s="2636"/>
      <c r="S38" s="2590"/>
      <c r="T38" s="2590" t="s">
        <v>2345</v>
      </c>
      <c r="U38" s="2590"/>
      <c r="V38" s="2598"/>
    </row>
    <row r="39" spans="1:23" s="2602" customFormat="1" ht="13.2" customHeight="1">
      <c r="A39" s="2678">
        <v>9</v>
      </c>
      <c r="B39" s="2679" t="s">
        <v>2423</v>
      </c>
      <c r="C39" s="2646" t="e">
        <f>C38</f>
        <v>#DIV/0!</v>
      </c>
      <c r="D39" s="2679">
        <f>D38/(1+D34)^C36</f>
        <v>0</v>
      </c>
      <c r="E39" s="2679">
        <f>E38/(1+E34)^(C36+D36)</f>
        <v>0</v>
      </c>
      <c r="F39" s="2683"/>
      <c r="G39" s="2598"/>
      <c r="H39" s="2597"/>
      <c r="I39" s="2598"/>
      <c r="J39" s="3482"/>
      <c r="K39" s="3484"/>
      <c r="L39" s="2632"/>
      <c r="M39" s="2633"/>
      <c r="N39" s="2609"/>
      <c r="O39" s="2634"/>
      <c r="P39" s="2634"/>
      <c r="Q39" s="2635"/>
      <c r="R39" s="2636"/>
      <c r="S39" s="2590"/>
      <c r="T39" s="2590"/>
      <c r="U39" s="2590"/>
      <c r="V39" s="2598"/>
    </row>
    <row r="40" spans="1:23" s="2602" customFormat="1" ht="13.2" customHeight="1">
      <c r="A40" s="2737">
        <v>10</v>
      </c>
      <c r="B40" s="2679" t="s">
        <v>2424</v>
      </c>
      <c r="C40" s="2738" t="e">
        <f>C39+D39+E39</f>
        <v>#DIV/0!</v>
      </c>
      <c r="D40" s="2739"/>
      <c r="E40" s="2739"/>
      <c r="F40" s="2740"/>
      <c r="G40" s="2590"/>
      <c r="H40" s="2597"/>
      <c r="I40" s="2598"/>
      <c r="J40" s="3482"/>
      <c r="K40" s="3485"/>
      <c r="L40" s="2652" t="s">
        <v>2363</v>
      </c>
      <c r="M40" s="2653"/>
      <c r="N40" s="2653"/>
      <c r="O40" s="2654"/>
      <c r="P40" s="2654"/>
      <c r="Q40" s="2655"/>
      <c r="R40" s="2601">
        <f>SUM(R37:R39)</f>
        <v>0</v>
      </c>
      <c r="S40" s="2590"/>
      <c r="T40" s="2590"/>
      <c r="U40" s="2590"/>
      <c r="V40" s="2598"/>
    </row>
    <row r="41" spans="1:23" s="2602" customFormat="1" ht="13.2" customHeight="1" thickBot="1">
      <c r="A41" s="2741">
        <v>11</v>
      </c>
      <c r="B41" s="2742" t="s">
        <v>2425</v>
      </c>
      <c r="C41" s="2742" t="e">
        <f>ROUND(C40*10000/B4,0)</f>
        <v>#DIV/0!</v>
      </c>
      <c r="D41" s="2743"/>
      <c r="E41" s="2743"/>
      <c r="F41" s="2744"/>
      <c r="G41" s="2597"/>
      <c r="H41" s="2597"/>
      <c r="I41" s="2598"/>
      <c r="J41" s="2691">
        <v>2</v>
      </c>
      <c r="K41" s="2692" t="s">
        <v>2403</v>
      </c>
      <c r="L41" s="2693"/>
      <c r="M41" s="2693"/>
      <c r="N41" s="2693"/>
      <c r="O41" s="2693"/>
      <c r="P41" s="2694"/>
      <c r="Q41" s="2695"/>
      <c r="R41" s="2668">
        <f>ROUND(R40*Q41,0)</f>
        <v>0</v>
      </c>
      <c r="S41" s="2590"/>
      <c r="T41" s="2590"/>
      <c r="U41" s="2641"/>
      <c r="V41" s="2598"/>
    </row>
    <row r="42" spans="1:23" s="2602" customFormat="1" ht="13.2" customHeight="1">
      <c r="G42" s="2597"/>
      <c r="H42" s="2597"/>
      <c r="I42" s="2598"/>
      <c r="J42" s="3492">
        <v>3</v>
      </c>
      <c r="K42" s="2698" t="s">
        <v>2405</v>
      </c>
      <c r="L42" s="2699"/>
      <c r="M42" s="2700"/>
      <c r="N42" s="2701" t="s">
        <v>2406</v>
      </c>
      <c r="O42" s="2701" t="s">
        <v>2407</v>
      </c>
      <c r="P42" s="2702" t="s">
        <v>2408</v>
      </c>
      <c r="Q42" s="2702" t="s">
        <v>2409</v>
      </c>
      <c r="R42" s="2607" t="s">
        <v>2334</v>
      </c>
      <c r="S42" s="2641"/>
      <c r="T42" s="2641"/>
      <c r="U42" s="2590"/>
      <c r="V42" s="2598"/>
    </row>
    <row r="43" spans="1:23" ht="13.2" customHeight="1">
      <c r="A43" s="2602"/>
      <c r="B43" s="2602"/>
      <c r="C43" s="2602"/>
      <c r="D43" s="2602"/>
      <c r="E43" s="2602"/>
      <c r="F43" s="2602"/>
      <c r="I43" s="2585"/>
      <c r="J43" s="3493"/>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2412</v>
      </c>
      <c r="L44" s="2747" t="s">
        <v>2413</v>
      </c>
      <c r="M44" s="2713"/>
      <c r="N44" s="2747" t="s">
        <v>2414</v>
      </c>
      <c r="O44" s="2713"/>
      <c r="P44" s="2747" t="s">
        <v>2415</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7"/>
      <c r="G1" s="459"/>
      <c r="H1" s="459"/>
      <c r="I1" s="459"/>
      <c r="J1" s="459"/>
      <c r="K1" s="459"/>
      <c r="L1" s="459"/>
      <c r="M1" s="459"/>
      <c r="N1" s="459"/>
      <c r="O1" s="459"/>
      <c r="P1" s="459"/>
      <c r="Q1" s="459"/>
      <c r="R1" s="459"/>
      <c r="S1" s="459"/>
    </row>
    <row r="2" spans="1:22" ht="15.6">
      <c r="A2" s="1727" t="s">
        <v>1462</v>
      </c>
      <c r="B2" s="810">
        <f ca="1">SUMIF(B6:B13,"&lt;&gt;#ref!",B6:B13)</f>
        <v>0</v>
      </c>
      <c r="C2" s="1728" t="s">
        <v>1651</v>
      </c>
      <c r="D2" s="1729" t="s">
        <v>1652</v>
      </c>
      <c r="E2" s="2391">
        <f>SUM(E6:E13)</f>
        <v>0</v>
      </c>
      <c r="F2" s="2477"/>
      <c r="G2" s="459"/>
      <c r="H2" s="459"/>
      <c r="I2" s="459"/>
      <c r="J2" s="459"/>
      <c r="K2" s="459"/>
      <c r="L2" s="459"/>
      <c r="M2" s="459"/>
      <c r="N2" s="459"/>
      <c r="O2" s="459"/>
      <c r="P2" s="459"/>
      <c r="Q2" s="459"/>
      <c r="R2" s="459"/>
      <c r="S2" s="459"/>
    </row>
    <row r="3" spans="1:22" ht="15.6">
      <c r="A3" s="1727" t="s">
        <v>686</v>
      </c>
      <c r="B3" s="2385" t="e">
        <f ca="1">ROUND(B2*10000/E2,0)</f>
        <v>#DIV/0!</v>
      </c>
      <c r="C3" s="1728"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94" t="s">
        <v>1654</v>
      </c>
      <c r="C5" s="3495"/>
      <c r="D5" s="2478"/>
      <c r="E5" s="1730" t="s">
        <v>1655</v>
      </c>
      <c r="F5" s="129" t="s">
        <v>1656</v>
      </c>
      <c r="G5" s="459"/>
      <c r="H5" s="459"/>
      <c r="I5" s="459"/>
      <c r="J5" s="459"/>
      <c r="K5" s="459"/>
      <c r="L5" s="459"/>
      <c r="M5" s="459"/>
      <c r="N5" s="459"/>
      <c r="O5" s="459"/>
      <c r="P5" s="459"/>
      <c r="Q5" s="459"/>
      <c r="R5" s="459"/>
      <c r="S5" s="459"/>
    </row>
    <row r="6" spans="1:22" ht="14.4">
      <c r="A6" s="2388">
        <f>'数据-取费表'!AN6</f>
        <v>0</v>
      </c>
      <c r="B6" s="2386" t="e">
        <f ca="1">IF(F6="是",'数据-取费表'!AO6,0)</f>
        <v>#REF!</v>
      </c>
      <c r="C6" s="1728" t="s">
        <v>1651</v>
      </c>
      <c r="D6" s="2477"/>
      <c r="E6" s="2390">
        <f>IF(OR(A6=0,F6="否"),0,'数据-取费表'!K6+'数据-取费表'!S6)</f>
        <v>0</v>
      </c>
      <c r="F6" s="1731"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8" t="s">
        <v>1651</v>
      </c>
      <c r="D7" s="2477"/>
      <c r="E7" s="2390">
        <f>IF(OR(A7=0,F7="否"),0,'数据-取费表'!K7+'数据-取费表'!S7)</f>
        <v>0</v>
      </c>
      <c r="F7" s="1731"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8" t="s">
        <v>1651</v>
      </c>
      <c r="D8" s="2477"/>
      <c r="E8" s="2390">
        <f>IF(OR(A8=0,F8="否"),0,'数据-取费表'!K8+'数据-取费表'!S8)</f>
        <v>0</v>
      </c>
      <c r="F8" s="1731"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8" t="s">
        <v>1651</v>
      </c>
      <c r="D9" s="2477"/>
      <c r="E9" s="2390">
        <f>IF(OR(A9=0,F9="否"),0,'数据-取费表'!K9+'数据-取费表'!S9)</f>
        <v>0</v>
      </c>
      <c r="F9" s="1731"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8" t="s">
        <v>1651</v>
      </c>
      <c r="D10" s="2477"/>
      <c r="E10" s="2390">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8" t="s">
        <v>1651</v>
      </c>
      <c r="D11" s="2477"/>
      <c r="E11" s="2390">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8" t="s">
        <v>1651</v>
      </c>
      <c r="D12" s="2477"/>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受贵公司委托，我公司对北京市朝阳区东直门外斜街8号院房地产抵押价值进行了预评估。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估价对象为北京市朝阳区东直门外斜街8号院房地产，为所有。根据《国有土地使用证》[]，估价对象（分摊）出让国有建设用地使用权面积为0平方米，建筑面积为182.59平方米。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估价对象为北京市朝阳区东直门外斜街8号院房地产,属开发建设的，该项目尚在开发建设中。根据《国有土地使用证》[]，估价对象（分摊）出让国有建设用地使用权面积为0平方米，规划建筑面积为182.59平方米。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2025年6月17日（评估专业人员实地查勘之日）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本次评估采用的主估价方法为比较法和成本法。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182.59</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4.4">
      <c r="A4" s="345" t="s">
        <v>1769</v>
      </c>
      <c r="B4" s="346"/>
      <c r="C4" s="3443" t="s">
        <v>1770</v>
      </c>
      <c r="D4" s="3444"/>
      <c r="E4" s="3445" t="s">
        <v>1771</v>
      </c>
      <c r="F4" s="3446"/>
      <c r="G4" s="3443" t="s">
        <v>1772</v>
      </c>
      <c r="H4" s="3444"/>
      <c r="I4" s="3443" t="s">
        <v>1773</v>
      </c>
      <c r="J4" s="3444"/>
      <c r="K4" s="537" t="s">
        <v>1774</v>
      </c>
      <c r="L4" s="2484"/>
      <c r="M4" s="2485"/>
      <c r="N4" s="2485"/>
      <c r="O4" s="2485"/>
      <c r="P4" s="3447" t="s">
        <v>1775</v>
      </c>
      <c r="Q4" s="3448"/>
      <c r="R4" s="3429" t="s">
        <v>1771</v>
      </c>
      <c r="S4" s="3430"/>
      <c r="T4" s="3429" t="s">
        <v>1772</v>
      </c>
      <c r="U4" s="3430"/>
      <c r="V4" s="3455" t="s">
        <v>1773</v>
      </c>
      <c r="W4" s="3455"/>
      <c r="X4" s="1264"/>
      <c r="Y4" s="3429" t="s">
        <v>1775</v>
      </c>
      <c r="Z4" s="3430"/>
      <c r="AA4" s="3424" t="s">
        <v>1771</v>
      </c>
      <c r="AB4" s="3455" t="s">
        <v>1772</v>
      </c>
      <c r="AC4" s="3424" t="s">
        <v>1773</v>
      </c>
    </row>
    <row r="5" spans="1:29">
      <c r="A5" s="348"/>
      <c r="B5" s="349"/>
      <c r="C5" s="3435" t="s">
        <v>1673</v>
      </c>
      <c r="D5" s="3436"/>
      <c r="E5" s="3496" t="s">
        <v>1674</v>
      </c>
      <c r="F5" s="3434"/>
      <c r="G5" s="3435" t="s">
        <v>1675</v>
      </c>
      <c r="H5" s="3436"/>
      <c r="I5" s="3435" t="s">
        <v>1676</v>
      </c>
      <c r="J5" s="3436"/>
      <c r="K5" s="537"/>
      <c r="L5" s="2484"/>
      <c r="M5" s="2485"/>
      <c r="N5" s="2485"/>
      <c r="O5" s="2485"/>
      <c r="P5" s="3449"/>
      <c r="Q5" s="3450"/>
      <c r="R5" s="3431"/>
      <c r="S5" s="3432"/>
      <c r="T5" s="3431"/>
      <c r="U5" s="3432"/>
      <c r="V5" s="3455"/>
      <c r="W5" s="3455"/>
      <c r="X5" s="1264"/>
      <c r="Y5" s="3431"/>
      <c r="Z5" s="3432"/>
      <c r="AA5" s="3425"/>
      <c r="AB5" s="3455"/>
      <c r="AC5" s="3425"/>
    </row>
    <row r="6" spans="1:29" ht="15" thickBot="1">
      <c r="A6" s="350"/>
      <c r="B6" s="351"/>
      <c r="C6" s="3437" t="s">
        <v>1677</v>
      </c>
      <c r="D6" s="3438"/>
      <c r="E6" s="3440" t="s">
        <v>1677</v>
      </c>
      <c r="F6" s="3441"/>
      <c r="G6" s="3437" t="s">
        <v>1677</v>
      </c>
      <c r="H6" s="3438"/>
      <c r="I6" s="3437" t="s">
        <v>1677</v>
      </c>
      <c r="J6" s="3438"/>
      <c r="K6" s="537" t="s">
        <v>1678</v>
      </c>
      <c r="L6" s="2484"/>
      <c r="M6" s="2485"/>
      <c r="N6" s="2485"/>
      <c r="O6" s="2485"/>
      <c r="P6" s="3451"/>
      <c r="Q6" s="3452"/>
      <c r="R6" s="3431"/>
      <c r="S6" s="3432"/>
      <c r="T6" s="3453"/>
      <c r="U6" s="3454"/>
      <c r="V6" s="3455"/>
      <c r="W6" s="3455"/>
      <c r="X6" s="1264"/>
      <c r="Y6" s="3453"/>
      <c r="Z6" s="3454"/>
      <c r="AA6" s="3426"/>
      <c r="AB6" s="3455"/>
      <c r="AC6" s="3426"/>
    </row>
    <row r="7" spans="1:29" s="102" customFormat="1" ht="15" thickBot="1">
      <c r="A7" s="352" t="s">
        <v>1679</v>
      </c>
      <c r="B7" s="353"/>
      <c r="C7" s="354">
        <f>'数据-取费表'!B2</f>
        <v>45825</v>
      </c>
      <c r="D7" s="355">
        <v>100</v>
      </c>
      <c r="E7" s="356"/>
      <c r="F7" s="357">
        <f>SUMIF(58:58,YEAR(E7)&amp;"-"&amp;MONTH(E7),59:59)</f>
        <v>0</v>
      </c>
      <c r="G7" s="356"/>
      <c r="H7" s="355">
        <f>SUMIF(58:58,YEAR(G7)&amp;"-"&amp;MONTH(G7),59:59)</f>
        <v>0</v>
      </c>
      <c r="I7" s="356"/>
      <c r="J7" s="355">
        <f>SUMIF(58:58,YEAR(I7)&amp;"-"&amp;MONTH(I7),59:59)</f>
        <v>0</v>
      </c>
      <c r="K7" s="38"/>
      <c r="L7" s="2486"/>
      <c r="M7" s="2438"/>
      <c r="N7" s="2438"/>
      <c r="O7" s="2438"/>
      <c r="P7" s="3427" t="s">
        <v>1680</v>
      </c>
      <c r="Q7" s="3456"/>
      <c r="R7" s="663" t="s">
        <v>14</v>
      </c>
      <c r="S7" s="664">
        <f t="shared" ref="S7:S15" si="0">F7</f>
        <v>0</v>
      </c>
      <c r="T7" s="663" t="s">
        <v>14</v>
      </c>
      <c r="U7" s="664">
        <f t="shared" ref="U7:U15" si="1">H7</f>
        <v>0</v>
      </c>
      <c r="V7" s="663" t="s">
        <v>14</v>
      </c>
      <c r="W7" s="664">
        <f t="shared" ref="W7:W15" si="2">J7</f>
        <v>0</v>
      </c>
      <c r="X7" s="665"/>
      <c r="Y7" s="3427" t="s">
        <v>1680</v>
      </c>
      <c r="Z7" s="342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27" t="s">
        <v>1683</v>
      </c>
      <c r="Q8" s="3428"/>
      <c r="R8" s="663" t="s">
        <v>14</v>
      </c>
      <c r="S8" s="664">
        <f t="shared" si="0"/>
        <v>100</v>
      </c>
      <c r="T8" s="663" t="s">
        <v>14</v>
      </c>
      <c r="U8" s="664">
        <f t="shared" si="1"/>
        <v>100</v>
      </c>
      <c r="V8" s="663" t="s">
        <v>14</v>
      </c>
      <c r="W8" s="664">
        <f t="shared" si="2"/>
        <v>100</v>
      </c>
      <c r="X8" s="665"/>
      <c r="Y8" s="3427" t="s">
        <v>1683</v>
      </c>
      <c r="Z8" s="342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42" t="s">
        <v>1686</v>
      </c>
      <c r="Q9" s="530" t="str">
        <f t="shared" ref="Q9:Q15" si="6">B9</f>
        <v>用途</v>
      </c>
      <c r="R9" s="663" t="s">
        <v>14</v>
      </c>
      <c r="S9" s="664">
        <f t="shared" si="0"/>
        <v>100</v>
      </c>
      <c r="T9" s="663" t="s">
        <v>14</v>
      </c>
      <c r="U9" s="664">
        <f t="shared" si="1"/>
        <v>100</v>
      </c>
      <c r="V9" s="663" t="s">
        <v>14</v>
      </c>
      <c r="W9" s="664">
        <f t="shared" si="2"/>
        <v>100</v>
      </c>
      <c r="X9" s="665"/>
      <c r="Y9" s="337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42"/>
      <c r="Q10" s="530" t="str">
        <f t="shared" si="6"/>
        <v>土地使用年限（年）</v>
      </c>
      <c r="R10" s="663" t="s">
        <v>14</v>
      </c>
      <c r="S10" s="664">
        <f t="shared" si="0"/>
        <v>100</v>
      </c>
      <c r="T10" s="663" t="s">
        <v>14</v>
      </c>
      <c r="U10" s="664">
        <f t="shared" si="1"/>
        <v>100</v>
      </c>
      <c r="V10" s="663" t="s">
        <v>14</v>
      </c>
      <c r="W10" s="664">
        <f t="shared" si="2"/>
        <v>100</v>
      </c>
      <c r="X10" s="665"/>
      <c r="Y10" s="337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42"/>
      <c r="Q11" s="530" t="str">
        <f t="shared" si="6"/>
        <v>容积率</v>
      </c>
      <c r="R11" s="663" t="s">
        <v>14</v>
      </c>
      <c r="S11" s="664" t="e">
        <f t="shared" si="0"/>
        <v>#N/A</v>
      </c>
      <c r="T11" s="663" t="s">
        <v>14</v>
      </c>
      <c r="U11" s="664" t="e">
        <f t="shared" si="1"/>
        <v>#N/A</v>
      </c>
      <c r="V11" s="663" t="s">
        <v>14</v>
      </c>
      <c r="W11" s="664" t="e">
        <f t="shared" si="2"/>
        <v>#N/A</v>
      </c>
      <c r="X11" s="665"/>
      <c r="Y11" s="337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42"/>
      <c r="Q12" s="530">
        <f t="shared" si="6"/>
        <v>111</v>
      </c>
      <c r="R12" s="663" t="s">
        <v>14</v>
      </c>
      <c r="S12" s="664">
        <f t="shared" si="0"/>
        <v>100</v>
      </c>
      <c r="T12" s="663" t="s">
        <v>14</v>
      </c>
      <c r="U12" s="664">
        <f t="shared" si="1"/>
        <v>100</v>
      </c>
      <c r="V12" s="663" t="s">
        <v>14</v>
      </c>
      <c r="W12" s="664">
        <f t="shared" si="2"/>
        <v>100</v>
      </c>
      <c r="X12" s="665"/>
      <c r="Y12" s="33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42"/>
      <c r="Q13" s="530">
        <f t="shared" si="6"/>
        <v>111</v>
      </c>
      <c r="R13" s="663" t="s">
        <v>14</v>
      </c>
      <c r="S13" s="664">
        <f t="shared" si="0"/>
        <v>100</v>
      </c>
      <c r="T13" s="663" t="s">
        <v>14</v>
      </c>
      <c r="U13" s="664">
        <f t="shared" si="1"/>
        <v>100</v>
      </c>
      <c r="V13" s="663" t="s">
        <v>14</v>
      </c>
      <c r="W13" s="664">
        <f t="shared" si="2"/>
        <v>100</v>
      </c>
      <c r="X13" s="665"/>
      <c r="Y13" s="3372"/>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42"/>
      <c r="Q14" s="530">
        <f t="shared" si="6"/>
        <v>111</v>
      </c>
      <c r="R14" s="663" t="s">
        <v>14</v>
      </c>
      <c r="S14" s="664">
        <f t="shared" si="0"/>
        <v>100</v>
      </c>
      <c r="T14" s="663" t="s">
        <v>14</v>
      </c>
      <c r="U14" s="664">
        <f t="shared" si="1"/>
        <v>100</v>
      </c>
      <c r="V14" s="663" t="s">
        <v>14</v>
      </c>
      <c r="W14" s="664">
        <f t="shared" si="2"/>
        <v>100</v>
      </c>
      <c r="X14" s="665"/>
      <c r="Y14" s="3372"/>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68" t="s">
        <v>1691</v>
      </c>
      <c r="Q15" s="1262" t="str">
        <f t="shared" si="6"/>
        <v>商业繁华度</v>
      </c>
      <c r="R15" s="666" t="s">
        <v>14</v>
      </c>
      <c r="S15" s="667">
        <f t="shared" si="0"/>
        <v>100</v>
      </c>
      <c r="T15" s="666" t="s">
        <v>14</v>
      </c>
      <c r="U15" s="667">
        <f t="shared" si="1"/>
        <v>100</v>
      </c>
      <c r="V15" s="666" t="s">
        <v>14</v>
      </c>
      <c r="W15" s="667">
        <f t="shared" si="2"/>
        <v>100</v>
      </c>
      <c r="X15" s="1264"/>
      <c r="Y15" s="3461"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69"/>
      <c r="Q16" s="1262"/>
      <c r="R16" s="666"/>
      <c r="S16" s="667"/>
      <c r="T16" s="666"/>
      <c r="U16" s="667"/>
      <c r="V16" s="666"/>
      <c r="W16" s="667"/>
      <c r="X16" s="1264"/>
      <c r="Y16" s="3462"/>
      <c r="Z16" s="1263"/>
      <c r="AA16" s="1263">
        <v>1</v>
      </c>
      <c r="AB16" s="1263">
        <v>1</v>
      </c>
      <c r="AC16" s="1263">
        <v>1</v>
      </c>
    </row>
    <row r="17" spans="1:29" ht="96.6">
      <c r="A17" s="367"/>
      <c r="B17" s="390" t="s">
        <v>1259</v>
      </c>
      <c r="C17" s="1753" t="str">
        <f>估价对象房地状况!C6</f>
        <v>2、13、17、机场快线等多个地铁线路；3、359、915、123、515等多条，东直门长途汽车站，较好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69"/>
      <c r="Q17" s="1262" t="str">
        <f>B17</f>
        <v>交通便捷度</v>
      </c>
      <c r="R17" s="666" t="s">
        <v>14</v>
      </c>
      <c r="S17" s="667">
        <f>F17</f>
        <v>100</v>
      </c>
      <c r="T17" s="666" t="s">
        <v>14</v>
      </c>
      <c r="U17" s="667">
        <f>H17</f>
        <v>100</v>
      </c>
      <c r="V17" s="666" t="s">
        <v>14</v>
      </c>
      <c r="W17" s="667">
        <f>J17</f>
        <v>100</v>
      </c>
      <c r="X17" s="1264"/>
      <c r="Y17" s="346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69"/>
      <c r="Q18" s="1262"/>
      <c r="R18" s="666"/>
      <c r="S18" s="667"/>
      <c r="T18" s="666"/>
      <c r="U18" s="667"/>
      <c r="V18" s="666"/>
      <c r="W18" s="667"/>
      <c r="X18" s="1264"/>
      <c r="Y18" s="3462"/>
      <c r="Z18" s="1263"/>
      <c r="AA18" s="1263">
        <v>1</v>
      </c>
      <c r="AB18" s="1263">
        <v>1</v>
      </c>
      <c r="AC18" s="1263">
        <v>1</v>
      </c>
    </row>
    <row r="19" spans="1:29" ht="96.6">
      <c r="A19" s="367"/>
      <c r="B19" s="390" t="s">
        <v>1778</v>
      </c>
      <c r="C19" s="1753" t="str">
        <f>估价对象房地状况!C7</f>
        <v>工商银行、华夏银行；来福士、银座MALL；东直门中学、清华附中朝阳学校；北京中医院大学东直门医院等</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69"/>
      <c r="Q19" s="1262" t="str">
        <f>B19</f>
        <v>公共配套设施</v>
      </c>
      <c r="R19" s="666" t="s">
        <v>14</v>
      </c>
      <c r="S19" s="667">
        <f>F19</f>
        <v>100</v>
      </c>
      <c r="T19" s="666" t="s">
        <v>14</v>
      </c>
      <c r="U19" s="667">
        <f>H19</f>
        <v>100</v>
      </c>
      <c r="V19" s="666" t="s">
        <v>14</v>
      </c>
      <c r="W19" s="667">
        <f>J19</f>
        <v>100</v>
      </c>
      <c r="X19" s="1264"/>
      <c r="Y19" s="346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69"/>
      <c r="Q20" s="1262"/>
      <c r="R20" s="666"/>
      <c r="S20" s="667"/>
      <c r="T20" s="666"/>
      <c r="U20" s="667"/>
      <c r="V20" s="666"/>
      <c r="W20" s="667"/>
      <c r="X20" s="1264"/>
      <c r="Y20" s="3462"/>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69"/>
      <c r="Q21" s="1262" t="str">
        <f>B21</f>
        <v>基础设施水平</v>
      </c>
      <c r="R21" s="666" t="s">
        <v>14</v>
      </c>
      <c r="S21" s="667">
        <f>F21</f>
        <v>100</v>
      </c>
      <c r="T21" s="666" t="s">
        <v>14</v>
      </c>
      <c r="U21" s="667">
        <f>H21</f>
        <v>100</v>
      </c>
      <c r="V21" s="666" t="s">
        <v>14</v>
      </c>
      <c r="W21" s="667">
        <f>J21</f>
        <v>100</v>
      </c>
      <c r="X21" s="1264"/>
      <c r="Y21" s="346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0"/>
      <c r="M22" s="2485"/>
      <c r="N22" s="2485"/>
      <c r="O22" s="2485"/>
      <c r="P22" s="3469"/>
      <c r="Q22" s="1262"/>
      <c r="R22" s="666"/>
      <c r="S22" s="667"/>
      <c r="T22" s="666"/>
      <c r="U22" s="667"/>
      <c r="V22" s="666"/>
      <c r="W22" s="667"/>
      <c r="X22" s="1264"/>
      <c r="Y22" s="3462"/>
      <c r="Z22" s="1263"/>
      <c r="AA22" s="1263">
        <v>1</v>
      </c>
      <c r="AB22" s="1263">
        <v>1</v>
      </c>
      <c r="AC22" s="1263">
        <v>1</v>
      </c>
    </row>
    <row r="23" spans="1:29" ht="110.4">
      <c r="A23" s="367"/>
      <c r="B23" s="390" t="s">
        <v>1261</v>
      </c>
      <c r="C23" s="1805" t="str">
        <f>估价对象房地状况!C9</f>
        <v>区域自然环境：亮马河公园、左家庄公园、亮马河；人文环境：使馆区、北京自来水博物馆；综合评价环境状况较好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69"/>
      <c r="Q23" s="1262" t="str">
        <f>B23</f>
        <v>自然及人文环境</v>
      </c>
      <c r="R23" s="666" t="s">
        <v>14</v>
      </c>
      <c r="S23" s="667">
        <f>F23</f>
        <v>100</v>
      </c>
      <c r="T23" s="666" t="s">
        <v>14</v>
      </c>
      <c r="U23" s="667">
        <f>H23</f>
        <v>100</v>
      </c>
      <c r="V23" s="666" t="s">
        <v>14</v>
      </c>
      <c r="W23" s="667">
        <f>J23</f>
        <v>100</v>
      </c>
      <c r="X23" s="1264"/>
      <c r="Y23" s="3462"/>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69"/>
      <c r="Q24" s="1262"/>
      <c r="R24" s="666"/>
      <c r="S24" s="667"/>
      <c r="T24" s="666"/>
      <c r="U24" s="667"/>
      <c r="V24" s="666"/>
      <c r="W24" s="667"/>
      <c r="X24" s="1264"/>
      <c r="Y24" s="3462"/>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69"/>
      <c r="Q25" s="1262" t="str">
        <f t="shared" ref="Q25:Q46" si="11">B25</f>
        <v>临街状况</v>
      </c>
      <c r="R25" s="666" t="s">
        <v>14</v>
      </c>
      <c r="S25" s="667">
        <f>F25</f>
        <v>100</v>
      </c>
      <c r="T25" s="666" t="s">
        <v>14</v>
      </c>
      <c r="U25" s="667">
        <f>H25</f>
        <v>100</v>
      </c>
      <c r="V25" s="666" t="s">
        <v>14</v>
      </c>
      <c r="W25" s="667">
        <f>J25</f>
        <v>100</v>
      </c>
      <c r="X25" s="1264"/>
      <c r="Y25" s="3462"/>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69"/>
      <c r="Q26" s="1262" t="str">
        <f t="shared" si="11"/>
        <v>平面位置/可视性</v>
      </c>
      <c r="R26" s="666" t="s">
        <v>14</v>
      </c>
      <c r="S26" s="667">
        <f>F26</f>
        <v>100</v>
      </c>
      <c r="T26" s="666" t="s">
        <v>14</v>
      </c>
      <c r="U26" s="667">
        <f>H26</f>
        <v>100</v>
      </c>
      <c r="V26" s="666" t="s">
        <v>14</v>
      </c>
      <c r="W26" s="667">
        <f>J26</f>
        <v>100</v>
      </c>
      <c r="X26" s="1264"/>
      <c r="Y26" s="3462"/>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6"/>
      <c r="M27" s="2438"/>
      <c r="N27" s="2438"/>
      <c r="O27" s="2438"/>
      <c r="P27" s="3469"/>
      <c r="Q27" s="530" t="str">
        <f t="shared" si="11"/>
        <v>人流量</v>
      </c>
      <c r="R27" s="663" t="s">
        <v>14</v>
      </c>
      <c r="S27" s="664">
        <f>F27</f>
        <v>100</v>
      </c>
      <c r="T27" s="663" t="s">
        <v>14</v>
      </c>
      <c r="U27" s="664">
        <f>H27</f>
        <v>100</v>
      </c>
      <c r="V27" s="663" t="s">
        <v>14</v>
      </c>
      <c r="W27" s="664">
        <f>J27</f>
        <v>100</v>
      </c>
      <c r="X27" s="665"/>
      <c r="Y27" s="3462"/>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69"/>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62"/>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69"/>
      <c r="Q29" s="1262">
        <f t="shared" si="11"/>
        <v>111</v>
      </c>
      <c r="R29" s="666" t="s">
        <v>14</v>
      </c>
      <c r="S29" s="667">
        <f t="shared" si="12"/>
        <v>100</v>
      </c>
      <c r="T29" s="666" t="s">
        <v>14</v>
      </c>
      <c r="U29" s="667">
        <f t="shared" si="13"/>
        <v>100</v>
      </c>
      <c r="V29" s="666" t="s">
        <v>14</v>
      </c>
      <c r="W29" s="667">
        <f t="shared" si="14"/>
        <v>100</v>
      </c>
      <c r="X29" s="1264"/>
      <c r="Y29" s="3462"/>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69"/>
      <c r="Q30" s="1262">
        <f t="shared" si="11"/>
        <v>111</v>
      </c>
      <c r="R30" s="666" t="s">
        <v>14</v>
      </c>
      <c r="S30" s="667">
        <f t="shared" si="12"/>
        <v>100</v>
      </c>
      <c r="T30" s="666" t="s">
        <v>14</v>
      </c>
      <c r="U30" s="667">
        <f t="shared" si="13"/>
        <v>100</v>
      </c>
      <c r="V30" s="666" t="s">
        <v>14</v>
      </c>
      <c r="W30" s="667">
        <f t="shared" si="14"/>
        <v>100</v>
      </c>
      <c r="X30" s="1264"/>
      <c r="Y30" s="3462"/>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69"/>
      <c r="Q31" s="1262">
        <f t="shared" si="11"/>
        <v>111</v>
      </c>
      <c r="R31" s="666" t="s">
        <v>14</v>
      </c>
      <c r="S31" s="667">
        <f t="shared" si="12"/>
        <v>100</v>
      </c>
      <c r="T31" s="666" t="s">
        <v>14</v>
      </c>
      <c r="U31" s="667">
        <f t="shared" si="13"/>
        <v>100</v>
      </c>
      <c r="V31" s="666" t="s">
        <v>14</v>
      </c>
      <c r="W31" s="667">
        <f t="shared" si="14"/>
        <v>100</v>
      </c>
      <c r="X31" s="1264"/>
      <c r="Y31" s="3462"/>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63" t="s">
        <v>1696</v>
      </c>
      <c r="Q32" s="1262" t="str">
        <f t="shared" si="11"/>
        <v>商业类型</v>
      </c>
      <c r="R32" s="666" t="s">
        <v>14</v>
      </c>
      <c r="S32" s="667">
        <f t="shared" si="12"/>
        <v>100</v>
      </c>
      <c r="T32" s="666" t="s">
        <v>14</v>
      </c>
      <c r="U32" s="667">
        <f t="shared" si="13"/>
        <v>100</v>
      </c>
      <c r="V32" s="666" t="s">
        <v>14</v>
      </c>
      <c r="W32" s="667">
        <f t="shared" si="14"/>
        <v>100</v>
      </c>
      <c r="X32" s="1264"/>
      <c r="Y32" s="3466"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64"/>
      <c r="Q33" s="531" t="str">
        <f t="shared" si="11"/>
        <v>项目建筑规模</v>
      </c>
      <c r="R33" s="668" t="s">
        <v>14</v>
      </c>
      <c r="S33" s="669" t="e">
        <f t="shared" si="12"/>
        <v>#N/A</v>
      </c>
      <c r="T33" s="668" t="s">
        <v>14</v>
      </c>
      <c r="U33" s="669" t="e">
        <f t="shared" si="13"/>
        <v>#N/A</v>
      </c>
      <c r="V33" s="668" t="s">
        <v>14</v>
      </c>
      <c r="W33" s="669" t="e">
        <f t="shared" si="14"/>
        <v>#N/A</v>
      </c>
      <c r="X33" s="670"/>
      <c r="Y33" s="3466"/>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64"/>
      <c r="Q34" s="1262" t="str">
        <f t="shared" si="11"/>
        <v>建筑结构</v>
      </c>
      <c r="R34" s="666" t="s">
        <v>14</v>
      </c>
      <c r="S34" s="667">
        <f t="shared" si="12"/>
        <v>100</v>
      </c>
      <c r="T34" s="666" t="s">
        <v>14</v>
      </c>
      <c r="U34" s="667">
        <f t="shared" si="13"/>
        <v>100</v>
      </c>
      <c r="V34" s="666" t="s">
        <v>14</v>
      </c>
      <c r="W34" s="667">
        <f t="shared" si="14"/>
        <v>100</v>
      </c>
      <c r="X34" s="1264"/>
      <c r="Y34" s="3466"/>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64"/>
      <c r="Q35" s="1262" t="str">
        <f t="shared" si="11"/>
        <v>公共部分装修</v>
      </c>
      <c r="R35" s="666" t="s">
        <v>14</v>
      </c>
      <c r="S35" s="667">
        <f t="shared" si="12"/>
        <v>100</v>
      </c>
      <c r="T35" s="666" t="s">
        <v>14</v>
      </c>
      <c r="U35" s="667">
        <f t="shared" si="13"/>
        <v>100</v>
      </c>
      <c r="V35" s="666" t="s">
        <v>14</v>
      </c>
      <c r="W35" s="667">
        <f t="shared" si="14"/>
        <v>100</v>
      </c>
      <c r="X35" s="1264"/>
      <c r="Y35" s="3466"/>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64"/>
      <c r="Q36" s="1262" t="str">
        <f t="shared" si="11"/>
        <v>成新度</v>
      </c>
      <c r="R36" s="666" t="s">
        <v>14</v>
      </c>
      <c r="S36" s="667" t="e">
        <f t="shared" si="12"/>
        <v>#N/A</v>
      </c>
      <c r="T36" s="666" t="s">
        <v>14</v>
      </c>
      <c r="U36" s="667" t="e">
        <f t="shared" si="13"/>
        <v>#N/A</v>
      </c>
      <c r="V36" s="666" t="s">
        <v>14</v>
      </c>
      <c r="W36" s="667" t="e">
        <f t="shared" si="14"/>
        <v>#N/A</v>
      </c>
      <c r="X36" s="1264"/>
      <c r="Y36" s="3466"/>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8"/>
      <c r="N37" s="2438"/>
      <c r="O37" s="2438"/>
      <c r="P37" s="3464"/>
      <c r="Q37" s="530" t="str">
        <f t="shared" si="11"/>
        <v>市政基础设施</v>
      </c>
      <c r="R37" s="663" t="s">
        <v>14</v>
      </c>
      <c r="S37" s="664">
        <f t="shared" si="12"/>
        <v>100</v>
      </c>
      <c r="T37" s="663" t="s">
        <v>14</v>
      </c>
      <c r="U37" s="664">
        <f t="shared" si="13"/>
        <v>100</v>
      </c>
      <c r="V37" s="663" t="s">
        <v>14</v>
      </c>
      <c r="W37" s="664">
        <f t="shared" si="14"/>
        <v>100</v>
      </c>
      <c r="X37" s="665"/>
      <c r="Y37" s="346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64" t="s">
        <v>1696</v>
      </c>
      <c r="Q38" s="1262" t="str">
        <f t="shared" si="11"/>
        <v>业态</v>
      </c>
      <c r="R38" s="666" t="s">
        <v>14</v>
      </c>
      <c r="S38" s="667">
        <f t="shared" si="12"/>
        <v>100</v>
      </c>
      <c r="T38" s="666" t="s">
        <v>14</v>
      </c>
      <c r="U38" s="667">
        <f t="shared" si="13"/>
        <v>100</v>
      </c>
      <c r="V38" s="666" t="s">
        <v>14</v>
      </c>
      <c r="W38" s="667">
        <f t="shared" si="14"/>
        <v>100</v>
      </c>
      <c r="X38" s="1264"/>
      <c r="Y38" s="3466"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64"/>
      <c r="Q39" s="1262" t="str">
        <f t="shared" si="11"/>
        <v>层高</v>
      </c>
      <c r="R39" s="666" t="s">
        <v>14</v>
      </c>
      <c r="S39" s="667">
        <f t="shared" si="12"/>
        <v>100</v>
      </c>
      <c r="T39" s="666" t="s">
        <v>14</v>
      </c>
      <c r="U39" s="667">
        <f t="shared" si="13"/>
        <v>100</v>
      </c>
      <c r="V39" s="666" t="s">
        <v>14</v>
      </c>
      <c r="W39" s="667">
        <f t="shared" si="14"/>
        <v>100</v>
      </c>
      <c r="X39" s="1264"/>
      <c r="Y39" s="3466"/>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64"/>
      <c r="Q40" s="1262" t="str">
        <f t="shared" si="11"/>
        <v>单套建筑面积</v>
      </c>
      <c r="R40" s="666" t="s">
        <v>14</v>
      </c>
      <c r="S40" s="667">
        <f t="shared" si="12"/>
        <v>100</v>
      </c>
      <c r="T40" s="666" t="s">
        <v>14</v>
      </c>
      <c r="U40" s="667">
        <f t="shared" si="13"/>
        <v>100</v>
      </c>
      <c r="V40" s="666" t="s">
        <v>14</v>
      </c>
      <c r="W40" s="667">
        <f t="shared" si="14"/>
        <v>100</v>
      </c>
      <c r="X40" s="1264"/>
      <c r="Y40" s="3466"/>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64"/>
      <c r="Q41" s="531" t="str">
        <f t="shared" si="11"/>
        <v>进深比</v>
      </c>
      <c r="R41" s="668" t="s">
        <v>14</v>
      </c>
      <c r="S41" s="669">
        <f t="shared" si="12"/>
        <v>100</v>
      </c>
      <c r="T41" s="668" t="s">
        <v>14</v>
      </c>
      <c r="U41" s="669">
        <f t="shared" si="13"/>
        <v>100</v>
      </c>
      <c r="V41" s="668" t="s">
        <v>14</v>
      </c>
      <c r="W41" s="669">
        <f t="shared" si="14"/>
        <v>100</v>
      </c>
      <c r="X41" s="670"/>
      <c r="Y41" s="3466"/>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64"/>
      <c r="Q42" s="1262" t="str">
        <f t="shared" si="11"/>
        <v>内部装修</v>
      </c>
      <c r="R42" s="666" t="s">
        <v>14</v>
      </c>
      <c r="S42" s="667">
        <f t="shared" si="12"/>
        <v>100</v>
      </c>
      <c r="T42" s="666" t="s">
        <v>14</v>
      </c>
      <c r="U42" s="667">
        <f t="shared" si="13"/>
        <v>100</v>
      </c>
      <c r="V42" s="666" t="s">
        <v>14</v>
      </c>
      <c r="W42" s="667">
        <f t="shared" si="14"/>
        <v>100</v>
      </c>
      <c r="X42" s="1264"/>
      <c r="Y42" s="3466"/>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64"/>
      <c r="Q43" s="1262" t="str">
        <f t="shared" si="11"/>
        <v>内部装修维护情况</v>
      </c>
      <c r="R43" s="666" t="s">
        <v>14</v>
      </c>
      <c r="S43" s="667">
        <f t="shared" si="12"/>
        <v>100</v>
      </c>
      <c r="T43" s="666" t="s">
        <v>14</v>
      </c>
      <c r="U43" s="667">
        <f t="shared" si="13"/>
        <v>100</v>
      </c>
      <c r="V43" s="666" t="s">
        <v>14</v>
      </c>
      <c r="W43" s="667">
        <f t="shared" si="14"/>
        <v>100</v>
      </c>
      <c r="X43" s="1264"/>
      <c r="Y43" s="3466"/>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64"/>
      <c r="Q44" s="530">
        <f t="shared" si="11"/>
        <v>111</v>
      </c>
      <c r="R44" s="663" t="s">
        <v>14</v>
      </c>
      <c r="S44" s="664">
        <f t="shared" si="12"/>
        <v>100</v>
      </c>
      <c r="T44" s="663" t="s">
        <v>14</v>
      </c>
      <c r="U44" s="664">
        <f t="shared" si="13"/>
        <v>100</v>
      </c>
      <c r="V44" s="663" t="s">
        <v>14</v>
      </c>
      <c r="W44" s="664">
        <f t="shared" si="14"/>
        <v>100</v>
      </c>
      <c r="X44" s="665"/>
      <c r="Y44" s="3466"/>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64"/>
      <c r="Q45" s="1262">
        <f t="shared" si="11"/>
        <v>111</v>
      </c>
      <c r="R45" s="666" t="s">
        <v>14</v>
      </c>
      <c r="S45" s="667">
        <f t="shared" si="12"/>
        <v>100</v>
      </c>
      <c r="T45" s="666" t="s">
        <v>14</v>
      </c>
      <c r="U45" s="667">
        <f t="shared" si="13"/>
        <v>100</v>
      </c>
      <c r="V45" s="666" t="s">
        <v>14</v>
      </c>
      <c r="W45" s="667">
        <f t="shared" si="14"/>
        <v>100</v>
      </c>
      <c r="X45" s="1264"/>
      <c r="Y45" s="3466"/>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65"/>
      <c r="Q46" s="1262">
        <f t="shared" si="11"/>
        <v>111</v>
      </c>
      <c r="R46" s="666" t="s">
        <v>14</v>
      </c>
      <c r="S46" s="667">
        <f t="shared" si="12"/>
        <v>100</v>
      </c>
      <c r="T46" s="666" t="s">
        <v>14</v>
      </c>
      <c r="U46" s="667">
        <f t="shared" si="13"/>
        <v>100</v>
      </c>
      <c r="V46" s="666" t="s">
        <v>14</v>
      </c>
      <c r="W46" s="667">
        <f t="shared" si="14"/>
        <v>100</v>
      </c>
      <c r="X46" s="1264"/>
      <c r="Y46" s="3467"/>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3"/>
      <c r="L47" s="2492"/>
      <c r="M47" s="2485"/>
      <c r="N47" s="2485"/>
      <c r="O47" s="2485"/>
      <c r="P47" s="3460" t="str">
        <f>A47</f>
        <v>成交单价（元/平方米）</v>
      </c>
      <c r="Q47" s="3460"/>
      <c r="R47" s="3455">
        <f>E47</f>
        <v>0</v>
      </c>
      <c r="S47" s="3455"/>
      <c r="T47" s="3455">
        <f>G47</f>
        <v>0</v>
      </c>
      <c r="U47" s="3455"/>
      <c r="V47" s="3455">
        <f>I47</f>
        <v>0</v>
      </c>
      <c r="W47" s="3455"/>
      <c r="X47" s="385"/>
      <c r="Y47" s="672"/>
      <c r="Z47" s="385"/>
      <c r="AA47" s="385"/>
      <c r="AB47" s="385"/>
      <c r="AC47" s="385"/>
    </row>
    <row r="48" spans="1:29" ht="15" thickBot="1">
      <c r="A48" s="423" t="s">
        <v>1793</v>
      </c>
      <c r="B48" s="424"/>
      <c r="C48" s="1081" t="e">
        <f>R49</f>
        <v>#DIV/0!</v>
      </c>
      <c r="D48" s="2140" t="s">
        <v>2135</v>
      </c>
      <c r="E48" s="1082" t="e">
        <f>R48</f>
        <v>#DIV/0!</v>
      </c>
      <c r="F48" s="2141"/>
      <c r="G48" s="1081" t="e">
        <f>T48</f>
        <v>#DIV/0!</v>
      </c>
      <c r="H48" s="2141"/>
      <c r="I48" s="1082" t="e">
        <f>V48</f>
        <v>#DIV/0!</v>
      </c>
      <c r="J48" s="2141"/>
      <c r="K48" s="2143">
        <f>F48+H48+J48</f>
        <v>0</v>
      </c>
      <c r="L48" s="2492"/>
      <c r="M48" s="2485"/>
      <c r="N48" s="2485"/>
      <c r="O48" s="2485"/>
      <c r="P48" s="3460" t="str">
        <f>A48</f>
        <v>比较价值（元/平方米）</v>
      </c>
      <c r="Q48" s="3460"/>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385"/>
      <c r="Y48" s="385"/>
      <c r="Z48" s="385"/>
      <c r="AA48" s="385"/>
      <c r="AB48" s="385"/>
      <c r="AC48" s="385"/>
    </row>
    <row r="49" spans="1:29" ht="15" thickBot="1">
      <c r="A49" s="427" t="s">
        <v>1794</v>
      </c>
      <c r="B49" s="428"/>
      <c r="C49" s="351" t="e">
        <f>R49</f>
        <v>#DIV/0!</v>
      </c>
      <c r="D49" s="351"/>
      <c r="E49" s="351"/>
      <c r="F49" s="351"/>
      <c r="G49" s="351"/>
      <c r="H49" s="351"/>
      <c r="I49" s="351"/>
      <c r="J49" s="351"/>
      <c r="K49" s="674"/>
      <c r="L49" s="2492"/>
      <c r="M49" s="2485"/>
      <c r="N49" s="2485"/>
      <c r="O49" s="2485"/>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1798</v>
      </c>
      <c r="B57" s="385"/>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2" customFormat="1" ht="14.4">
      <c r="A58" s="440" t="s">
        <v>1679</v>
      </c>
      <c r="B58" s="441"/>
      <c r="C58" s="1102" t="str">
        <f>YEAR(C7)&amp;"-"&amp;MONTH(C7)</f>
        <v>2025-6</v>
      </c>
      <c r="D58" s="1103">
        <f>EDATE(C58,-1)</f>
        <v>45778</v>
      </c>
      <c r="E58" s="1103">
        <f t="shared" ref="E58:N58" si="16">EDATE(D58,-1)</f>
        <v>45748</v>
      </c>
      <c r="F58" s="1103">
        <f t="shared" si="16"/>
        <v>45717</v>
      </c>
      <c r="G58" s="1103">
        <f t="shared" si="16"/>
        <v>45689</v>
      </c>
      <c r="H58" s="1103">
        <f t="shared" si="16"/>
        <v>45658</v>
      </c>
      <c r="I58" s="1103">
        <f t="shared" si="16"/>
        <v>45627</v>
      </c>
      <c r="J58" s="1103">
        <f t="shared" si="16"/>
        <v>45597</v>
      </c>
      <c r="K58" s="1103">
        <f t="shared" si="16"/>
        <v>45566</v>
      </c>
      <c r="L58" s="1103">
        <f t="shared" si="16"/>
        <v>45536</v>
      </c>
      <c r="M58" s="1103">
        <f t="shared" si="16"/>
        <v>45505</v>
      </c>
      <c r="N58" s="1103">
        <f t="shared" si="16"/>
        <v>45474</v>
      </c>
      <c r="O58" s="1103">
        <f>EDATE(N58,-1)</f>
        <v>45444</v>
      </c>
      <c r="P58" s="2507"/>
      <c r="Q58" s="2508"/>
      <c r="R58" s="2508"/>
      <c r="S58" s="2508"/>
      <c r="T58" s="2508"/>
      <c r="U58" s="2508"/>
      <c r="V58" s="2508"/>
      <c r="W58" s="2508"/>
      <c r="X58" s="2508"/>
      <c r="Y58" s="2508"/>
      <c r="Z58" s="2508"/>
      <c r="AA58" s="2508"/>
      <c r="AB58" s="2508"/>
      <c r="AC58" s="2508"/>
    </row>
    <row r="59" spans="1:29" s="102" customFormat="1">
      <c r="A59" s="443"/>
      <c r="B59" s="444"/>
      <c r="C59" s="1101">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2"/>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79"/>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182.59</v>
      </c>
      <c r="E3" s="1804"/>
      <c r="F3" s="855"/>
      <c r="G3" s="854"/>
      <c r="H3" s="854"/>
      <c r="I3" s="854"/>
      <c r="J3" s="854"/>
      <c r="K3" s="856"/>
      <c r="L3" s="2501"/>
      <c r="M3" s="2502"/>
      <c r="N3" s="2502"/>
      <c r="O3" s="2502"/>
      <c r="P3" s="341"/>
      <c r="Q3" s="341"/>
      <c r="R3" s="341"/>
      <c r="S3" s="341"/>
      <c r="T3" s="341"/>
      <c r="U3" s="341"/>
      <c r="V3" s="341"/>
      <c r="W3" s="341"/>
      <c r="X3" s="341"/>
      <c r="Y3" s="341"/>
      <c r="Z3" s="341"/>
      <c r="AA3" s="341"/>
      <c r="AB3" s="341"/>
      <c r="AC3" s="662"/>
    </row>
    <row r="4" spans="1:29" ht="14.4">
      <c r="A4" s="345" t="s">
        <v>1769</v>
      </c>
      <c r="B4" s="346"/>
      <c r="C4" s="3443" t="s">
        <v>1770</v>
      </c>
      <c r="D4" s="3444"/>
      <c r="E4" s="3445" t="s">
        <v>1771</v>
      </c>
      <c r="F4" s="3446"/>
      <c r="G4" s="3443" t="s">
        <v>1772</v>
      </c>
      <c r="H4" s="3444"/>
      <c r="I4" s="3443" t="s">
        <v>1773</v>
      </c>
      <c r="J4" s="3444"/>
      <c r="K4" s="537" t="s">
        <v>1774</v>
      </c>
      <c r="L4" s="2484"/>
      <c r="M4" s="2485"/>
      <c r="N4" s="2485"/>
      <c r="O4" s="2485"/>
      <c r="P4" s="3503" t="s">
        <v>1775</v>
      </c>
      <c r="Q4" s="3504"/>
      <c r="R4" s="3498" t="s">
        <v>1771</v>
      </c>
      <c r="S4" s="3499"/>
      <c r="T4" s="3498" t="s">
        <v>1772</v>
      </c>
      <c r="U4" s="3499"/>
      <c r="V4" s="3507" t="s">
        <v>1773</v>
      </c>
      <c r="W4" s="3507"/>
      <c r="X4" s="1808"/>
      <c r="Y4" s="3498" t="s">
        <v>1775</v>
      </c>
      <c r="Z4" s="3499"/>
      <c r="AA4" s="3497" t="s">
        <v>1771</v>
      </c>
      <c r="AB4" s="3497" t="s">
        <v>1772</v>
      </c>
      <c r="AC4" s="3500" t="s">
        <v>1773</v>
      </c>
    </row>
    <row r="5" spans="1:29">
      <c r="A5" s="348"/>
      <c r="B5" s="349"/>
      <c r="C5" s="3435" t="s">
        <v>1673</v>
      </c>
      <c r="D5" s="3436"/>
      <c r="E5" s="3496" t="s">
        <v>1674</v>
      </c>
      <c r="F5" s="3434"/>
      <c r="G5" s="3435" t="s">
        <v>1675</v>
      </c>
      <c r="H5" s="3436"/>
      <c r="I5" s="3435" t="s">
        <v>1676</v>
      </c>
      <c r="J5" s="3436"/>
      <c r="K5" s="537"/>
      <c r="L5" s="2484"/>
      <c r="M5" s="2485"/>
      <c r="N5" s="2485"/>
      <c r="O5" s="2485"/>
      <c r="P5" s="3505"/>
      <c r="Q5" s="3450"/>
      <c r="R5" s="3431"/>
      <c r="S5" s="3432"/>
      <c r="T5" s="3431"/>
      <c r="U5" s="3432"/>
      <c r="V5" s="3455"/>
      <c r="W5" s="3455"/>
      <c r="X5" s="1264"/>
      <c r="Y5" s="3431"/>
      <c r="Z5" s="3432"/>
      <c r="AA5" s="3425"/>
      <c r="AB5" s="3425"/>
      <c r="AC5" s="3501"/>
    </row>
    <row r="6" spans="1:29" ht="15" thickBot="1">
      <c r="A6" s="350"/>
      <c r="B6" s="351"/>
      <c r="C6" s="3437" t="s">
        <v>1677</v>
      </c>
      <c r="D6" s="3438"/>
      <c r="E6" s="3440" t="s">
        <v>1677</v>
      </c>
      <c r="F6" s="3441"/>
      <c r="G6" s="3437" t="s">
        <v>1677</v>
      </c>
      <c r="H6" s="3438"/>
      <c r="I6" s="3437" t="s">
        <v>1677</v>
      </c>
      <c r="J6" s="3438"/>
      <c r="K6" s="537" t="s">
        <v>1678</v>
      </c>
      <c r="L6" s="2484"/>
      <c r="M6" s="2485"/>
      <c r="N6" s="2485"/>
      <c r="O6" s="2485"/>
      <c r="P6" s="3506"/>
      <c r="Q6" s="3452"/>
      <c r="R6" s="3431"/>
      <c r="S6" s="3432"/>
      <c r="T6" s="3453"/>
      <c r="U6" s="3454"/>
      <c r="V6" s="3455"/>
      <c r="W6" s="3455"/>
      <c r="X6" s="1264"/>
      <c r="Y6" s="3453"/>
      <c r="Z6" s="3454"/>
      <c r="AA6" s="3426"/>
      <c r="AB6" s="3426"/>
      <c r="AC6" s="3502"/>
    </row>
    <row r="7" spans="1:29" s="102" customFormat="1" ht="15" thickBot="1">
      <c r="A7" s="352" t="s">
        <v>1679</v>
      </c>
      <c r="B7" s="353"/>
      <c r="C7" s="354">
        <f>'数据-取费表'!B2</f>
        <v>45825</v>
      </c>
      <c r="D7" s="355">
        <v>100</v>
      </c>
      <c r="E7" s="356"/>
      <c r="F7" s="357">
        <f>SUMIF(59:59,YEAR(E7)&amp;"-"&amp;MONTH(E7),60:60)</f>
        <v>0</v>
      </c>
      <c r="G7" s="356"/>
      <c r="H7" s="355">
        <f>SUMIF(59:59,YEAR(G7)&amp;"-"&amp;MONTH(G7),60:60)</f>
        <v>0</v>
      </c>
      <c r="I7" s="356"/>
      <c r="J7" s="355">
        <f>SUMIF(59:59,YEAR(I7)&amp;"-"&amp;MONTH(I7),60:60)</f>
        <v>0</v>
      </c>
      <c r="K7" s="38"/>
      <c r="L7" s="2486"/>
      <c r="M7" s="2438"/>
      <c r="N7" s="2438"/>
      <c r="O7" s="2438"/>
      <c r="P7" s="3508" t="s">
        <v>1680</v>
      </c>
      <c r="Q7" s="3456"/>
      <c r="R7" s="663" t="s">
        <v>14</v>
      </c>
      <c r="S7" s="664">
        <f t="shared" ref="S7:S15" si="0">F7</f>
        <v>0</v>
      </c>
      <c r="T7" s="663" t="s">
        <v>14</v>
      </c>
      <c r="U7" s="664">
        <f t="shared" ref="U7:U15" si="1">H7</f>
        <v>0</v>
      </c>
      <c r="V7" s="663" t="s">
        <v>14</v>
      </c>
      <c r="W7" s="664">
        <f t="shared" ref="W7:W15" si="2">J7</f>
        <v>0</v>
      </c>
      <c r="X7" s="665"/>
      <c r="Y7" s="3427" t="s">
        <v>1680</v>
      </c>
      <c r="Z7" s="3428"/>
      <c r="AA7" s="50" t="e">
        <f>D7/F7</f>
        <v>#DIV/0!</v>
      </c>
      <c r="AB7" s="50" t="e">
        <f>D7/H7</f>
        <v>#DIV/0!</v>
      </c>
      <c r="AC7" s="801"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508" t="s">
        <v>1683</v>
      </c>
      <c r="Q8" s="3428"/>
      <c r="R8" s="663" t="s">
        <v>14</v>
      </c>
      <c r="S8" s="664">
        <f t="shared" si="0"/>
        <v>100</v>
      </c>
      <c r="T8" s="663" t="s">
        <v>14</v>
      </c>
      <c r="U8" s="664">
        <f t="shared" si="1"/>
        <v>100</v>
      </c>
      <c r="V8" s="663" t="s">
        <v>14</v>
      </c>
      <c r="W8" s="664">
        <f t="shared" si="2"/>
        <v>100</v>
      </c>
      <c r="X8" s="665"/>
      <c r="Y8" s="3427" t="s">
        <v>1683</v>
      </c>
      <c r="Z8" s="3428"/>
      <c r="AA8" s="50">
        <f t="shared" ref="AA8:AA47" si="3">D8/F8</f>
        <v>1</v>
      </c>
      <c r="AB8" s="50">
        <f t="shared" ref="AB8:AB47" si="4">D8/H8</f>
        <v>1</v>
      </c>
      <c r="AC8" s="801">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42" t="s">
        <v>1686</v>
      </c>
      <c r="Q9" s="530" t="str">
        <f t="shared" ref="Q9:Q15" si="6">B9</f>
        <v>用途</v>
      </c>
      <c r="R9" s="663" t="s">
        <v>14</v>
      </c>
      <c r="S9" s="664">
        <f t="shared" si="0"/>
        <v>100</v>
      </c>
      <c r="T9" s="663" t="s">
        <v>14</v>
      </c>
      <c r="U9" s="664">
        <f t="shared" si="1"/>
        <v>100</v>
      </c>
      <c r="V9" s="663" t="s">
        <v>14</v>
      </c>
      <c r="W9" s="664">
        <f t="shared" si="2"/>
        <v>100</v>
      </c>
      <c r="X9" s="665"/>
      <c r="Y9" s="3372" t="s">
        <v>1687</v>
      </c>
      <c r="Z9" s="50" t="str">
        <f t="shared" ref="Z9:Z15" si="7">Q9</f>
        <v>用途</v>
      </c>
      <c r="AA9" s="50">
        <f t="shared" si="3"/>
        <v>1</v>
      </c>
      <c r="AB9" s="50">
        <f t="shared" si="4"/>
        <v>1</v>
      </c>
      <c r="AC9" s="801">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42"/>
      <c r="Q10" s="530" t="str">
        <f t="shared" si="6"/>
        <v>土地使用年限（年）</v>
      </c>
      <c r="R10" s="663" t="s">
        <v>14</v>
      </c>
      <c r="S10" s="664">
        <f t="shared" si="0"/>
        <v>100</v>
      </c>
      <c r="T10" s="663" t="s">
        <v>14</v>
      </c>
      <c r="U10" s="664">
        <f t="shared" si="1"/>
        <v>100</v>
      </c>
      <c r="V10" s="663" t="s">
        <v>14</v>
      </c>
      <c r="W10" s="664">
        <f t="shared" si="2"/>
        <v>100</v>
      </c>
      <c r="X10" s="665"/>
      <c r="Y10" s="3372"/>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42"/>
      <c r="Q11" s="530" t="str">
        <f t="shared" si="6"/>
        <v>容积率</v>
      </c>
      <c r="R11" s="663" t="s">
        <v>14</v>
      </c>
      <c r="S11" s="664">
        <f t="shared" si="0"/>
        <v>100</v>
      </c>
      <c r="T11" s="663" t="s">
        <v>14</v>
      </c>
      <c r="U11" s="664">
        <f t="shared" si="1"/>
        <v>100</v>
      </c>
      <c r="V11" s="663" t="s">
        <v>14</v>
      </c>
      <c r="W11" s="664">
        <f t="shared" si="2"/>
        <v>100</v>
      </c>
      <c r="X11" s="665"/>
      <c r="Y11" s="337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442"/>
      <c r="Q12" s="530">
        <f t="shared" si="6"/>
        <v>111</v>
      </c>
      <c r="R12" s="663" t="s">
        <v>14</v>
      </c>
      <c r="S12" s="664">
        <f t="shared" si="0"/>
        <v>100</v>
      </c>
      <c r="T12" s="663" t="s">
        <v>14</v>
      </c>
      <c r="U12" s="664">
        <f t="shared" si="1"/>
        <v>100</v>
      </c>
      <c r="V12" s="663" t="s">
        <v>14</v>
      </c>
      <c r="W12" s="664">
        <f t="shared" si="2"/>
        <v>100</v>
      </c>
      <c r="X12" s="665"/>
      <c r="Y12" s="337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442"/>
      <c r="Q13" s="530">
        <f t="shared" si="6"/>
        <v>111</v>
      </c>
      <c r="R13" s="663" t="s">
        <v>14</v>
      </c>
      <c r="S13" s="664">
        <f t="shared" si="0"/>
        <v>100</v>
      </c>
      <c r="T13" s="663" t="s">
        <v>14</v>
      </c>
      <c r="U13" s="664">
        <f t="shared" si="1"/>
        <v>100</v>
      </c>
      <c r="V13" s="663" t="s">
        <v>14</v>
      </c>
      <c r="W13" s="664">
        <f t="shared" si="2"/>
        <v>100</v>
      </c>
      <c r="X13" s="665"/>
      <c r="Y13" s="3372"/>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442"/>
      <c r="Q14" s="530">
        <f t="shared" si="6"/>
        <v>111</v>
      </c>
      <c r="R14" s="663" t="s">
        <v>14</v>
      </c>
      <c r="S14" s="664">
        <f t="shared" si="0"/>
        <v>100</v>
      </c>
      <c r="T14" s="663" t="s">
        <v>14</v>
      </c>
      <c r="U14" s="664">
        <f t="shared" si="1"/>
        <v>100</v>
      </c>
      <c r="V14" s="663" t="s">
        <v>14</v>
      </c>
      <c r="W14" s="664">
        <f t="shared" si="2"/>
        <v>100</v>
      </c>
      <c r="X14" s="665"/>
      <c r="Y14" s="3372"/>
      <c r="Z14" s="50">
        <f t="shared" si="7"/>
        <v>111</v>
      </c>
      <c r="AA14" s="50">
        <f t="shared" si="3"/>
        <v>1</v>
      </c>
      <c r="AB14" s="50">
        <f t="shared" si="4"/>
        <v>1</v>
      </c>
      <c r="AC14" s="801">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68" t="s">
        <v>1691</v>
      </c>
      <c r="Q15" s="1262" t="str">
        <f t="shared" si="6"/>
        <v>办公集聚程度</v>
      </c>
      <c r="R15" s="666" t="s">
        <v>14</v>
      </c>
      <c r="S15" s="667">
        <f t="shared" si="0"/>
        <v>100</v>
      </c>
      <c r="T15" s="666" t="s">
        <v>14</v>
      </c>
      <c r="U15" s="667">
        <f t="shared" si="1"/>
        <v>100</v>
      </c>
      <c r="V15" s="666" t="s">
        <v>14</v>
      </c>
      <c r="W15" s="667">
        <f t="shared" si="2"/>
        <v>100</v>
      </c>
      <c r="X15" s="1264"/>
      <c r="Y15" s="3461"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0"/>
      <c r="M16" s="2485"/>
      <c r="N16" s="2485"/>
      <c r="O16" s="2485"/>
      <c r="P16" s="3469"/>
      <c r="Q16" s="1262"/>
      <c r="R16" s="666"/>
      <c r="S16" s="667"/>
      <c r="T16" s="666"/>
      <c r="U16" s="667"/>
      <c r="V16" s="666"/>
      <c r="W16" s="667"/>
      <c r="X16" s="1264"/>
      <c r="Y16" s="3462"/>
      <c r="Z16" s="1263"/>
      <c r="AA16" s="1263">
        <v>1</v>
      </c>
      <c r="AB16" s="1263">
        <v>1</v>
      </c>
      <c r="AC16" s="1811">
        <v>1</v>
      </c>
    </row>
    <row r="17" spans="1:29" ht="96.6">
      <c r="A17" s="367"/>
      <c r="B17" s="556" t="s">
        <v>1259</v>
      </c>
      <c r="C17" s="1812" t="str">
        <f>估价对象房地状况!C6</f>
        <v>2、13、17、机场快线等多个地铁线路；3、359、915、123、515等多条，东直门长途汽车站，较好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69"/>
      <c r="Q17" s="1262" t="str">
        <f>B17</f>
        <v>交通便捷度</v>
      </c>
      <c r="R17" s="666" t="s">
        <v>14</v>
      </c>
      <c r="S17" s="667">
        <f>F17</f>
        <v>100</v>
      </c>
      <c r="T17" s="666" t="s">
        <v>14</v>
      </c>
      <c r="U17" s="667">
        <f>H17</f>
        <v>100</v>
      </c>
      <c r="V17" s="666" t="s">
        <v>14</v>
      </c>
      <c r="W17" s="667">
        <f>J17</f>
        <v>100</v>
      </c>
      <c r="X17" s="1264"/>
      <c r="Y17" s="346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0"/>
      <c r="M18" s="2485"/>
      <c r="N18" s="2485"/>
      <c r="O18" s="2485"/>
      <c r="P18" s="3469"/>
      <c r="Q18" s="1262"/>
      <c r="R18" s="666"/>
      <c r="S18" s="667"/>
      <c r="T18" s="666"/>
      <c r="U18" s="667"/>
      <c r="V18" s="666"/>
      <c r="W18" s="667"/>
      <c r="X18" s="1264"/>
      <c r="Y18" s="3462"/>
      <c r="Z18" s="1263"/>
      <c r="AA18" s="1263">
        <v>1</v>
      </c>
      <c r="AB18" s="1263">
        <v>1</v>
      </c>
      <c r="AC18" s="1811">
        <v>1</v>
      </c>
    </row>
    <row r="19" spans="1:29" ht="96.6">
      <c r="A19" s="367"/>
      <c r="B19" s="556" t="s">
        <v>1812</v>
      </c>
      <c r="C19" s="1812" t="str">
        <f>估价对象房地状况!C7</f>
        <v>工商银行、华夏银行；来福士、银座MALL；东直门中学、清华附中朝阳学校；北京中医院大学东直门医院等</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69"/>
      <c r="Q19" s="1262" t="str">
        <f>B19</f>
        <v>公共配套设施</v>
      </c>
      <c r="R19" s="666" t="s">
        <v>14</v>
      </c>
      <c r="S19" s="667">
        <f>F19</f>
        <v>100</v>
      </c>
      <c r="T19" s="666" t="s">
        <v>14</v>
      </c>
      <c r="U19" s="667">
        <f>H19</f>
        <v>100</v>
      </c>
      <c r="V19" s="666" t="s">
        <v>14</v>
      </c>
      <c r="W19" s="667">
        <f>J19</f>
        <v>100</v>
      </c>
      <c r="X19" s="1264"/>
      <c r="Y19" s="346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0"/>
      <c r="M20" s="2485"/>
      <c r="N20" s="2485"/>
      <c r="O20" s="2485"/>
      <c r="P20" s="3469"/>
      <c r="Q20" s="1262"/>
      <c r="R20" s="666"/>
      <c r="S20" s="667"/>
      <c r="T20" s="666"/>
      <c r="U20" s="667"/>
      <c r="V20" s="666"/>
      <c r="W20" s="667"/>
      <c r="X20" s="1264"/>
      <c r="Y20" s="3462"/>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69"/>
      <c r="Q21" s="1262" t="str">
        <f>B21</f>
        <v>基础设施水平</v>
      </c>
      <c r="R21" s="666" t="s">
        <v>14</v>
      </c>
      <c r="S21" s="667">
        <f>F21</f>
        <v>100</v>
      </c>
      <c r="T21" s="666" t="s">
        <v>14</v>
      </c>
      <c r="U21" s="667">
        <f>H21</f>
        <v>100</v>
      </c>
      <c r="V21" s="666" t="s">
        <v>14</v>
      </c>
      <c r="W21" s="667">
        <f>J21</f>
        <v>100</v>
      </c>
      <c r="X21" s="1264"/>
      <c r="Y21" s="3462"/>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0"/>
      <c r="M22" s="2485"/>
      <c r="N22" s="2485"/>
      <c r="O22" s="2485"/>
      <c r="P22" s="3469"/>
      <c r="Q22" s="1262"/>
      <c r="R22" s="666"/>
      <c r="S22" s="667"/>
      <c r="T22" s="666"/>
      <c r="U22" s="667"/>
      <c r="V22" s="666"/>
      <c r="W22" s="667"/>
      <c r="X22" s="1264"/>
      <c r="Y22" s="3462"/>
      <c r="Z22" s="1263"/>
      <c r="AA22" s="1263">
        <v>1</v>
      </c>
      <c r="AB22" s="1263">
        <v>1</v>
      </c>
      <c r="AC22" s="1811">
        <v>1</v>
      </c>
    </row>
    <row r="23" spans="1:29" ht="110.4">
      <c r="A23" s="367"/>
      <c r="B23" s="556" t="s">
        <v>1814</v>
      </c>
      <c r="C23" s="1812" t="str">
        <f>估价对象房地状况!C9</f>
        <v>区域自然环境：亮马河公园、左家庄公园、亮马河；人文环境：使馆区、北京自来水博物馆；综合评价环境状况较好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69"/>
      <c r="Q23" s="1262" t="str">
        <f>B23</f>
        <v>环境质量</v>
      </c>
      <c r="R23" s="666" t="s">
        <v>14</v>
      </c>
      <c r="S23" s="667">
        <f>F23</f>
        <v>100</v>
      </c>
      <c r="T23" s="666" t="s">
        <v>14</v>
      </c>
      <c r="U23" s="667">
        <f>H23</f>
        <v>100</v>
      </c>
      <c r="V23" s="666" t="s">
        <v>14</v>
      </c>
      <c r="W23" s="667">
        <f>J23</f>
        <v>100</v>
      </c>
      <c r="X23" s="1264"/>
      <c r="Y23" s="3462"/>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0"/>
      <c r="M24" s="2485"/>
      <c r="N24" s="2485"/>
      <c r="O24" s="2485"/>
      <c r="P24" s="3469"/>
      <c r="Q24" s="1262"/>
      <c r="R24" s="666"/>
      <c r="S24" s="667"/>
      <c r="T24" s="666"/>
      <c r="U24" s="667"/>
      <c r="V24" s="666"/>
      <c r="W24" s="667"/>
      <c r="X24" s="1264"/>
      <c r="Y24" s="3462"/>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69"/>
      <c r="Q25" s="1262" t="str">
        <f>B25</f>
        <v>毗邻道路的类型与等级</v>
      </c>
      <c r="R25" s="666" t="s">
        <v>14</v>
      </c>
      <c r="S25" s="667">
        <f>F25</f>
        <v>100</v>
      </c>
      <c r="T25" s="666" t="s">
        <v>14</v>
      </c>
      <c r="U25" s="667">
        <f>H25</f>
        <v>100</v>
      </c>
      <c r="V25" s="666" t="s">
        <v>14</v>
      </c>
      <c r="W25" s="667">
        <f>J25</f>
        <v>100</v>
      </c>
      <c r="X25" s="1264"/>
      <c r="Y25" s="3462"/>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469"/>
      <c r="Q26" s="1262"/>
      <c r="R26" s="666"/>
      <c r="S26" s="667"/>
      <c r="T26" s="666"/>
      <c r="U26" s="667"/>
      <c r="V26" s="666"/>
      <c r="W26" s="667"/>
      <c r="X26" s="1264"/>
      <c r="Y26" s="3462"/>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69"/>
      <c r="Q27" s="1262" t="str">
        <f t="shared" ref="Q27:Q47" si="11">B27</f>
        <v>楼层</v>
      </c>
      <c r="R27" s="666" t="s">
        <v>14</v>
      </c>
      <c r="S27" s="667">
        <f>F27</f>
        <v>100</v>
      </c>
      <c r="T27" s="666" t="s">
        <v>14</v>
      </c>
      <c r="U27" s="667">
        <f>H27</f>
        <v>100</v>
      </c>
      <c r="V27" s="666" t="s">
        <v>14</v>
      </c>
      <c r="W27" s="667">
        <f>J27</f>
        <v>100</v>
      </c>
      <c r="X27" s="1264"/>
      <c r="Y27" s="3462"/>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469"/>
      <c r="Q28" s="530" t="str">
        <f t="shared" si="11"/>
        <v>朝向</v>
      </c>
      <c r="R28" s="663" t="s">
        <v>14</v>
      </c>
      <c r="S28" s="664">
        <f>F28</f>
        <v>100</v>
      </c>
      <c r="T28" s="663" t="s">
        <v>14</v>
      </c>
      <c r="U28" s="664">
        <f>H28</f>
        <v>100</v>
      </c>
      <c r="V28" s="663" t="s">
        <v>14</v>
      </c>
      <c r="W28" s="664">
        <f>J28</f>
        <v>100</v>
      </c>
      <c r="X28" s="665"/>
      <c r="Y28" s="346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69"/>
      <c r="Q29" s="1262">
        <f t="shared" si="11"/>
        <v>111</v>
      </c>
      <c r="R29" s="666" t="s">
        <v>14</v>
      </c>
      <c r="S29" s="667">
        <f t="shared" ref="S29:S47" si="12">F29</f>
        <v>100</v>
      </c>
      <c r="T29" s="666" t="s">
        <v>14</v>
      </c>
      <c r="U29" s="667">
        <f t="shared" ref="U29:U47" si="13">H29</f>
        <v>100</v>
      </c>
      <c r="V29" s="666" t="s">
        <v>14</v>
      </c>
      <c r="W29" s="667">
        <f t="shared" ref="W29:W47" si="14">J29</f>
        <v>100</v>
      </c>
      <c r="X29" s="1264"/>
      <c r="Y29" s="346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69"/>
      <c r="Q30" s="1262">
        <f t="shared" si="11"/>
        <v>111</v>
      </c>
      <c r="R30" s="666" t="s">
        <v>14</v>
      </c>
      <c r="S30" s="667">
        <f t="shared" si="12"/>
        <v>100</v>
      </c>
      <c r="T30" s="666" t="s">
        <v>14</v>
      </c>
      <c r="U30" s="667">
        <f t="shared" si="13"/>
        <v>100</v>
      </c>
      <c r="V30" s="666" t="s">
        <v>14</v>
      </c>
      <c r="W30" s="667">
        <f t="shared" si="14"/>
        <v>100</v>
      </c>
      <c r="X30" s="1264"/>
      <c r="Y30" s="346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69"/>
      <c r="Q31" s="1262">
        <f t="shared" si="11"/>
        <v>111</v>
      </c>
      <c r="R31" s="666" t="s">
        <v>14</v>
      </c>
      <c r="S31" s="667">
        <f t="shared" si="12"/>
        <v>100</v>
      </c>
      <c r="T31" s="666" t="s">
        <v>14</v>
      </c>
      <c r="U31" s="667">
        <f t="shared" si="13"/>
        <v>100</v>
      </c>
      <c r="V31" s="666" t="s">
        <v>14</v>
      </c>
      <c r="W31" s="667">
        <f t="shared" si="14"/>
        <v>100</v>
      </c>
      <c r="X31" s="1264"/>
      <c r="Y31" s="3462"/>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69"/>
      <c r="Q32" s="1262">
        <f t="shared" si="11"/>
        <v>111</v>
      </c>
      <c r="R32" s="666" t="s">
        <v>14</v>
      </c>
      <c r="S32" s="667">
        <f t="shared" si="12"/>
        <v>100</v>
      </c>
      <c r="T32" s="666" t="s">
        <v>14</v>
      </c>
      <c r="U32" s="667">
        <f t="shared" si="13"/>
        <v>100</v>
      </c>
      <c r="V32" s="666" t="s">
        <v>14</v>
      </c>
      <c r="W32" s="667">
        <f t="shared" si="14"/>
        <v>100</v>
      </c>
      <c r="X32" s="1264"/>
      <c r="Y32" s="3462"/>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63" t="s">
        <v>1696</v>
      </c>
      <c r="Q33" s="1262" t="str">
        <f t="shared" si="11"/>
        <v>建筑类型</v>
      </c>
      <c r="R33" s="666" t="s">
        <v>14</v>
      </c>
      <c r="S33" s="667">
        <f t="shared" si="12"/>
        <v>100</v>
      </c>
      <c r="T33" s="666" t="s">
        <v>14</v>
      </c>
      <c r="U33" s="667">
        <f t="shared" si="13"/>
        <v>100</v>
      </c>
      <c r="V33" s="666" t="s">
        <v>14</v>
      </c>
      <c r="W33" s="667">
        <f t="shared" si="14"/>
        <v>100</v>
      </c>
      <c r="X33" s="1264"/>
      <c r="Y33" s="3466"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64"/>
      <c r="Q34" s="531" t="str">
        <f t="shared" si="11"/>
        <v>项目建筑规模</v>
      </c>
      <c r="R34" s="668" t="s">
        <v>14</v>
      </c>
      <c r="S34" s="669" t="e">
        <f t="shared" si="12"/>
        <v>#N/A</v>
      </c>
      <c r="T34" s="668" t="s">
        <v>14</v>
      </c>
      <c r="U34" s="669" t="e">
        <f t="shared" si="13"/>
        <v>#N/A</v>
      </c>
      <c r="V34" s="668" t="s">
        <v>14</v>
      </c>
      <c r="W34" s="669" t="e">
        <f t="shared" si="14"/>
        <v>#N/A</v>
      </c>
      <c r="X34" s="670"/>
      <c r="Y34" s="3466"/>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64"/>
      <c r="Q35" s="1262" t="str">
        <f t="shared" si="11"/>
        <v>建筑结构</v>
      </c>
      <c r="R35" s="666" t="s">
        <v>14</v>
      </c>
      <c r="S35" s="667">
        <f t="shared" si="12"/>
        <v>100</v>
      </c>
      <c r="T35" s="666" t="s">
        <v>14</v>
      </c>
      <c r="U35" s="667">
        <f t="shared" si="13"/>
        <v>100</v>
      </c>
      <c r="V35" s="666" t="s">
        <v>14</v>
      </c>
      <c r="W35" s="667">
        <f t="shared" si="14"/>
        <v>100</v>
      </c>
      <c r="X35" s="1264"/>
      <c r="Y35" s="3466"/>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64"/>
      <c r="Q36" s="1262" t="str">
        <f t="shared" si="11"/>
        <v>公共部分装修</v>
      </c>
      <c r="R36" s="666" t="s">
        <v>14</v>
      </c>
      <c r="S36" s="667">
        <f t="shared" si="12"/>
        <v>100</v>
      </c>
      <c r="T36" s="666" t="s">
        <v>14</v>
      </c>
      <c r="U36" s="667">
        <f t="shared" si="13"/>
        <v>100</v>
      </c>
      <c r="V36" s="666" t="s">
        <v>14</v>
      </c>
      <c r="W36" s="667">
        <f t="shared" si="14"/>
        <v>100</v>
      </c>
      <c r="X36" s="1264"/>
      <c r="Y36" s="3466"/>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64"/>
      <c r="Q37" s="1262" t="str">
        <f t="shared" si="11"/>
        <v>成新度</v>
      </c>
      <c r="R37" s="666" t="s">
        <v>14</v>
      </c>
      <c r="S37" s="667" t="e">
        <f t="shared" si="12"/>
        <v>#N/A</v>
      </c>
      <c r="T37" s="666" t="s">
        <v>14</v>
      </c>
      <c r="U37" s="667" t="e">
        <f t="shared" si="13"/>
        <v>#N/A</v>
      </c>
      <c r="V37" s="666" t="s">
        <v>14</v>
      </c>
      <c r="W37" s="667" t="e">
        <f t="shared" si="14"/>
        <v>#N/A</v>
      </c>
      <c r="X37" s="1264"/>
      <c r="Y37" s="3466"/>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64"/>
      <c r="Q38" s="530" t="str">
        <f t="shared" si="11"/>
        <v>写字楼等级</v>
      </c>
      <c r="R38" s="663" t="s">
        <v>14</v>
      </c>
      <c r="S38" s="664">
        <f t="shared" si="12"/>
        <v>100</v>
      </c>
      <c r="T38" s="663" t="s">
        <v>14</v>
      </c>
      <c r="U38" s="664">
        <f t="shared" si="13"/>
        <v>100</v>
      </c>
      <c r="V38" s="663" t="s">
        <v>14</v>
      </c>
      <c r="W38" s="664">
        <f t="shared" si="14"/>
        <v>100</v>
      </c>
      <c r="X38" s="665"/>
      <c r="Y38" s="3466"/>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64" t="s">
        <v>1696</v>
      </c>
      <c r="Q39" s="1262" t="str">
        <f t="shared" si="11"/>
        <v>物业管理</v>
      </c>
      <c r="R39" s="666" t="s">
        <v>14</v>
      </c>
      <c r="S39" s="667">
        <f t="shared" si="12"/>
        <v>100</v>
      </c>
      <c r="T39" s="666" t="s">
        <v>14</v>
      </c>
      <c r="U39" s="667">
        <f t="shared" si="13"/>
        <v>100</v>
      </c>
      <c r="V39" s="666" t="s">
        <v>14</v>
      </c>
      <c r="W39" s="667">
        <f t="shared" si="14"/>
        <v>100</v>
      </c>
      <c r="X39" s="1264"/>
      <c r="Y39" s="3466"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64"/>
      <c r="Q40" s="1262" t="str">
        <f t="shared" si="11"/>
        <v>市政基础设施</v>
      </c>
      <c r="R40" s="666" t="s">
        <v>14</v>
      </c>
      <c r="S40" s="667">
        <f t="shared" si="12"/>
        <v>100</v>
      </c>
      <c r="T40" s="666" t="s">
        <v>14</v>
      </c>
      <c r="U40" s="667">
        <f t="shared" si="13"/>
        <v>100</v>
      </c>
      <c r="V40" s="666" t="s">
        <v>14</v>
      </c>
      <c r="W40" s="667">
        <f t="shared" si="14"/>
        <v>100</v>
      </c>
      <c r="X40" s="1264"/>
      <c r="Y40" s="3466"/>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64"/>
      <c r="Q41" s="1262" t="str">
        <f t="shared" si="11"/>
        <v>层高</v>
      </c>
      <c r="R41" s="666" t="s">
        <v>14</v>
      </c>
      <c r="S41" s="667">
        <f t="shared" si="12"/>
        <v>100</v>
      </c>
      <c r="T41" s="666" t="s">
        <v>14</v>
      </c>
      <c r="U41" s="667">
        <f t="shared" si="13"/>
        <v>100</v>
      </c>
      <c r="V41" s="666" t="s">
        <v>14</v>
      </c>
      <c r="W41" s="667">
        <f t="shared" si="14"/>
        <v>100</v>
      </c>
      <c r="X41" s="1264"/>
      <c r="Y41" s="3466"/>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64"/>
      <c r="Q42" s="531" t="str">
        <f t="shared" si="11"/>
        <v>单套建筑面积</v>
      </c>
      <c r="R42" s="668" t="s">
        <v>14</v>
      </c>
      <c r="S42" s="669">
        <f t="shared" si="12"/>
        <v>100</v>
      </c>
      <c r="T42" s="668" t="s">
        <v>14</v>
      </c>
      <c r="U42" s="669">
        <f t="shared" si="13"/>
        <v>100</v>
      </c>
      <c r="V42" s="668" t="s">
        <v>14</v>
      </c>
      <c r="W42" s="669">
        <f t="shared" si="14"/>
        <v>100</v>
      </c>
      <c r="X42" s="670"/>
      <c r="Y42" s="3466"/>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64"/>
      <c r="Q43" s="1262" t="str">
        <f t="shared" si="11"/>
        <v>内部装修</v>
      </c>
      <c r="R43" s="666" t="s">
        <v>14</v>
      </c>
      <c r="S43" s="667">
        <f t="shared" si="12"/>
        <v>100</v>
      </c>
      <c r="T43" s="666" t="s">
        <v>14</v>
      </c>
      <c r="U43" s="667">
        <f t="shared" si="13"/>
        <v>100</v>
      </c>
      <c r="V43" s="666" t="s">
        <v>14</v>
      </c>
      <c r="W43" s="667">
        <f t="shared" si="14"/>
        <v>100</v>
      </c>
      <c r="X43" s="1264"/>
      <c r="Y43" s="3466"/>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64"/>
      <c r="Q44" s="1262" t="str">
        <f t="shared" si="11"/>
        <v>内部装修维护情况</v>
      </c>
      <c r="R44" s="666" t="s">
        <v>14</v>
      </c>
      <c r="S44" s="667">
        <f t="shared" si="12"/>
        <v>100</v>
      </c>
      <c r="T44" s="666" t="s">
        <v>14</v>
      </c>
      <c r="U44" s="667">
        <f t="shared" si="13"/>
        <v>100</v>
      </c>
      <c r="V44" s="666" t="s">
        <v>14</v>
      </c>
      <c r="W44" s="667">
        <f t="shared" si="14"/>
        <v>100</v>
      </c>
      <c r="X44" s="1264"/>
      <c r="Y44" s="3466"/>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64"/>
      <c r="Q45" s="530">
        <f t="shared" si="11"/>
        <v>111</v>
      </c>
      <c r="R45" s="663" t="s">
        <v>14</v>
      </c>
      <c r="S45" s="664">
        <f t="shared" si="12"/>
        <v>100</v>
      </c>
      <c r="T45" s="663" t="s">
        <v>14</v>
      </c>
      <c r="U45" s="664">
        <f t="shared" si="13"/>
        <v>100</v>
      </c>
      <c r="V45" s="663" t="s">
        <v>14</v>
      </c>
      <c r="W45" s="664">
        <f t="shared" si="14"/>
        <v>100</v>
      </c>
      <c r="X45" s="665"/>
      <c r="Y45" s="3466"/>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64"/>
      <c r="Q46" s="1262">
        <f t="shared" si="11"/>
        <v>111</v>
      </c>
      <c r="R46" s="666" t="s">
        <v>14</v>
      </c>
      <c r="S46" s="667">
        <f t="shared" si="12"/>
        <v>100</v>
      </c>
      <c r="T46" s="666" t="s">
        <v>14</v>
      </c>
      <c r="U46" s="667">
        <f t="shared" si="13"/>
        <v>100</v>
      </c>
      <c r="V46" s="666" t="s">
        <v>14</v>
      </c>
      <c r="W46" s="667">
        <f t="shared" si="14"/>
        <v>100</v>
      </c>
      <c r="X46" s="1264"/>
      <c r="Y46" s="3466"/>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65"/>
      <c r="Q47" s="1262">
        <f t="shared" si="11"/>
        <v>111</v>
      </c>
      <c r="R47" s="666" t="s">
        <v>14</v>
      </c>
      <c r="S47" s="667">
        <f t="shared" si="12"/>
        <v>100</v>
      </c>
      <c r="T47" s="666" t="s">
        <v>14</v>
      </c>
      <c r="U47" s="667">
        <f t="shared" si="13"/>
        <v>100</v>
      </c>
      <c r="V47" s="666" t="s">
        <v>14</v>
      </c>
      <c r="W47" s="667">
        <f t="shared" si="14"/>
        <v>100</v>
      </c>
      <c r="X47" s="1264"/>
      <c r="Y47" s="3467"/>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3"/>
      <c r="L48" s="2492"/>
      <c r="M48" s="2485"/>
      <c r="N48" s="2485"/>
      <c r="O48" s="2485"/>
      <c r="P48" s="3442" t="str">
        <f>A48</f>
        <v>成交单价（元/平方米）</v>
      </c>
      <c r="Q48" s="3460"/>
      <c r="R48" s="3455">
        <f>E48</f>
        <v>0</v>
      </c>
      <c r="S48" s="3455"/>
      <c r="T48" s="3455">
        <f>G48</f>
        <v>0</v>
      </c>
      <c r="U48" s="3455"/>
      <c r="V48" s="3455">
        <f>I48</f>
        <v>0</v>
      </c>
      <c r="W48" s="3455"/>
      <c r="X48" s="385"/>
      <c r="Y48" s="672"/>
      <c r="Z48" s="385"/>
      <c r="AA48" s="385"/>
      <c r="AB48" s="385"/>
      <c r="AC48" s="555"/>
    </row>
    <row r="49" spans="1:29" ht="15" thickBot="1">
      <c r="A49" s="423" t="s">
        <v>1793</v>
      </c>
      <c r="B49" s="424"/>
      <c r="C49" s="1081" t="e">
        <f>R50</f>
        <v>#DIV/0!</v>
      </c>
      <c r="D49" s="2140" t="s">
        <v>2135</v>
      </c>
      <c r="E49" s="1082" t="e">
        <f>R49</f>
        <v>#DIV/0!</v>
      </c>
      <c r="F49" s="2141"/>
      <c r="G49" s="1081" t="e">
        <f>T49</f>
        <v>#DIV/0!</v>
      </c>
      <c r="H49" s="2141"/>
      <c r="I49" s="1082" t="e">
        <f>V49</f>
        <v>#DIV/0!</v>
      </c>
      <c r="J49" s="2141"/>
      <c r="K49" s="2143">
        <f>F49+H49+J49</f>
        <v>0</v>
      </c>
      <c r="L49" s="2492"/>
      <c r="M49" s="2485"/>
      <c r="N49" s="2485"/>
      <c r="O49" s="2485"/>
      <c r="P49" s="3442" t="str">
        <f>A49</f>
        <v>比较价值（元/平方米）</v>
      </c>
      <c r="Q49" s="3460"/>
      <c r="R49" s="3455" t="e">
        <f>IF(F1="售价",ROUND(PRODUCT(R48,AA7:AA47),0),ROUND(PRODUCT(R48,AA7:AA47),1))</f>
        <v>#DIV/0!</v>
      </c>
      <c r="S49" s="3455"/>
      <c r="T49" s="3455" t="e">
        <f>IF(F1="售价",ROUND(PRODUCT(T48,AB7:AB47),0),ROUND(PRODUCT(T48,AB7:AB47),1))</f>
        <v>#DIV/0!</v>
      </c>
      <c r="U49" s="3455"/>
      <c r="V49" s="3455" t="e">
        <f>IF(F1="售价",ROUND(PRODUCT(V48,AC7:AC47),0),ROUND(PRODUCT(V48,AC7:AC47),1))</f>
        <v>#DIV/0!</v>
      </c>
      <c r="W49" s="3455"/>
      <c r="X49" s="385"/>
      <c r="Y49" s="385"/>
      <c r="Z49" s="385"/>
      <c r="AA49" s="385"/>
      <c r="AB49" s="385"/>
      <c r="AC49" s="555"/>
    </row>
    <row r="50" spans="1:29" ht="15" thickBot="1">
      <c r="A50" s="427" t="s">
        <v>1794</v>
      </c>
      <c r="B50" s="428"/>
      <c r="C50" s="351" t="e">
        <f>R50</f>
        <v>#DIV/0!</v>
      </c>
      <c r="D50" s="351"/>
      <c r="E50" s="351"/>
      <c r="F50" s="351"/>
      <c r="G50" s="351"/>
      <c r="H50" s="351"/>
      <c r="I50" s="351"/>
      <c r="J50" s="429"/>
      <c r="K50" s="674"/>
      <c r="L50" s="2492"/>
      <c r="M50" s="2485"/>
      <c r="N50" s="2485"/>
      <c r="O50" s="2485"/>
      <c r="P50" s="3509" t="str">
        <f>A50</f>
        <v>估价对象XX用房的比较价值（楼面单价，元/平方米）</v>
      </c>
      <c r="Q50" s="3510"/>
      <c r="R50" s="3511" t="e">
        <f>IF(F1="售价",ROUND(IF(D49="简单平均",AVERAGE(R49:V49),R49*F49+T49*H49+V49*J49),0),ROUND(IF(D49="简单平均",AVERAGE(R49:V49),R49*F49+T49*H49+V49*J49),1))</f>
        <v>#DIV/0!</v>
      </c>
      <c r="S50" s="3511"/>
      <c r="T50" s="3511"/>
      <c r="U50" s="3511"/>
      <c r="V50" s="3511"/>
      <c r="W50" s="3511"/>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1798</v>
      </c>
      <c r="B58" s="385"/>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2" t="str">
        <f>YEAR(C7)&amp;"-"&amp;MONTH(C7)</f>
        <v>2025-6</v>
      </c>
      <c r="D59" s="1103">
        <f>EDATE(C59,-1)</f>
        <v>45778</v>
      </c>
      <c r="E59" s="1103">
        <f>EDATE(D59,-1)</f>
        <v>45748</v>
      </c>
      <c r="F59" s="1103">
        <f t="shared" ref="F59:O59" si="16">EDATE(E59,-1)</f>
        <v>45717</v>
      </c>
      <c r="G59" s="1103">
        <f t="shared" si="16"/>
        <v>45689</v>
      </c>
      <c r="H59" s="1103">
        <f t="shared" si="16"/>
        <v>45658</v>
      </c>
      <c r="I59" s="1103">
        <f t="shared" si="16"/>
        <v>45627</v>
      </c>
      <c r="J59" s="1103">
        <f t="shared" si="16"/>
        <v>45597</v>
      </c>
      <c r="K59" s="1103">
        <f t="shared" si="16"/>
        <v>45566</v>
      </c>
      <c r="L59" s="1103">
        <f t="shared" si="16"/>
        <v>45536</v>
      </c>
      <c r="M59" s="1103">
        <f t="shared" si="16"/>
        <v>45505</v>
      </c>
      <c r="N59" s="1103">
        <f t="shared" si="16"/>
        <v>45474</v>
      </c>
      <c r="O59" s="1103">
        <f t="shared" si="16"/>
        <v>45444</v>
      </c>
      <c r="P59" s="2525"/>
      <c r="Q59" s="2508"/>
      <c r="R59" s="2508"/>
      <c r="S59" s="2508"/>
      <c r="T59" s="2508"/>
      <c r="U59" s="2508"/>
      <c r="V59" s="2508"/>
      <c r="W59" s="2508"/>
      <c r="X59" s="2508"/>
      <c r="Y59" s="2508"/>
      <c r="Z59" s="2508"/>
      <c r="AA59" s="2508"/>
      <c r="AB59" s="2508"/>
      <c r="AC59" s="2508"/>
    </row>
    <row r="60" spans="1:29" s="102" customFormat="1">
      <c r="A60" s="443"/>
      <c r="B60" s="444"/>
      <c r="C60" s="1101">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2"/>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182.59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1769</v>
      </c>
      <c r="B4" s="346"/>
      <c r="C4" s="3443" t="s">
        <v>1770</v>
      </c>
      <c r="D4" s="3444"/>
      <c r="E4" s="3445" t="s">
        <v>1771</v>
      </c>
      <c r="F4" s="3446"/>
      <c r="G4" s="3443" t="s">
        <v>1772</v>
      </c>
      <c r="H4" s="3444"/>
      <c r="I4" s="3443" t="s">
        <v>1773</v>
      </c>
      <c r="J4" s="3444"/>
      <c r="K4" s="537" t="s">
        <v>1774</v>
      </c>
      <c r="L4" s="859"/>
      <c r="M4" s="860"/>
      <c r="N4" s="860"/>
      <c r="O4" s="860"/>
      <c r="P4" s="3447" t="s">
        <v>1775</v>
      </c>
      <c r="Q4" s="3448"/>
      <c r="R4" s="3429" t="s">
        <v>1771</v>
      </c>
      <c r="S4" s="3430"/>
      <c r="T4" s="3429" t="s">
        <v>1772</v>
      </c>
      <c r="U4" s="3430"/>
      <c r="V4" s="3455" t="s">
        <v>1773</v>
      </c>
      <c r="W4" s="3455"/>
      <c r="X4" s="1264"/>
      <c r="Y4" s="3429" t="s">
        <v>1775</v>
      </c>
      <c r="Z4" s="3430"/>
      <c r="AA4" s="3424" t="s">
        <v>1771</v>
      </c>
      <c r="AB4" s="3425" t="s">
        <v>1772</v>
      </c>
      <c r="AC4" s="3424" t="s">
        <v>1773</v>
      </c>
    </row>
    <row r="5" spans="1:29">
      <c r="A5" s="348"/>
      <c r="B5" s="349"/>
      <c r="C5" s="3435" t="s">
        <v>1673</v>
      </c>
      <c r="D5" s="3436"/>
      <c r="E5" s="3496" t="s">
        <v>1674</v>
      </c>
      <c r="F5" s="3434"/>
      <c r="G5" s="3435" t="s">
        <v>1675</v>
      </c>
      <c r="H5" s="3436"/>
      <c r="I5" s="3435" t="s">
        <v>1676</v>
      </c>
      <c r="J5" s="3436"/>
      <c r="K5" s="537"/>
      <c r="L5" s="859"/>
      <c r="M5" s="860"/>
      <c r="N5" s="860"/>
      <c r="O5" s="860"/>
      <c r="P5" s="3449"/>
      <c r="Q5" s="3450"/>
      <c r="R5" s="3431"/>
      <c r="S5" s="3432"/>
      <c r="T5" s="3431"/>
      <c r="U5" s="3432"/>
      <c r="V5" s="3455"/>
      <c r="W5" s="3455"/>
      <c r="X5" s="1264"/>
      <c r="Y5" s="3431"/>
      <c r="Z5" s="3432"/>
      <c r="AA5" s="3425"/>
      <c r="AB5" s="3425"/>
      <c r="AC5" s="3425"/>
    </row>
    <row r="6" spans="1:29" ht="15" thickBot="1">
      <c r="A6" s="350"/>
      <c r="B6" s="351"/>
      <c r="C6" s="3437" t="s">
        <v>1677</v>
      </c>
      <c r="D6" s="3438"/>
      <c r="E6" s="3440" t="s">
        <v>1677</v>
      </c>
      <c r="F6" s="3441"/>
      <c r="G6" s="3437" t="s">
        <v>1677</v>
      </c>
      <c r="H6" s="3438"/>
      <c r="I6" s="3437" t="s">
        <v>1677</v>
      </c>
      <c r="J6" s="3438"/>
      <c r="K6" s="537" t="s">
        <v>1678</v>
      </c>
      <c r="L6" s="859"/>
      <c r="M6" s="860"/>
      <c r="N6" s="860"/>
      <c r="O6" s="860"/>
      <c r="P6" s="3451"/>
      <c r="Q6" s="3452"/>
      <c r="R6" s="3431"/>
      <c r="S6" s="3432"/>
      <c r="T6" s="3453"/>
      <c r="U6" s="3454"/>
      <c r="V6" s="3455"/>
      <c r="W6" s="3455"/>
      <c r="X6" s="1264"/>
      <c r="Y6" s="3453"/>
      <c r="Z6" s="3454"/>
      <c r="AA6" s="3426"/>
      <c r="AB6" s="3426"/>
      <c r="AC6" s="3426"/>
    </row>
    <row r="7" spans="1:29" s="102" customFormat="1" ht="15" thickBot="1">
      <c r="A7" s="352" t="s">
        <v>1679</v>
      </c>
      <c r="B7" s="353"/>
      <c r="C7" s="354">
        <f>'数据-取费表'!B2</f>
        <v>45825</v>
      </c>
      <c r="D7" s="355">
        <v>100</v>
      </c>
      <c r="E7" s="356"/>
      <c r="F7" s="357">
        <f>SUMIF(52:52,YEAR(E7)&amp;"-"&amp;MONTH(E7),53:53)</f>
        <v>0</v>
      </c>
      <c r="G7" s="356"/>
      <c r="H7" s="355">
        <f>SUMIF(52:52,YEAR(G7)&amp;"-"&amp;MONTH(G7),53:53)</f>
        <v>0</v>
      </c>
      <c r="I7" s="356"/>
      <c r="J7" s="355">
        <f>SUMIF(52:52,YEAR(I7)&amp;"-"&amp;MONTH(I7),53:53)</f>
        <v>0</v>
      </c>
      <c r="K7" s="38"/>
      <c r="L7" s="861"/>
      <c r="M7" s="862"/>
      <c r="N7" s="862"/>
      <c r="O7" s="862"/>
      <c r="P7" s="3427" t="s">
        <v>1680</v>
      </c>
      <c r="Q7" s="3456"/>
      <c r="R7" s="663" t="s">
        <v>14</v>
      </c>
      <c r="S7" s="664">
        <f t="shared" ref="S7:S15" si="0">F7</f>
        <v>0</v>
      </c>
      <c r="T7" s="663" t="s">
        <v>14</v>
      </c>
      <c r="U7" s="664">
        <f t="shared" ref="U7:U15" si="1">H7</f>
        <v>0</v>
      </c>
      <c r="V7" s="663" t="s">
        <v>14</v>
      </c>
      <c r="W7" s="664">
        <f t="shared" ref="W7:W15" si="2">J7</f>
        <v>0</v>
      </c>
      <c r="X7" s="665"/>
      <c r="Y7" s="3427" t="s">
        <v>1680</v>
      </c>
      <c r="Z7" s="342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27" t="s">
        <v>1683</v>
      </c>
      <c r="Q8" s="3428"/>
      <c r="R8" s="663" t="s">
        <v>14</v>
      </c>
      <c r="S8" s="664">
        <f t="shared" si="0"/>
        <v>100</v>
      </c>
      <c r="T8" s="663" t="s">
        <v>14</v>
      </c>
      <c r="U8" s="664">
        <f t="shared" si="1"/>
        <v>100</v>
      </c>
      <c r="V8" s="663" t="s">
        <v>14</v>
      </c>
      <c r="W8" s="664">
        <f t="shared" si="2"/>
        <v>100</v>
      </c>
      <c r="X8" s="665"/>
      <c r="Y8" s="3427" t="s">
        <v>1683</v>
      </c>
      <c r="Z8" s="342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60" t="s">
        <v>1686</v>
      </c>
      <c r="Q9" s="530" t="str">
        <f t="shared" ref="Q9:Q15" si="6">B9</f>
        <v>用途</v>
      </c>
      <c r="R9" s="663" t="s">
        <v>14</v>
      </c>
      <c r="S9" s="664">
        <f t="shared" si="0"/>
        <v>100</v>
      </c>
      <c r="T9" s="663" t="s">
        <v>14</v>
      </c>
      <c r="U9" s="664">
        <f t="shared" si="1"/>
        <v>100</v>
      </c>
      <c r="V9" s="663" t="s">
        <v>14</v>
      </c>
      <c r="W9" s="664">
        <f t="shared" si="2"/>
        <v>100</v>
      </c>
      <c r="X9" s="665"/>
      <c r="Y9" s="337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4"/>
      <c r="M10" s="865"/>
      <c r="N10" s="865"/>
      <c r="O10" s="866"/>
      <c r="P10" s="3460"/>
      <c r="Q10" s="530" t="str">
        <f t="shared" si="6"/>
        <v>土地使用年限（年）</v>
      </c>
      <c r="R10" s="663" t="s">
        <v>14</v>
      </c>
      <c r="S10" s="664">
        <f t="shared" si="0"/>
        <v>100</v>
      </c>
      <c r="T10" s="663" t="s">
        <v>14</v>
      </c>
      <c r="U10" s="664">
        <f t="shared" si="1"/>
        <v>100</v>
      </c>
      <c r="V10" s="663" t="s">
        <v>14</v>
      </c>
      <c r="W10" s="664">
        <f t="shared" si="2"/>
        <v>100</v>
      </c>
      <c r="X10" s="665"/>
      <c r="Y10" s="337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60"/>
      <c r="Q11" s="530" t="str">
        <f t="shared" si="6"/>
        <v>容积率</v>
      </c>
      <c r="R11" s="663" t="s">
        <v>14</v>
      </c>
      <c r="S11" s="664">
        <f t="shared" si="0"/>
        <v>100</v>
      </c>
      <c r="T11" s="663" t="s">
        <v>14</v>
      </c>
      <c r="U11" s="664">
        <f t="shared" si="1"/>
        <v>100</v>
      </c>
      <c r="V11" s="663" t="s">
        <v>14</v>
      </c>
      <c r="W11" s="664">
        <f t="shared" si="2"/>
        <v>100</v>
      </c>
      <c r="X11" s="665"/>
      <c r="Y11" s="337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60"/>
      <c r="Q12" s="530">
        <f t="shared" si="6"/>
        <v>111</v>
      </c>
      <c r="R12" s="663" t="s">
        <v>14</v>
      </c>
      <c r="S12" s="664">
        <f t="shared" si="0"/>
        <v>100</v>
      </c>
      <c r="T12" s="663" t="s">
        <v>14</v>
      </c>
      <c r="U12" s="664">
        <f t="shared" si="1"/>
        <v>100</v>
      </c>
      <c r="V12" s="663" t="s">
        <v>14</v>
      </c>
      <c r="W12" s="664">
        <f t="shared" si="2"/>
        <v>100</v>
      </c>
      <c r="X12" s="665"/>
      <c r="Y12" s="337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60"/>
      <c r="Q13" s="530">
        <f t="shared" si="6"/>
        <v>111</v>
      </c>
      <c r="R13" s="663" t="s">
        <v>14</v>
      </c>
      <c r="S13" s="664">
        <f t="shared" si="0"/>
        <v>100</v>
      </c>
      <c r="T13" s="663" t="s">
        <v>14</v>
      </c>
      <c r="U13" s="664">
        <f t="shared" si="1"/>
        <v>100</v>
      </c>
      <c r="V13" s="663" t="s">
        <v>14</v>
      </c>
      <c r="W13" s="664">
        <f t="shared" si="2"/>
        <v>100</v>
      </c>
      <c r="X13" s="665"/>
      <c r="Y13" s="3372"/>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60"/>
      <c r="Q14" s="530">
        <f t="shared" si="6"/>
        <v>111</v>
      </c>
      <c r="R14" s="663" t="s">
        <v>14</v>
      </c>
      <c r="S14" s="664">
        <f t="shared" si="0"/>
        <v>100</v>
      </c>
      <c r="T14" s="663" t="s">
        <v>14</v>
      </c>
      <c r="U14" s="664">
        <f t="shared" si="1"/>
        <v>100</v>
      </c>
      <c r="V14" s="663" t="s">
        <v>14</v>
      </c>
      <c r="W14" s="664">
        <f t="shared" si="2"/>
        <v>100</v>
      </c>
      <c r="X14" s="665"/>
      <c r="Y14" s="3372"/>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61" t="s">
        <v>1691</v>
      </c>
      <c r="Q15" s="1262" t="str">
        <f t="shared" si="6"/>
        <v>产业集聚程度</v>
      </c>
      <c r="R15" s="666" t="s">
        <v>14</v>
      </c>
      <c r="S15" s="667">
        <f t="shared" si="0"/>
        <v>100</v>
      </c>
      <c r="T15" s="666" t="s">
        <v>14</v>
      </c>
      <c r="U15" s="667">
        <f t="shared" si="1"/>
        <v>100</v>
      </c>
      <c r="V15" s="666" t="s">
        <v>14</v>
      </c>
      <c r="W15" s="667">
        <f t="shared" si="2"/>
        <v>100</v>
      </c>
      <c r="X15" s="1264"/>
      <c r="Y15" s="3461"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62"/>
      <c r="Q16" s="1262"/>
      <c r="R16" s="666"/>
      <c r="S16" s="667"/>
      <c r="T16" s="666"/>
      <c r="U16" s="667"/>
      <c r="V16" s="666"/>
      <c r="W16" s="667"/>
      <c r="X16" s="1264"/>
      <c r="Y16" s="3462"/>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62"/>
      <c r="Q17" s="1262" t="str">
        <f>B17</f>
        <v>交通便捷度</v>
      </c>
      <c r="R17" s="666" t="s">
        <v>14</v>
      </c>
      <c r="S17" s="667">
        <f>F17</f>
        <v>100</v>
      </c>
      <c r="T17" s="666" t="s">
        <v>14</v>
      </c>
      <c r="U17" s="667">
        <f>H17</f>
        <v>100</v>
      </c>
      <c r="V17" s="666" t="s">
        <v>14</v>
      </c>
      <c r="W17" s="667">
        <f>J17</f>
        <v>100</v>
      </c>
      <c r="X17" s="1264"/>
      <c r="Y17" s="346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62"/>
      <c r="Q18" s="1262"/>
      <c r="R18" s="666"/>
      <c r="S18" s="667"/>
      <c r="T18" s="666"/>
      <c r="U18" s="667"/>
      <c r="V18" s="666"/>
      <c r="W18" s="667"/>
      <c r="X18" s="1264"/>
      <c r="Y18" s="3462"/>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62"/>
      <c r="Q19" s="1262" t="str">
        <f>B19</f>
        <v>公共配套设施</v>
      </c>
      <c r="R19" s="666" t="s">
        <v>14</v>
      </c>
      <c r="S19" s="667">
        <f>F19</f>
        <v>100</v>
      </c>
      <c r="T19" s="666" t="s">
        <v>14</v>
      </c>
      <c r="U19" s="667">
        <f>H19</f>
        <v>100</v>
      </c>
      <c r="V19" s="666" t="s">
        <v>14</v>
      </c>
      <c r="W19" s="667">
        <f>J19</f>
        <v>100</v>
      </c>
      <c r="X19" s="1264"/>
      <c r="Y19" s="346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62"/>
      <c r="Q20" s="1262"/>
      <c r="R20" s="666"/>
      <c r="S20" s="667"/>
      <c r="T20" s="666"/>
      <c r="U20" s="667"/>
      <c r="V20" s="666"/>
      <c r="W20" s="667"/>
      <c r="X20" s="1264"/>
      <c r="Y20" s="3462"/>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62"/>
      <c r="Q21" s="1262" t="str">
        <f>B21</f>
        <v>基础设施水平</v>
      </c>
      <c r="R21" s="666" t="s">
        <v>14</v>
      </c>
      <c r="S21" s="667">
        <f>F21</f>
        <v>100</v>
      </c>
      <c r="T21" s="666" t="s">
        <v>14</v>
      </c>
      <c r="U21" s="667">
        <f>H21</f>
        <v>100</v>
      </c>
      <c r="V21" s="666" t="s">
        <v>14</v>
      </c>
      <c r="W21" s="667">
        <f>J21</f>
        <v>100</v>
      </c>
      <c r="X21" s="1264"/>
      <c r="Y21" s="346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62"/>
      <c r="Q22" s="1262"/>
      <c r="R22" s="666"/>
      <c r="S22" s="667"/>
      <c r="T22" s="666"/>
      <c r="U22" s="667"/>
      <c r="V22" s="666"/>
      <c r="W22" s="667"/>
      <c r="X22" s="1264"/>
      <c r="Y22" s="3462"/>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62"/>
      <c r="Q23" s="1262" t="str">
        <f>B23</f>
        <v>环境质量</v>
      </c>
      <c r="R23" s="666" t="s">
        <v>14</v>
      </c>
      <c r="S23" s="667">
        <f>F23</f>
        <v>100</v>
      </c>
      <c r="T23" s="666" t="s">
        <v>14</v>
      </c>
      <c r="U23" s="667">
        <f>H23</f>
        <v>100</v>
      </c>
      <c r="V23" s="666" t="s">
        <v>14</v>
      </c>
      <c r="W23" s="667">
        <f>J23</f>
        <v>100</v>
      </c>
      <c r="X23" s="1264"/>
      <c r="Y23" s="3462"/>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62"/>
      <c r="Q24" s="1262"/>
      <c r="R24" s="666"/>
      <c r="S24" s="667"/>
      <c r="T24" s="666"/>
      <c r="U24" s="667"/>
      <c r="V24" s="666"/>
      <c r="W24" s="667"/>
      <c r="X24" s="1264"/>
      <c r="Y24" s="3462"/>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62"/>
      <c r="Q25" s="1262">
        <f>B25</f>
        <v>111</v>
      </c>
      <c r="R25" s="666" t="s">
        <v>14</v>
      </c>
      <c r="S25" s="667">
        <f>F25</f>
        <v>100</v>
      </c>
      <c r="T25" s="666" t="s">
        <v>14</v>
      </c>
      <c r="U25" s="667">
        <f>H25</f>
        <v>100</v>
      </c>
      <c r="V25" s="666" t="s">
        <v>14</v>
      </c>
      <c r="W25" s="667">
        <f>J25</f>
        <v>100</v>
      </c>
      <c r="X25" s="1264"/>
      <c r="Y25" s="3462"/>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62"/>
      <c r="Q26" s="1262">
        <f t="shared" ref="Q26:Q40" si="11">B26</f>
        <v>111</v>
      </c>
      <c r="R26" s="666" t="s">
        <v>14</v>
      </c>
      <c r="S26" s="667">
        <f>F26</f>
        <v>100</v>
      </c>
      <c r="T26" s="666" t="s">
        <v>14</v>
      </c>
      <c r="U26" s="667">
        <f>H26</f>
        <v>100</v>
      </c>
      <c r="V26" s="666" t="s">
        <v>14</v>
      </c>
      <c r="W26" s="667">
        <f>J26</f>
        <v>100</v>
      </c>
      <c r="X26" s="1264"/>
      <c r="Y26" s="3462"/>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62"/>
      <c r="Q27" s="530">
        <f t="shared" si="11"/>
        <v>111</v>
      </c>
      <c r="R27" s="663" t="s">
        <v>14</v>
      </c>
      <c r="S27" s="664">
        <f>F27</f>
        <v>100</v>
      </c>
      <c r="T27" s="663" t="s">
        <v>14</v>
      </c>
      <c r="U27" s="664">
        <f>H27</f>
        <v>100</v>
      </c>
      <c r="V27" s="663" t="s">
        <v>14</v>
      </c>
      <c r="W27" s="664">
        <f>J27</f>
        <v>100</v>
      </c>
      <c r="X27" s="665"/>
      <c r="Y27" s="3462"/>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62"/>
      <c r="Q28" s="1262">
        <f t="shared" si="11"/>
        <v>111</v>
      </c>
      <c r="R28" s="666" t="s">
        <v>14</v>
      </c>
      <c r="S28" s="667">
        <f t="shared" ref="S28:S40" si="12">F28</f>
        <v>100</v>
      </c>
      <c r="T28" s="666" t="s">
        <v>14</v>
      </c>
      <c r="U28" s="667">
        <f t="shared" ref="U28:U40" si="13">H28</f>
        <v>100</v>
      </c>
      <c r="V28" s="666" t="s">
        <v>14</v>
      </c>
      <c r="W28" s="667">
        <f t="shared" ref="W28:W40" si="14">J28</f>
        <v>100</v>
      </c>
      <c r="X28" s="1264"/>
      <c r="Y28" s="3462"/>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512" t="s">
        <v>1696</v>
      </c>
      <c r="Q29" s="1262" t="str">
        <f t="shared" si="11"/>
        <v>建筑类型</v>
      </c>
      <c r="R29" s="666" t="s">
        <v>14</v>
      </c>
      <c r="S29" s="667">
        <f t="shared" si="12"/>
        <v>100</v>
      </c>
      <c r="T29" s="666" t="s">
        <v>14</v>
      </c>
      <c r="U29" s="667">
        <f t="shared" si="13"/>
        <v>100</v>
      </c>
      <c r="V29" s="666" t="s">
        <v>14</v>
      </c>
      <c r="W29" s="667">
        <f t="shared" si="14"/>
        <v>100</v>
      </c>
      <c r="X29" s="1264"/>
      <c r="Y29" s="3466"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66"/>
      <c r="Q30" s="531" t="str">
        <f t="shared" si="11"/>
        <v>项目建筑规模</v>
      </c>
      <c r="R30" s="668" t="s">
        <v>14</v>
      </c>
      <c r="S30" s="669" t="e">
        <f t="shared" si="12"/>
        <v>#N/A</v>
      </c>
      <c r="T30" s="668" t="s">
        <v>14</v>
      </c>
      <c r="U30" s="669" t="e">
        <f t="shared" si="13"/>
        <v>#N/A</v>
      </c>
      <c r="V30" s="668" t="s">
        <v>14</v>
      </c>
      <c r="W30" s="669" t="e">
        <f t="shared" si="14"/>
        <v>#N/A</v>
      </c>
      <c r="X30" s="670"/>
      <c r="Y30" s="3466"/>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66"/>
      <c r="Q31" s="1262" t="str">
        <f t="shared" si="11"/>
        <v>建筑结构</v>
      </c>
      <c r="R31" s="666" t="s">
        <v>14</v>
      </c>
      <c r="S31" s="667">
        <f t="shared" si="12"/>
        <v>100</v>
      </c>
      <c r="T31" s="666" t="s">
        <v>14</v>
      </c>
      <c r="U31" s="667">
        <f t="shared" si="13"/>
        <v>100</v>
      </c>
      <c r="V31" s="666" t="s">
        <v>14</v>
      </c>
      <c r="W31" s="667">
        <f t="shared" si="14"/>
        <v>100</v>
      </c>
      <c r="X31" s="1264"/>
      <c r="Y31" s="3466"/>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66"/>
      <c r="Q32" s="1262" t="str">
        <f t="shared" si="11"/>
        <v>公共部分装修</v>
      </c>
      <c r="R32" s="666" t="s">
        <v>14</v>
      </c>
      <c r="S32" s="667">
        <f t="shared" si="12"/>
        <v>100</v>
      </c>
      <c r="T32" s="666" t="s">
        <v>14</v>
      </c>
      <c r="U32" s="667">
        <f t="shared" si="13"/>
        <v>100</v>
      </c>
      <c r="V32" s="666" t="s">
        <v>14</v>
      </c>
      <c r="W32" s="667">
        <f t="shared" si="14"/>
        <v>100</v>
      </c>
      <c r="X32" s="1264"/>
      <c r="Y32" s="3466"/>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66"/>
      <c r="Q33" s="1262" t="str">
        <f t="shared" si="11"/>
        <v>成新度</v>
      </c>
      <c r="R33" s="666" t="s">
        <v>14</v>
      </c>
      <c r="S33" s="667" t="e">
        <f t="shared" si="12"/>
        <v>#N/A</v>
      </c>
      <c r="T33" s="666" t="s">
        <v>14</v>
      </c>
      <c r="U33" s="667" t="e">
        <f t="shared" si="13"/>
        <v>#N/A</v>
      </c>
      <c r="V33" s="666" t="s">
        <v>14</v>
      </c>
      <c r="W33" s="667" t="e">
        <f t="shared" si="14"/>
        <v>#N/A</v>
      </c>
      <c r="X33" s="1264"/>
      <c r="Y33" s="3466"/>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66"/>
      <c r="Q34" s="530" t="str">
        <f t="shared" si="11"/>
        <v>物业管理</v>
      </c>
      <c r="R34" s="663" t="s">
        <v>14</v>
      </c>
      <c r="S34" s="664">
        <f t="shared" si="12"/>
        <v>100</v>
      </c>
      <c r="T34" s="663" t="s">
        <v>14</v>
      </c>
      <c r="U34" s="664">
        <f t="shared" si="13"/>
        <v>100</v>
      </c>
      <c r="V34" s="663" t="s">
        <v>14</v>
      </c>
      <c r="W34" s="664">
        <f t="shared" si="14"/>
        <v>100</v>
      </c>
      <c r="X34" s="665"/>
      <c r="Y34" s="346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66" t="s">
        <v>1696</v>
      </c>
      <c r="Q35" s="1262" t="str">
        <f t="shared" si="11"/>
        <v>市政基础设施</v>
      </c>
      <c r="R35" s="666" t="s">
        <v>14</v>
      </c>
      <c r="S35" s="667">
        <f t="shared" si="12"/>
        <v>100</v>
      </c>
      <c r="T35" s="666" t="s">
        <v>14</v>
      </c>
      <c r="U35" s="667">
        <f t="shared" si="13"/>
        <v>100</v>
      </c>
      <c r="V35" s="666" t="s">
        <v>14</v>
      </c>
      <c r="W35" s="667">
        <f t="shared" si="14"/>
        <v>100</v>
      </c>
      <c r="X35" s="1264"/>
      <c r="Y35" s="3466"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66"/>
      <c r="Q36" s="1262" t="str">
        <f t="shared" si="11"/>
        <v>内部装修</v>
      </c>
      <c r="R36" s="666" t="s">
        <v>14</v>
      </c>
      <c r="S36" s="667">
        <f t="shared" si="12"/>
        <v>100</v>
      </c>
      <c r="T36" s="666" t="s">
        <v>14</v>
      </c>
      <c r="U36" s="667">
        <f t="shared" si="13"/>
        <v>100</v>
      </c>
      <c r="V36" s="666" t="s">
        <v>14</v>
      </c>
      <c r="W36" s="667">
        <f t="shared" si="14"/>
        <v>100</v>
      </c>
      <c r="X36" s="1264"/>
      <c r="Y36" s="3466"/>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66"/>
      <c r="Q37" s="1262" t="str">
        <f t="shared" si="11"/>
        <v>内部装修状况</v>
      </c>
      <c r="R37" s="666" t="s">
        <v>14</v>
      </c>
      <c r="S37" s="667">
        <f t="shared" si="12"/>
        <v>100</v>
      </c>
      <c r="T37" s="666" t="s">
        <v>14</v>
      </c>
      <c r="U37" s="667">
        <f t="shared" si="13"/>
        <v>100</v>
      </c>
      <c r="V37" s="666" t="s">
        <v>14</v>
      </c>
      <c r="W37" s="667">
        <f t="shared" si="14"/>
        <v>100</v>
      </c>
      <c r="X37" s="1264"/>
      <c r="Y37" s="3466"/>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66"/>
      <c r="Q38" s="531">
        <f t="shared" si="11"/>
        <v>111</v>
      </c>
      <c r="R38" s="668" t="s">
        <v>14</v>
      </c>
      <c r="S38" s="669">
        <f t="shared" si="12"/>
        <v>100</v>
      </c>
      <c r="T38" s="668" t="s">
        <v>14</v>
      </c>
      <c r="U38" s="669">
        <f t="shared" si="13"/>
        <v>100</v>
      </c>
      <c r="V38" s="668" t="s">
        <v>14</v>
      </c>
      <c r="W38" s="669">
        <f t="shared" si="14"/>
        <v>100</v>
      </c>
      <c r="X38" s="670"/>
      <c r="Y38" s="3466"/>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66"/>
      <c r="Q39" s="1262">
        <f t="shared" si="11"/>
        <v>111</v>
      </c>
      <c r="R39" s="666" t="s">
        <v>14</v>
      </c>
      <c r="S39" s="667">
        <f t="shared" si="12"/>
        <v>100</v>
      </c>
      <c r="T39" s="666" t="s">
        <v>14</v>
      </c>
      <c r="U39" s="667">
        <f t="shared" si="13"/>
        <v>100</v>
      </c>
      <c r="V39" s="666" t="s">
        <v>14</v>
      </c>
      <c r="W39" s="667">
        <f t="shared" si="14"/>
        <v>100</v>
      </c>
      <c r="X39" s="1264"/>
      <c r="Y39" s="3466"/>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67"/>
      <c r="Q40" s="1262">
        <f t="shared" si="11"/>
        <v>111</v>
      </c>
      <c r="R40" s="666" t="s">
        <v>14</v>
      </c>
      <c r="S40" s="667">
        <f t="shared" si="12"/>
        <v>100</v>
      </c>
      <c r="T40" s="666" t="s">
        <v>14</v>
      </c>
      <c r="U40" s="667">
        <f t="shared" si="13"/>
        <v>100</v>
      </c>
      <c r="V40" s="666" t="s">
        <v>14</v>
      </c>
      <c r="W40" s="667">
        <f t="shared" si="14"/>
        <v>100</v>
      </c>
      <c r="X40" s="1264"/>
      <c r="Y40" s="3467"/>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3"/>
      <c r="L41" s="872"/>
      <c r="M41" s="860"/>
      <c r="N41" s="860"/>
      <c r="O41" s="860"/>
      <c r="P41" s="3460" t="str">
        <f>A41</f>
        <v>成交单价（元/平方米）</v>
      </c>
      <c r="Q41" s="3460"/>
      <c r="R41" s="3455">
        <f>E41</f>
        <v>0</v>
      </c>
      <c r="S41" s="3455"/>
      <c r="T41" s="3455">
        <f>G41</f>
        <v>0</v>
      </c>
      <c r="U41" s="3455"/>
      <c r="V41" s="3455">
        <f>I41</f>
        <v>0</v>
      </c>
      <c r="W41" s="3455"/>
      <c r="X41" s="385"/>
      <c r="Y41" s="672"/>
      <c r="Z41" s="385"/>
      <c r="AA41" s="385"/>
      <c r="AB41" s="385"/>
      <c r="AC41" s="385"/>
    </row>
    <row r="42" spans="1:29" ht="15" thickBot="1">
      <c r="A42" s="423" t="s">
        <v>1793</v>
      </c>
      <c r="B42" s="424"/>
      <c r="C42" s="1081" t="e">
        <f>R43</f>
        <v>#DIV/0!</v>
      </c>
      <c r="D42" s="2140" t="s">
        <v>2135</v>
      </c>
      <c r="E42" s="1082" t="e">
        <f>R42</f>
        <v>#DIV/0!</v>
      </c>
      <c r="F42" s="2141"/>
      <c r="G42" s="1081" t="e">
        <f>T42</f>
        <v>#DIV/0!</v>
      </c>
      <c r="H42" s="2141"/>
      <c r="I42" s="1082" t="e">
        <f>V42</f>
        <v>#DIV/0!</v>
      </c>
      <c r="J42" s="2141"/>
      <c r="K42" s="2143">
        <f>F42+H42+J42</f>
        <v>0</v>
      </c>
      <c r="L42" s="872"/>
      <c r="M42" s="860"/>
      <c r="N42" s="860"/>
      <c r="O42" s="860"/>
      <c r="P42" s="3460" t="str">
        <f>A42</f>
        <v>比较价值（元/平方米）</v>
      </c>
      <c r="Q42" s="3460"/>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2"/>
      <c r="M43" s="860"/>
      <c r="N43" s="860"/>
      <c r="O43" s="860"/>
      <c r="P43" s="3457" t="str">
        <f>A43</f>
        <v>估价对象XX用房的比较价值（楼面单价，元/平方米）</v>
      </c>
      <c r="Q43" s="3458"/>
      <c r="R43" s="3459" t="e">
        <f>IF(F1="售价",ROUND(IF(D42="简单平均",AVERAGE(R42:V42),R42*F42+T42*H42+V42*J42),0),ROUND(IF(D42="简单平均",AVERAGE(R42:V42),R42*F42+T42*H42+V42*J42),1))</f>
        <v>#DIV/0!</v>
      </c>
      <c r="S43" s="3459"/>
      <c r="T43" s="3459"/>
      <c r="U43" s="3459"/>
      <c r="V43" s="3459"/>
      <c r="W43" s="3459"/>
      <c r="X43" s="385"/>
      <c r="Y43" s="385"/>
      <c r="Z43" s="385"/>
      <c r="AA43" s="385"/>
      <c r="AB43" s="385"/>
      <c r="AC43" s="385"/>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5"/>
      <c r="M46" s="860"/>
      <c r="N46" s="860"/>
      <c r="O46" s="860"/>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5"/>
      <c r="M47" s="860"/>
      <c r="N47" s="860"/>
      <c r="O47" s="860"/>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5"/>
      <c r="M48" s="873"/>
      <c r="N48" s="873"/>
      <c r="O48" s="873"/>
    </row>
    <row r="49" spans="1:17" s="437"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1798</v>
      </c>
      <c r="B51" s="385"/>
      <c r="C51" s="658"/>
      <c r="D51" s="658"/>
      <c r="E51" s="658"/>
      <c r="F51" s="659"/>
      <c r="G51" s="659"/>
      <c r="H51" s="658"/>
      <c r="I51" s="658"/>
      <c r="J51" s="658"/>
      <c r="K51" s="886"/>
      <c r="L51" s="887"/>
      <c r="M51" s="885"/>
      <c r="N51" s="885"/>
      <c r="O51" s="885"/>
      <c r="P51" s="438"/>
      <c r="Q51" s="439"/>
    </row>
    <row r="52" spans="1:17" s="442" customFormat="1" ht="14.4">
      <c r="A52" s="440" t="s">
        <v>1679</v>
      </c>
      <c r="B52" s="441"/>
      <c r="C52" s="1102" t="str">
        <f>YEAR(C7)&amp;"-"&amp;MONTH(C7)</f>
        <v>2025-6</v>
      </c>
      <c r="D52" s="1103">
        <f>EDATE(C52,-1)</f>
        <v>45778</v>
      </c>
      <c r="E52" s="1103">
        <f t="shared" ref="E52:O52" si="16">EDATE(D52,-1)</f>
        <v>45748</v>
      </c>
      <c r="F52" s="1103">
        <f t="shared" si="16"/>
        <v>45717</v>
      </c>
      <c r="G52" s="1103">
        <f t="shared" si="16"/>
        <v>45689</v>
      </c>
      <c r="H52" s="1103">
        <f t="shared" si="16"/>
        <v>45658</v>
      </c>
      <c r="I52" s="1103">
        <f t="shared" si="16"/>
        <v>45627</v>
      </c>
      <c r="J52" s="1103">
        <f t="shared" si="16"/>
        <v>45597</v>
      </c>
      <c r="K52" s="1103">
        <f t="shared" si="16"/>
        <v>45566</v>
      </c>
      <c r="L52" s="1103">
        <f t="shared" si="16"/>
        <v>45536</v>
      </c>
      <c r="M52" s="1103">
        <f t="shared" si="16"/>
        <v>45505</v>
      </c>
      <c r="N52" s="1103">
        <f t="shared" si="16"/>
        <v>45474</v>
      </c>
      <c r="O52" s="1103">
        <f t="shared" si="16"/>
        <v>45444</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1719</v>
      </c>
      <c r="B57" s="460" t="s">
        <v>1685</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1688</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1694</v>
      </c>
      <c r="B88" s="460" t="s">
        <v>1736</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3326</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5"/>
      <c r="AC3" s="662"/>
    </row>
    <row r="4" spans="1:29" ht="14.4">
      <c r="A4" s="345" t="s">
        <v>1769</v>
      </c>
      <c r="B4" s="346"/>
      <c r="C4" s="3443" t="s">
        <v>1770</v>
      </c>
      <c r="D4" s="3444"/>
      <c r="E4" s="3445" t="s">
        <v>1771</v>
      </c>
      <c r="F4" s="3446"/>
      <c r="G4" s="3443" t="s">
        <v>1772</v>
      </c>
      <c r="H4" s="3444"/>
      <c r="I4" s="3443" t="s">
        <v>1773</v>
      </c>
      <c r="J4" s="3444"/>
      <c r="K4" s="537" t="s">
        <v>1774</v>
      </c>
      <c r="L4" s="2484"/>
      <c r="M4" s="2485"/>
      <c r="N4" s="2485"/>
      <c r="O4" s="2485"/>
      <c r="P4" s="3447" t="s">
        <v>1775</v>
      </c>
      <c r="Q4" s="3448"/>
      <c r="R4" s="3429" t="s">
        <v>1771</v>
      </c>
      <c r="S4" s="3430"/>
      <c r="T4" s="3429" t="s">
        <v>1772</v>
      </c>
      <c r="U4" s="3430"/>
      <c r="V4" s="3455" t="s">
        <v>1773</v>
      </c>
      <c r="W4" s="3455"/>
      <c r="X4" s="1264"/>
      <c r="Y4" s="3429" t="s">
        <v>1775</v>
      </c>
      <c r="Z4" s="3430"/>
      <c r="AA4" s="3424" t="s">
        <v>1771</v>
      </c>
      <c r="AB4" s="3425" t="s">
        <v>1772</v>
      </c>
      <c r="AC4" s="3424" t="s">
        <v>1773</v>
      </c>
    </row>
    <row r="5" spans="1:29">
      <c r="A5" s="348"/>
      <c r="B5" s="349"/>
      <c r="C5" s="3435" t="s">
        <v>1673</v>
      </c>
      <c r="D5" s="3436"/>
      <c r="E5" s="3496" t="s">
        <v>1674</v>
      </c>
      <c r="F5" s="3434"/>
      <c r="G5" s="3435" t="s">
        <v>1675</v>
      </c>
      <c r="H5" s="3436"/>
      <c r="I5" s="3435" t="s">
        <v>1676</v>
      </c>
      <c r="J5" s="3436"/>
      <c r="K5" s="537"/>
      <c r="L5" s="2484"/>
      <c r="M5" s="2485"/>
      <c r="N5" s="2485"/>
      <c r="O5" s="2485"/>
      <c r="P5" s="3449"/>
      <c r="Q5" s="3450"/>
      <c r="R5" s="3431"/>
      <c r="S5" s="3432"/>
      <c r="T5" s="3431"/>
      <c r="U5" s="3432"/>
      <c r="V5" s="3455"/>
      <c r="W5" s="3455"/>
      <c r="X5" s="1264"/>
      <c r="Y5" s="3431"/>
      <c r="Z5" s="3432"/>
      <c r="AA5" s="3425"/>
      <c r="AB5" s="3425"/>
      <c r="AC5" s="3425"/>
    </row>
    <row r="6" spans="1:29" ht="15" thickBot="1">
      <c r="A6" s="350"/>
      <c r="B6" s="351"/>
      <c r="C6" s="3437" t="s">
        <v>1677</v>
      </c>
      <c r="D6" s="3438"/>
      <c r="E6" s="3440" t="s">
        <v>1677</v>
      </c>
      <c r="F6" s="3441"/>
      <c r="G6" s="3437" t="s">
        <v>1677</v>
      </c>
      <c r="H6" s="3438"/>
      <c r="I6" s="3437" t="s">
        <v>1677</v>
      </c>
      <c r="J6" s="3438"/>
      <c r="K6" s="537" t="s">
        <v>1678</v>
      </c>
      <c r="L6" s="2484"/>
      <c r="M6" s="2485"/>
      <c r="N6" s="2485"/>
      <c r="O6" s="2485"/>
      <c r="P6" s="3451"/>
      <c r="Q6" s="3452"/>
      <c r="R6" s="3431"/>
      <c r="S6" s="3432"/>
      <c r="T6" s="3453"/>
      <c r="U6" s="3454"/>
      <c r="V6" s="3455"/>
      <c r="W6" s="3455"/>
      <c r="X6" s="1264"/>
      <c r="Y6" s="3453"/>
      <c r="Z6" s="3454"/>
      <c r="AA6" s="3426"/>
      <c r="AB6" s="3426"/>
      <c r="AC6" s="3426"/>
    </row>
    <row r="7" spans="1:29" s="102" customFormat="1" ht="15" thickBot="1">
      <c r="A7" s="352" t="s">
        <v>1679</v>
      </c>
      <c r="B7" s="353"/>
      <c r="C7" s="354">
        <f>'数据-取费表'!B2</f>
        <v>45825</v>
      </c>
      <c r="D7" s="355">
        <v>100</v>
      </c>
      <c r="E7" s="356"/>
      <c r="F7" s="357">
        <f>SUMIF(48:48,YEAR(E7)&amp;"-"&amp;MONTH(E7),49:49)</f>
        <v>0</v>
      </c>
      <c r="G7" s="356"/>
      <c r="H7" s="355">
        <f>SUMIF(48:48,YEAR(G7)&amp;"-"&amp;MONTH(G7),49:49)</f>
        <v>0</v>
      </c>
      <c r="I7" s="356"/>
      <c r="J7" s="355">
        <f>SUMIF(48:48,YEAR(I7)&amp;"-"&amp;MONTH(I7),49:49)</f>
        <v>0</v>
      </c>
      <c r="K7" s="38"/>
      <c r="L7" s="2486"/>
      <c r="M7" s="2438"/>
      <c r="N7" s="2438"/>
      <c r="O7" s="2438"/>
      <c r="P7" s="3427" t="s">
        <v>1680</v>
      </c>
      <c r="Q7" s="3456"/>
      <c r="R7" s="663" t="s">
        <v>14</v>
      </c>
      <c r="S7" s="664">
        <f t="shared" ref="S7:S14" si="0">F7</f>
        <v>0</v>
      </c>
      <c r="T7" s="663" t="s">
        <v>14</v>
      </c>
      <c r="U7" s="664">
        <f t="shared" ref="U7:U14" si="1">H7</f>
        <v>0</v>
      </c>
      <c r="V7" s="663" t="s">
        <v>14</v>
      </c>
      <c r="W7" s="664">
        <f t="shared" ref="W7:W14" si="2">J7</f>
        <v>0</v>
      </c>
      <c r="X7" s="665"/>
      <c r="Y7" s="3427" t="s">
        <v>1680</v>
      </c>
      <c r="Z7" s="342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27" t="s">
        <v>1683</v>
      </c>
      <c r="Q8" s="3428"/>
      <c r="R8" s="663" t="s">
        <v>14</v>
      </c>
      <c r="S8" s="664">
        <f t="shared" si="0"/>
        <v>100</v>
      </c>
      <c r="T8" s="663" t="s">
        <v>14</v>
      </c>
      <c r="U8" s="664">
        <f t="shared" si="1"/>
        <v>100</v>
      </c>
      <c r="V8" s="663" t="s">
        <v>14</v>
      </c>
      <c r="W8" s="664">
        <f t="shared" si="2"/>
        <v>100</v>
      </c>
      <c r="X8" s="665"/>
      <c r="Y8" s="3427" t="s">
        <v>1683</v>
      </c>
      <c r="Z8" s="342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60" t="s">
        <v>1686</v>
      </c>
      <c r="Q9" s="530" t="str">
        <f t="shared" ref="Q9:Q14" si="6">B9</f>
        <v>用途</v>
      </c>
      <c r="R9" s="663" t="s">
        <v>14</v>
      </c>
      <c r="S9" s="664">
        <f t="shared" si="0"/>
        <v>100</v>
      </c>
      <c r="T9" s="663" t="s">
        <v>14</v>
      </c>
      <c r="U9" s="664">
        <f t="shared" si="1"/>
        <v>100</v>
      </c>
      <c r="V9" s="663" t="s">
        <v>14</v>
      </c>
      <c r="W9" s="664">
        <f t="shared" si="2"/>
        <v>100</v>
      </c>
      <c r="X9" s="665"/>
      <c r="Y9" s="3372"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60"/>
      <c r="Q10" s="530" t="str">
        <f t="shared" si="6"/>
        <v>土地使用年限（年）</v>
      </c>
      <c r="R10" s="663" t="s">
        <v>14</v>
      </c>
      <c r="S10" s="664">
        <f t="shared" si="0"/>
        <v>100</v>
      </c>
      <c r="T10" s="663" t="s">
        <v>14</v>
      </c>
      <c r="U10" s="664">
        <f t="shared" si="1"/>
        <v>100</v>
      </c>
      <c r="V10" s="663" t="s">
        <v>14</v>
      </c>
      <c r="W10" s="664">
        <f t="shared" si="2"/>
        <v>100</v>
      </c>
      <c r="X10" s="665"/>
      <c r="Y10" s="337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60"/>
      <c r="Q11" s="530">
        <f t="shared" si="6"/>
        <v>111</v>
      </c>
      <c r="R11" s="663" t="s">
        <v>14</v>
      </c>
      <c r="S11" s="664">
        <f t="shared" si="0"/>
        <v>100</v>
      </c>
      <c r="T11" s="663" t="s">
        <v>14</v>
      </c>
      <c r="U11" s="664">
        <f t="shared" si="1"/>
        <v>100</v>
      </c>
      <c r="V11" s="663" t="s">
        <v>14</v>
      </c>
      <c r="W11" s="664">
        <f t="shared" si="2"/>
        <v>100</v>
      </c>
      <c r="X11" s="665"/>
      <c r="Y11" s="337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60"/>
      <c r="Q12" s="530">
        <f t="shared" si="6"/>
        <v>111</v>
      </c>
      <c r="R12" s="663" t="s">
        <v>14</v>
      </c>
      <c r="S12" s="664">
        <f t="shared" si="0"/>
        <v>100</v>
      </c>
      <c r="T12" s="663" t="s">
        <v>14</v>
      </c>
      <c r="U12" s="664">
        <f t="shared" si="1"/>
        <v>100</v>
      </c>
      <c r="V12" s="663" t="s">
        <v>14</v>
      </c>
      <c r="W12" s="664">
        <f t="shared" si="2"/>
        <v>100</v>
      </c>
      <c r="X12" s="665"/>
      <c r="Y12" s="337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60"/>
      <c r="Q13" s="530">
        <f t="shared" si="6"/>
        <v>111</v>
      </c>
      <c r="R13" s="663" t="s">
        <v>14</v>
      </c>
      <c r="S13" s="664">
        <f t="shared" si="0"/>
        <v>100</v>
      </c>
      <c r="T13" s="663" t="s">
        <v>14</v>
      </c>
      <c r="U13" s="664">
        <f t="shared" si="1"/>
        <v>100</v>
      </c>
      <c r="V13" s="663" t="s">
        <v>14</v>
      </c>
      <c r="W13" s="664">
        <f t="shared" si="2"/>
        <v>100</v>
      </c>
      <c r="X13" s="665"/>
      <c r="Y13" s="3372"/>
      <c r="Z13" s="50">
        <f t="shared" si="7"/>
        <v>111</v>
      </c>
      <c r="AA13" s="50">
        <f t="shared" si="3"/>
        <v>1</v>
      </c>
      <c r="AB13" s="50">
        <f t="shared" si="4"/>
        <v>1</v>
      </c>
      <c r="AC13" s="50">
        <f t="shared" si="5"/>
        <v>1</v>
      </c>
    </row>
    <row r="14" spans="1:29" ht="110.4">
      <c r="A14" s="345" t="s">
        <v>1690</v>
      </c>
      <c r="B14" s="554" t="s">
        <v>1833</v>
      </c>
      <c r="C14" s="1818" t="str">
        <f>IF(B1="工业",估价对象房地状况!G4,估价对象房地状况!C6)</f>
        <v>2、13、17、机场快线等多个地铁线路；3、359、915、123、515等多条，东直门长途汽车站，较好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61" t="s">
        <v>1691</v>
      </c>
      <c r="Q14" s="1262" t="str">
        <f t="shared" si="6"/>
        <v>交通便捷度</v>
      </c>
      <c r="R14" s="666" t="s">
        <v>14</v>
      </c>
      <c r="S14" s="667">
        <f t="shared" si="0"/>
        <v>100</v>
      </c>
      <c r="T14" s="666" t="s">
        <v>14</v>
      </c>
      <c r="U14" s="667">
        <f t="shared" si="1"/>
        <v>100</v>
      </c>
      <c r="V14" s="666" t="s">
        <v>14</v>
      </c>
      <c r="W14" s="667">
        <f t="shared" si="2"/>
        <v>100</v>
      </c>
      <c r="X14" s="1264"/>
      <c r="Y14" s="3461"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462"/>
      <c r="Q15" s="1262"/>
      <c r="R15" s="666"/>
      <c r="S15" s="667"/>
      <c r="T15" s="666"/>
      <c r="U15" s="667"/>
      <c r="V15" s="666"/>
      <c r="W15" s="667"/>
      <c r="X15" s="1264"/>
      <c r="Y15" s="3462"/>
      <c r="Z15" s="1263"/>
      <c r="AA15" s="1263">
        <v>1</v>
      </c>
      <c r="AB15" s="1263">
        <v>1</v>
      </c>
      <c r="AC15" s="1263">
        <v>1</v>
      </c>
    </row>
    <row r="16" spans="1:29" ht="124.2">
      <c r="A16" s="348"/>
      <c r="B16" s="556" t="s">
        <v>1812</v>
      </c>
      <c r="C16" s="1753" t="str">
        <f>IF(B1="工业",估价对象房地状况!G5,估价对象房地状况!C7)</f>
        <v>工商银行、华夏银行；来福士、银座MALL；东直门中学、清华附中朝阳学校；北京中医院大学东直门医院等</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62"/>
      <c r="Q16" s="1262" t="str">
        <f>B16</f>
        <v>公共配套设施</v>
      </c>
      <c r="R16" s="666" t="s">
        <v>14</v>
      </c>
      <c r="S16" s="667">
        <f>F16</f>
        <v>100</v>
      </c>
      <c r="T16" s="666" t="s">
        <v>14</v>
      </c>
      <c r="U16" s="667">
        <f>H16</f>
        <v>100</v>
      </c>
      <c r="V16" s="666" t="s">
        <v>14</v>
      </c>
      <c r="W16" s="667">
        <f>J16</f>
        <v>100</v>
      </c>
      <c r="X16" s="1264"/>
      <c r="Y16" s="346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462"/>
      <c r="Q17" s="1262"/>
      <c r="R17" s="666"/>
      <c r="S17" s="667"/>
      <c r="T17" s="666"/>
      <c r="U17" s="667"/>
      <c r="V17" s="666"/>
      <c r="W17" s="667"/>
      <c r="X17" s="1264"/>
      <c r="Y17" s="3462"/>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62"/>
      <c r="Q18" s="1262" t="str">
        <f>B18</f>
        <v>基础设施水平</v>
      </c>
      <c r="R18" s="666" t="s">
        <v>14</v>
      </c>
      <c r="S18" s="667">
        <f>F18</f>
        <v>100</v>
      </c>
      <c r="T18" s="666" t="s">
        <v>14</v>
      </c>
      <c r="U18" s="667">
        <f>H18</f>
        <v>100</v>
      </c>
      <c r="V18" s="666" t="s">
        <v>14</v>
      </c>
      <c r="W18" s="667">
        <f>J18</f>
        <v>100</v>
      </c>
      <c r="X18" s="1264"/>
      <c r="Y18" s="3462"/>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0"/>
      <c r="M19" s="2485"/>
      <c r="N19" s="2485"/>
      <c r="O19" s="2485"/>
      <c r="P19" s="3462"/>
      <c r="Q19" s="1262"/>
      <c r="R19" s="666"/>
      <c r="S19" s="667"/>
      <c r="T19" s="666"/>
      <c r="U19" s="667"/>
      <c r="V19" s="666"/>
      <c r="W19" s="667"/>
      <c r="X19" s="1264"/>
      <c r="Y19" s="3462"/>
      <c r="Z19" s="1263"/>
      <c r="AA19" s="1263">
        <v>1</v>
      </c>
      <c r="AB19" s="1263">
        <v>1</v>
      </c>
      <c r="AC19" s="1263">
        <v>1</v>
      </c>
    </row>
    <row r="20" spans="1:29" ht="124.2">
      <c r="A20" s="348"/>
      <c r="B20" s="556" t="s">
        <v>1834</v>
      </c>
      <c r="C20" s="1753" t="str">
        <f>IF(B1="工业",估价对象房地状况!G7,估价对象房地状况!C9)</f>
        <v>区域自然环境：亮马河公园、左家庄公园、亮马河；人文环境：使馆区、北京自来水博物馆；综合评价环境状况较好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62"/>
      <c r="Q20" s="1262" t="str">
        <f>B20</f>
        <v>自然及人文环境</v>
      </c>
      <c r="R20" s="666" t="s">
        <v>14</v>
      </c>
      <c r="S20" s="667">
        <f>F20</f>
        <v>100</v>
      </c>
      <c r="T20" s="666" t="s">
        <v>14</v>
      </c>
      <c r="U20" s="667">
        <f>H20</f>
        <v>100</v>
      </c>
      <c r="V20" s="666" t="s">
        <v>14</v>
      </c>
      <c r="W20" s="667">
        <f>J20</f>
        <v>100</v>
      </c>
      <c r="X20" s="1264"/>
      <c r="Y20" s="346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62"/>
      <c r="Q21" s="1262"/>
      <c r="R21" s="666"/>
      <c r="S21" s="667"/>
      <c r="T21" s="666"/>
      <c r="U21" s="667"/>
      <c r="V21" s="666"/>
      <c r="W21" s="667"/>
      <c r="X21" s="1264"/>
      <c r="Y21" s="3462"/>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62"/>
      <c r="Q22" s="1262" t="str">
        <f>B22</f>
        <v>楼层</v>
      </c>
      <c r="R22" s="666" t="s">
        <v>14</v>
      </c>
      <c r="S22" s="667">
        <f>F22</f>
        <v>100</v>
      </c>
      <c r="T22" s="666" t="s">
        <v>14</v>
      </c>
      <c r="U22" s="667">
        <f>H22</f>
        <v>100</v>
      </c>
      <c r="V22" s="666" t="s">
        <v>14</v>
      </c>
      <c r="W22" s="667">
        <f>J22</f>
        <v>100</v>
      </c>
      <c r="X22" s="1264"/>
      <c r="Y22" s="346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62"/>
      <c r="Q23" s="1262">
        <f>B23</f>
        <v>111</v>
      </c>
      <c r="R23" s="666" t="s">
        <v>14</v>
      </c>
      <c r="S23" s="667">
        <f>F23</f>
        <v>100</v>
      </c>
      <c r="T23" s="666" t="s">
        <v>14</v>
      </c>
      <c r="U23" s="667">
        <f>H23</f>
        <v>100</v>
      </c>
      <c r="V23" s="666" t="s">
        <v>14</v>
      </c>
      <c r="W23" s="667">
        <f>J23</f>
        <v>100</v>
      </c>
      <c r="X23" s="1264"/>
      <c r="Y23" s="346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62"/>
      <c r="Q24" s="1262">
        <f t="shared" ref="Q24:Q36" si="11">B24</f>
        <v>111</v>
      </c>
      <c r="R24" s="666" t="s">
        <v>14</v>
      </c>
      <c r="S24" s="667">
        <f>F24</f>
        <v>100</v>
      </c>
      <c r="T24" s="666" t="s">
        <v>14</v>
      </c>
      <c r="U24" s="667">
        <f>H24</f>
        <v>100</v>
      </c>
      <c r="V24" s="666" t="s">
        <v>14</v>
      </c>
      <c r="W24" s="667">
        <f>J24</f>
        <v>100</v>
      </c>
      <c r="X24" s="1264"/>
      <c r="Y24" s="3462"/>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62"/>
      <c r="Q25" s="530">
        <f t="shared" si="11"/>
        <v>111</v>
      </c>
      <c r="R25" s="663" t="s">
        <v>14</v>
      </c>
      <c r="S25" s="664">
        <f>F25</f>
        <v>100</v>
      </c>
      <c r="T25" s="663" t="s">
        <v>14</v>
      </c>
      <c r="U25" s="664">
        <f>H25</f>
        <v>100</v>
      </c>
      <c r="V25" s="663" t="s">
        <v>14</v>
      </c>
      <c r="W25" s="664">
        <f>J25</f>
        <v>100</v>
      </c>
      <c r="X25" s="665"/>
      <c r="Y25" s="3462"/>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512"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66"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66"/>
      <c r="Q27" s="531" t="str">
        <f t="shared" si="11"/>
        <v>项目停车位配比</v>
      </c>
      <c r="R27" s="668" t="s">
        <v>14</v>
      </c>
      <c r="S27" s="669">
        <f t="shared" si="12"/>
        <v>100</v>
      </c>
      <c r="T27" s="668" t="s">
        <v>14</v>
      </c>
      <c r="U27" s="669">
        <f t="shared" si="13"/>
        <v>100</v>
      </c>
      <c r="V27" s="668" t="s">
        <v>14</v>
      </c>
      <c r="W27" s="669">
        <f t="shared" si="14"/>
        <v>100</v>
      </c>
      <c r="X27" s="670"/>
      <c r="Y27" s="3466"/>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66"/>
      <c r="Q28" s="1262" t="str">
        <f t="shared" si="11"/>
        <v>公共部分装修</v>
      </c>
      <c r="R28" s="666" t="s">
        <v>14</v>
      </c>
      <c r="S28" s="667">
        <f t="shared" si="12"/>
        <v>100</v>
      </c>
      <c r="T28" s="666" t="s">
        <v>14</v>
      </c>
      <c r="U28" s="667">
        <f t="shared" si="13"/>
        <v>100</v>
      </c>
      <c r="V28" s="666" t="s">
        <v>14</v>
      </c>
      <c r="W28" s="667">
        <f t="shared" si="14"/>
        <v>100</v>
      </c>
      <c r="X28" s="1264"/>
      <c r="Y28" s="3466"/>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66"/>
      <c r="Q29" s="1262" t="str">
        <f t="shared" si="11"/>
        <v>成新率</v>
      </c>
      <c r="R29" s="666" t="s">
        <v>14</v>
      </c>
      <c r="S29" s="667" t="e">
        <f t="shared" si="12"/>
        <v>#N/A</v>
      </c>
      <c r="T29" s="666" t="s">
        <v>14</v>
      </c>
      <c r="U29" s="667" t="e">
        <f t="shared" si="13"/>
        <v>#N/A</v>
      </c>
      <c r="V29" s="666" t="s">
        <v>14</v>
      </c>
      <c r="W29" s="667" t="e">
        <f t="shared" si="14"/>
        <v>#N/A</v>
      </c>
      <c r="X29" s="1264"/>
      <c r="Y29" s="3466"/>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66"/>
      <c r="Q30" s="1262" t="str">
        <f t="shared" si="11"/>
        <v>物业等级</v>
      </c>
      <c r="R30" s="666" t="s">
        <v>14</v>
      </c>
      <c r="S30" s="667">
        <f t="shared" si="12"/>
        <v>100</v>
      </c>
      <c r="T30" s="666" t="s">
        <v>14</v>
      </c>
      <c r="U30" s="667">
        <f t="shared" si="13"/>
        <v>100</v>
      </c>
      <c r="V30" s="666" t="s">
        <v>14</v>
      </c>
      <c r="W30" s="667">
        <f t="shared" si="14"/>
        <v>100</v>
      </c>
      <c r="X30" s="1264"/>
      <c r="Y30" s="3466"/>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66"/>
      <c r="Q31" s="530" t="str">
        <f t="shared" si="11"/>
        <v>停车位面积</v>
      </c>
      <c r="R31" s="663" t="s">
        <v>14</v>
      </c>
      <c r="S31" s="664" t="e">
        <f t="shared" si="12"/>
        <v>#N/A</v>
      </c>
      <c r="T31" s="663" t="s">
        <v>14</v>
      </c>
      <c r="U31" s="664" t="e">
        <f t="shared" si="13"/>
        <v>#N/A</v>
      </c>
      <c r="V31" s="663" t="s">
        <v>14</v>
      </c>
      <c r="W31" s="664" t="e">
        <f t="shared" si="14"/>
        <v>#N/A</v>
      </c>
      <c r="X31" s="665"/>
      <c r="Y31" s="346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66" t="s">
        <v>1696</v>
      </c>
      <c r="Q32" s="1262" t="str">
        <f t="shared" si="11"/>
        <v>车位类型</v>
      </c>
      <c r="R32" s="666" t="s">
        <v>14</v>
      </c>
      <c r="S32" s="667">
        <f t="shared" si="12"/>
        <v>100</v>
      </c>
      <c r="T32" s="666" t="s">
        <v>14</v>
      </c>
      <c r="U32" s="667">
        <f t="shared" si="13"/>
        <v>100</v>
      </c>
      <c r="V32" s="666" t="s">
        <v>14</v>
      </c>
      <c r="W32" s="667">
        <f t="shared" si="14"/>
        <v>100</v>
      </c>
      <c r="X32" s="1264"/>
      <c r="Y32" s="3466"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66"/>
      <c r="Q33" s="1262" t="str">
        <f t="shared" si="11"/>
        <v>是否直接入户</v>
      </c>
      <c r="R33" s="666" t="s">
        <v>14</v>
      </c>
      <c r="S33" s="667">
        <f t="shared" si="12"/>
        <v>100</v>
      </c>
      <c r="T33" s="666" t="s">
        <v>14</v>
      </c>
      <c r="U33" s="667">
        <f t="shared" si="13"/>
        <v>100</v>
      </c>
      <c r="V33" s="666" t="s">
        <v>14</v>
      </c>
      <c r="W33" s="667">
        <f t="shared" si="14"/>
        <v>100</v>
      </c>
      <c r="X33" s="1264"/>
      <c r="Y33" s="346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66"/>
      <c r="Q34" s="1262">
        <f t="shared" si="11"/>
        <v>111</v>
      </c>
      <c r="R34" s="666" t="s">
        <v>14</v>
      </c>
      <c r="S34" s="667">
        <f t="shared" si="12"/>
        <v>100</v>
      </c>
      <c r="T34" s="666" t="s">
        <v>14</v>
      </c>
      <c r="U34" s="667">
        <f t="shared" si="13"/>
        <v>100</v>
      </c>
      <c r="V34" s="666" t="s">
        <v>14</v>
      </c>
      <c r="W34" s="667">
        <f t="shared" si="14"/>
        <v>100</v>
      </c>
      <c r="X34" s="1264"/>
      <c r="Y34" s="346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66"/>
      <c r="Q35" s="531">
        <f t="shared" si="11"/>
        <v>111</v>
      </c>
      <c r="R35" s="668" t="s">
        <v>14</v>
      </c>
      <c r="S35" s="669">
        <f t="shared" si="12"/>
        <v>100</v>
      </c>
      <c r="T35" s="668" t="s">
        <v>14</v>
      </c>
      <c r="U35" s="669">
        <f t="shared" si="13"/>
        <v>100</v>
      </c>
      <c r="V35" s="668" t="s">
        <v>14</v>
      </c>
      <c r="W35" s="669">
        <f t="shared" si="14"/>
        <v>100</v>
      </c>
      <c r="X35" s="670"/>
      <c r="Y35" s="3466"/>
      <c r="Z35" s="671">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66"/>
      <c r="Q36" s="1262">
        <f t="shared" si="11"/>
        <v>111</v>
      </c>
      <c r="R36" s="666" t="s">
        <v>14</v>
      </c>
      <c r="S36" s="667">
        <f t="shared" si="12"/>
        <v>100</v>
      </c>
      <c r="T36" s="666" t="s">
        <v>14</v>
      </c>
      <c r="U36" s="667">
        <f t="shared" si="13"/>
        <v>100</v>
      </c>
      <c r="V36" s="666" t="s">
        <v>14</v>
      </c>
      <c r="W36" s="667">
        <f t="shared" si="14"/>
        <v>100</v>
      </c>
      <c r="X36" s="1264"/>
      <c r="Y36" s="3466"/>
      <c r="Z36" s="1263">
        <f t="shared" si="15"/>
        <v>111</v>
      </c>
      <c r="AA36" s="1263">
        <f t="shared" si="3"/>
        <v>1</v>
      </c>
      <c r="AB36" s="1263">
        <f t="shared" si="4"/>
        <v>1</v>
      </c>
      <c r="AC36" s="1263">
        <f t="shared" si="5"/>
        <v>1</v>
      </c>
    </row>
    <row r="37" spans="1:29" ht="14.4">
      <c r="A37" s="416" t="s">
        <v>1844</v>
      </c>
      <c r="B37" s="1820" t="s">
        <v>3347</v>
      </c>
      <c r="C37" s="1080" t="s">
        <v>0</v>
      </c>
      <c r="D37" s="418"/>
      <c r="E37" s="419"/>
      <c r="F37" s="420"/>
      <c r="G37" s="421"/>
      <c r="H37" s="422"/>
      <c r="I37" s="419"/>
      <c r="J37" s="422"/>
      <c r="K37" s="545"/>
      <c r="L37" s="2492"/>
      <c r="M37" s="2485"/>
      <c r="N37" s="2485"/>
      <c r="O37" s="2485"/>
      <c r="P37" s="3460" t="str">
        <f>A37</f>
        <v>成交单价</v>
      </c>
      <c r="Q37" s="3460"/>
      <c r="R37" s="3455">
        <f>E37</f>
        <v>0</v>
      </c>
      <c r="S37" s="3455"/>
      <c r="T37" s="3455">
        <f>G37</f>
        <v>0</v>
      </c>
      <c r="U37" s="3455"/>
      <c r="V37" s="3455">
        <f>I37</f>
        <v>0</v>
      </c>
      <c r="W37" s="3455"/>
      <c r="X37" s="385"/>
      <c r="Y37" s="672"/>
      <c r="Z37" s="385"/>
      <c r="AA37" s="385"/>
      <c r="AB37" s="385"/>
      <c r="AC37" s="385"/>
    </row>
    <row r="38" spans="1:29" ht="15" thickBot="1">
      <c r="A38" s="423" t="s">
        <v>1845</v>
      </c>
      <c r="B38" s="424" t="str">
        <f>B37</f>
        <v>元/平方米</v>
      </c>
      <c r="C38" s="1081" t="e">
        <f>R39</f>
        <v>#DIV/0!</v>
      </c>
      <c r="D38" s="2140" t="s">
        <v>2135</v>
      </c>
      <c r="E38" s="1082" t="e">
        <f>R38</f>
        <v>#DIV/0!</v>
      </c>
      <c r="F38" s="2141"/>
      <c r="G38" s="1081" t="e">
        <f>T38</f>
        <v>#DIV/0!</v>
      </c>
      <c r="H38" s="2141"/>
      <c r="I38" s="1082" t="e">
        <f>V38</f>
        <v>#DIV/0!</v>
      </c>
      <c r="J38" s="2141"/>
      <c r="K38" s="2143">
        <f>F38+H38+J38</f>
        <v>0</v>
      </c>
      <c r="L38" s="2492"/>
      <c r="M38" s="2485"/>
      <c r="N38" s="2485"/>
      <c r="O38" s="2485"/>
      <c r="P38" s="3460" t="str">
        <f>A38</f>
        <v>比较价值（元/平方米）</v>
      </c>
      <c r="Q38" s="3460"/>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57" t="str">
        <f>A39</f>
        <v>估价对象XX用房的比较价值（楼面单价，元/平方米）</v>
      </c>
      <c r="Q39" s="3458"/>
      <c r="R39" s="3513" t="e">
        <f>IF(F1="售价",ROUND(IF(D38="简单平均",AVERAGE(R38:W38),R38*F38+T38*H38+V38*J38),0),ROUND(IF(D38="简单平均",AVERAGE(R38:V38),R38*F38+T38*H38+V38*J38),1))</f>
        <v>#DIV/0!</v>
      </c>
      <c r="S39" s="3513"/>
      <c r="T39" s="3513"/>
      <c r="U39" s="3513"/>
      <c r="V39" s="3513"/>
      <c r="W39" s="351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2" t="str">
        <f>YEAR(C7)&amp;"-"&amp;MONTH(C7)</f>
        <v>2025-6</v>
      </c>
      <c r="D48" s="1103">
        <f>EDATE(C48,-1)</f>
        <v>45778</v>
      </c>
      <c r="E48" s="1103">
        <f t="shared" ref="E48:O48" si="16">EDATE(D48,-1)</f>
        <v>45748</v>
      </c>
      <c r="F48" s="1103">
        <f t="shared" si="16"/>
        <v>45717</v>
      </c>
      <c r="G48" s="1103">
        <f t="shared" si="16"/>
        <v>45689</v>
      </c>
      <c r="H48" s="1103">
        <f t="shared" si="16"/>
        <v>45658</v>
      </c>
      <c r="I48" s="1103">
        <f t="shared" si="16"/>
        <v>45627</v>
      </c>
      <c r="J48" s="1103">
        <f t="shared" si="16"/>
        <v>45597</v>
      </c>
      <c r="K48" s="1103">
        <f t="shared" si="16"/>
        <v>45566</v>
      </c>
      <c r="L48" s="1103">
        <f t="shared" si="16"/>
        <v>45536</v>
      </c>
      <c r="M48" s="1103">
        <f t="shared" si="16"/>
        <v>45505</v>
      </c>
      <c r="N48" s="1103">
        <f t="shared" si="16"/>
        <v>45474</v>
      </c>
      <c r="O48" s="1103">
        <f t="shared" si="16"/>
        <v>45444</v>
      </c>
      <c r="P48" s="2525"/>
      <c r="Q48" s="2508"/>
      <c r="R48" s="2508"/>
      <c r="S48" s="2508"/>
      <c r="T48" s="2508"/>
      <c r="U48" s="2508"/>
      <c r="V48" s="2508"/>
      <c r="W48" s="2508"/>
      <c r="X48" s="2508"/>
      <c r="Y48" s="2508"/>
      <c r="Z48" s="2508"/>
      <c r="AA48" s="2508"/>
      <c r="AB48" s="2508"/>
      <c r="AC48" s="2508"/>
    </row>
    <row r="49" spans="1:29" s="102" customFormat="1">
      <c r="A49" s="443"/>
      <c r="B49" s="444"/>
      <c r="C49" s="1096">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2"/>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3327</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4.4">
      <c r="A4" s="345" t="s">
        <v>1769</v>
      </c>
      <c r="B4" s="346"/>
      <c r="C4" s="3443" t="s">
        <v>1770</v>
      </c>
      <c r="D4" s="3444"/>
      <c r="E4" s="3445" t="s">
        <v>1771</v>
      </c>
      <c r="F4" s="3446"/>
      <c r="G4" s="3443" t="s">
        <v>1772</v>
      </c>
      <c r="H4" s="3444"/>
      <c r="I4" s="3443" t="s">
        <v>1773</v>
      </c>
      <c r="J4" s="3444"/>
      <c r="K4" s="537" t="s">
        <v>1774</v>
      </c>
      <c r="L4" s="2484"/>
      <c r="M4" s="2485"/>
      <c r="N4" s="2485"/>
      <c r="O4" s="2485"/>
      <c r="P4" s="3447" t="s">
        <v>1775</v>
      </c>
      <c r="Q4" s="3448"/>
      <c r="R4" s="3429" t="s">
        <v>1771</v>
      </c>
      <c r="S4" s="3430"/>
      <c r="T4" s="3429" t="s">
        <v>1772</v>
      </c>
      <c r="U4" s="3430"/>
      <c r="V4" s="3455" t="s">
        <v>1773</v>
      </c>
      <c r="W4" s="3455"/>
      <c r="X4" s="1264"/>
      <c r="Y4" s="3429" t="s">
        <v>1775</v>
      </c>
      <c r="Z4" s="3430"/>
      <c r="AA4" s="3424" t="s">
        <v>1771</v>
      </c>
      <c r="AB4" s="3425" t="s">
        <v>1772</v>
      </c>
      <c r="AC4" s="3424" t="s">
        <v>1773</v>
      </c>
    </row>
    <row r="5" spans="1:29">
      <c r="A5" s="348"/>
      <c r="B5" s="349"/>
      <c r="C5" s="3435" t="s">
        <v>1673</v>
      </c>
      <c r="D5" s="3436"/>
      <c r="E5" s="3496" t="s">
        <v>1674</v>
      </c>
      <c r="F5" s="3434"/>
      <c r="G5" s="3435" t="s">
        <v>1675</v>
      </c>
      <c r="H5" s="3436"/>
      <c r="I5" s="3435" t="s">
        <v>1676</v>
      </c>
      <c r="J5" s="3436"/>
      <c r="K5" s="537"/>
      <c r="L5" s="2484"/>
      <c r="M5" s="2485"/>
      <c r="N5" s="2485"/>
      <c r="O5" s="2485"/>
      <c r="P5" s="3449"/>
      <c r="Q5" s="3450"/>
      <c r="R5" s="3431"/>
      <c r="S5" s="3432"/>
      <c r="T5" s="3431"/>
      <c r="U5" s="3432"/>
      <c r="V5" s="3455"/>
      <c r="W5" s="3455"/>
      <c r="X5" s="1264"/>
      <c r="Y5" s="3431"/>
      <c r="Z5" s="3432"/>
      <c r="AA5" s="3425"/>
      <c r="AB5" s="3425"/>
      <c r="AC5" s="3425"/>
    </row>
    <row r="6" spans="1:29" ht="15" thickBot="1">
      <c r="A6" s="350"/>
      <c r="B6" s="351"/>
      <c r="C6" s="3437" t="s">
        <v>1677</v>
      </c>
      <c r="D6" s="3438"/>
      <c r="E6" s="3440" t="s">
        <v>1677</v>
      </c>
      <c r="F6" s="3441"/>
      <c r="G6" s="3437" t="s">
        <v>1677</v>
      </c>
      <c r="H6" s="3438"/>
      <c r="I6" s="3437" t="s">
        <v>1677</v>
      </c>
      <c r="J6" s="3438"/>
      <c r="K6" s="537" t="s">
        <v>1678</v>
      </c>
      <c r="L6" s="2484"/>
      <c r="M6" s="2485"/>
      <c r="N6" s="2485"/>
      <c r="O6" s="2485"/>
      <c r="P6" s="3451"/>
      <c r="Q6" s="3452"/>
      <c r="R6" s="3431"/>
      <c r="S6" s="3432"/>
      <c r="T6" s="3453"/>
      <c r="U6" s="3454"/>
      <c r="V6" s="3455"/>
      <c r="W6" s="3455"/>
      <c r="X6" s="1264"/>
      <c r="Y6" s="3453"/>
      <c r="Z6" s="3454"/>
      <c r="AA6" s="3426"/>
      <c r="AB6" s="3426"/>
      <c r="AC6" s="3426"/>
    </row>
    <row r="7" spans="1:29" s="102" customFormat="1" ht="15" thickBot="1">
      <c r="A7" s="352" t="s">
        <v>1679</v>
      </c>
      <c r="B7" s="353"/>
      <c r="C7" s="354">
        <f>'数据-取费表'!B2</f>
        <v>45825</v>
      </c>
      <c r="D7" s="355">
        <v>100</v>
      </c>
      <c r="E7" s="356"/>
      <c r="F7" s="357">
        <f>SUMIF(46:46,YEAR(E7)&amp;"-"&amp;MONTH(E7),47:47)</f>
        <v>0</v>
      </c>
      <c r="G7" s="1821"/>
      <c r="H7" s="355">
        <f>SUMIF(46:46,YEAR(G7)&amp;"-"&amp;MONTH(G7),47:47)</f>
        <v>0</v>
      </c>
      <c r="I7" s="356"/>
      <c r="J7" s="355">
        <f>SUMIF(46:46,YEAR(I7)&amp;"-"&amp;MONTH(I7),47:47)</f>
        <v>0</v>
      </c>
      <c r="K7" s="38"/>
      <c r="L7" s="2486"/>
      <c r="M7" s="2438"/>
      <c r="N7" s="2438"/>
      <c r="O7" s="2438"/>
      <c r="P7" s="3427" t="s">
        <v>1680</v>
      </c>
      <c r="Q7" s="3456"/>
      <c r="R7" s="663" t="s">
        <v>14</v>
      </c>
      <c r="S7" s="664">
        <f t="shared" ref="S7:S14" si="0">F7</f>
        <v>0</v>
      </c>
      <c r="T7" s="663" t="s">
        <v>14</v>
      </c>
      <c r="U7" s="664">
        <f t="shared" ref="U7:U14" si="1">H7</f>
        <v>0</v>
      </c>
      <c r="V7" s="663" t="s">
        <v>14</v>
      </c>
      <c r="W7" s="664">
        <f t="shared" ref="W7:W14" si="2">J7</f>
        <v>0</v>
      </c>
      <c r="X7" s="665"/>
      <c r="Y7" s="3427" t="s">
        <v>1680</v>
      </c>
      <c r="Z7" s="342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27" t="s">
        <v>1683</v>
      </c>
      <c r="Q8" s="3428"/>
      <c r="R8" s="663" t="s">
        <v>14</v>
      </c>
      <c r="S8" s="664">
        <f t="shared" si="0"/>
        <v>100</v>
      </c>
      <c r="T8" s="663" t="s">
        <v>14</v>
      </c>
      <c r="U8" s="664">
        <f t="shared" si="1"/>
        <v>100</v>
      </c>
      <c r="V8" s="663" t="s">
        <v>14</v>
      </c>
      <c r="W8" s="664">
        <f t="shared" si="2"/>
        <v>100</v>
      </c>
      <c r="X8" s="665"/>
      <c r="Y8" s="3427" t="s">
        <v>1683</v>
      </c>
      <c r="Z8" s="342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60" t="s">
        <v>1686</v>
      </c>
      <c r="Q9" s="530" t="str">
        <f t="shared" ref="Q9:Q14" si="6">B9</f>
        <v>用途</v>
      </c>
      <c r="R9" s="663" t="s">
        <v>14</v>
      </c>
      <c r="S9" s="664">
        <f t="shared" si="0"/>
        <v>100</v>
      </c>
      <c r="T9" s="663" t="s">
        <v>14</v>
      </c>
      <c r="U9" s="664">
        <f t="shared" si="1"/>
        <v>100</v>
      </c>
      <c r="V9" s="663" t="s">
        <v>14</v>
      </c>
      <c r="W9" s="664">
        <f t="shared" si="2"/>
        <v>100</v>
      </c>
      <c r="X9" s="665"/>
      <c r="Y9" s="3372"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60"/>
      <c r="Q10" s="530" t="str">
        <f t="shared" si="6"/>
        <v>土地使用年限（年）</v>
      </c>
      <c r="R10" s="663" t="s">
        <v>14</v>
      </c>
      <c r="S10" s="664">
        <f t="shared" si="0"/>
        <v>100</v>
      </c>
      <c r="T10" s="663" t="s">
        <v>14</v>
      </c>
      <c r="U10" s="664">
        <f t="shared" si="1"/>
        <v>100</v>
      </c>
      <c r="V10" s="663" t="s">
        <v>14</v>
      </c>
      <c r="W10" s="664">
        <f t="shared" si="2"/>
        <v>100</v>
      </c>
      <c r="X10" s="665"/>
      <c r="Y10" s="337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60"/>
      <c r="Q11" s="530">
        <f t="shared" si="6"/>
        <v>111</v>
      </c>
      <c r="R11" s="663" t="s">
        <v>14</v>
      </c>
      <c r="S11" s="664">
        <f t="shared" si="0"/>
        <v>100</v>
      </c>
      <c r="T11" s="663" t="s">
        <v>14</v>
      </c>
      <c r="U11" s="664">
        <f t="shared" si="1"/>
        <v>100</v>
      </c>
      <c r="V11" s="663" t="s">
        <v>14</v>
      </c>
      <c r="W11" s="664">
        <f t="shared" si="2"/>
        <v>100</v>
      </c>
      <c r="X11" s="665"/>
      <c r="Y11" s="337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60"/>
      <c r="Q12" s="530">
        <f t="shared" si="6"/>
        <v>111</v>
      </c>
      <c r="R12" s="663" t="s">
        <v>14</v>
      </c>
      <c r="S12" s="664">
        <f t="shared" si="0"/>
        <v>100</v>
      </c>
      <c r="T12" s="663" t="s">
        <v>14</v>
      </c>
      <c r="U12" s="664">
        <f t="shared" si="1"/>
        <v>100</v>
      </c>
      <c r="V12" s="663" t="s">
        <v>14</v>
      </c>
      <c r="W12" s="664">
        <f t="shared" si="2"/>
        <v>100</v>
      </c>
      <c r="X12" s="665"/>
      <c r="Y12" s="337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460"/>
      <c r="Q13" s="530">
        <f t="shared" si="6"/>
        <v>111</v>
      </c>
      <c r="R13" s="663" t="s">
        <v>14</v>
      </c>
      <c r="S13" s="664">
        <f t="shared" si="0"/>
        <v>100</v>
      </c>
      <c r="T13" s="663" t="s">
        <v>14</v>
      </c>
      <c r="U13" s="664">
        <f t="shared" si="1"/>
        <v>100</v>
      </c>
      <c r="V13" s="663" t="s">
        <v>14</v>
      </c>
      <c r="W13" s="664">
        <f t="shared" si="2"/>
        <v>100</v>
      </c>
      <c r="X13" s="665"/>
      <c r="Y13" s="3372"/>
      <c r="Z13" s="50">
        <f t="shared" si="7"/>
        <v>111</v>
      </c>
      <c r="AA13" s="50">
        <f t="shared" si="3"/>
        <v>1</v>
      </c>
      <c r="AB13" s="50">
        <f t="shared" si="4"/>
        <v>1</v>
      </c>
      <c r="AC13" s="50">
        <f t="shared" si="5"/>
        <v>1</v>
      </c>
    </row>
    <row r="14" spans="1:29" ht="110.4">
      <c r="A14" s="379" t="s">
        <v>1690</v>
      </c>
      <c r="B14" s="58" t="s">
        <v>1833</v>
      </c>
      <c r="C14" s="1818" t="str">
        <f>IF(B1="工业",估价对象房地状况!G4,估价对象房地状况!C6)</f>
        <v>2、13、17、机场快线等多个地铁线路；3、359、915、123、515等多条，东直门长途汽车站，较好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61" t="s">
        <v>1691</v>
      </c>
      <c r="Q14" s="1262" t="str">
        <f t="shared" si="6"/>
        <v>交通便捷度</v>
      </c>
      <c r="R14" s="666" t="s">
        <v>14</v>
      </c>
      <c r="S14" s="667">
        <f t="shared" si="0"/>
        <v>100</v>
      </c>
      <c r="T14" s="666" t="s">
        <v>14</v>
      </c>
      <c r="U14" s="667">
        <f t="shared" si="1"/>
        <v>100</v>
      </c>
      <c r="V14" s="666" t="s">
        <v>14</v>
      </c>
      <c r="W14" s="667">
        <f t="shared" si="2"/>
        <v>100</v>
      </c>
      <c r="X14" s="1264"/>
      <c r="Y14" s="3461"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62"/>
      <c r="Q15" s="1262"/>
      <c r="R15" s="666"/>
      <c r="S15" s="667"/>
      <c r="T15" s="666"/>
      <c r="U15" s="667"/>
      <c r="V15" s="666"/>
      <c r="W15" s="667"/>
      <c r="X15" s="1264"/>
      <c r="Y15" s="3462"/>
      <c r="Z15" s="1263"/>
      <c r="AA15" s="1263">
        <v>1</v>
      </c>
      <c r="AB15" s="1263">
        <v>1</v>
      </c>
      <c r="AC15" s="1263">
        <v>1</v>
      </c>
    </row>
    <row r="16" spans="1:29" ht="124.2">
      <c r="A16" s="367"/>
      <c r="B16" s="390" t="s">
        <v>1812</v>
      </c>
      <c r="C16" s="1753" t="str">
        <f>IF(B1="工业",估价对象房地状况!G5,估价对象房地状况!C7)</f>
        <v>工商银行、华夏银行；来福士、银座MALL；东直门中学、清华附中朝阳学校；北京中医院大学东直门医院等</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62"/>
      <c r="Q16" s="1262" t="str">
        <f>B16</f>
        <v>公共配套设施</v>
      </c>
      <c r="R16" s="666" t="s">
        <v>14</v>
      </c>
      <c r="S16" s="667">
        <f>F16</f>
        <v>100</v>
      </c>
      <c r="T16" s="666" t="s">
        <v>14</v>
      </c>
      <c r="U16" s="667">
        <f>H16</f>
        <v>100</v>
      </c>
      <c r="V16" s="666" t="s">
        <v>14</v>
      </c>
      <c r="W16" s="667">
        <f>J16</f>
        <v>100</v>
      </c>
      <c r="X16" s="1264"/>
      <c r="Y16" s="346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462"/>
      <c r="Q17" s="1262"/>
      <c r="R17" s="666"/>
      <c r="S17" s="667"/>
      <c r="T17" s="666"/>
      <c r="U17" s="667"/>
      <c r="V17" s="666"/>
      <c r="W17" s="667"/>
      <c r="X17" s="1264"/>
      <c r="Y17" s="3462"/>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62"/>
      <c r="Q18" s="1262" t="str">
        <f>B18</f>
        <v>基础设施水平</v>
      </c>
      <c r="R18" s="666" t="s">
        <v>14</v>
      </c>
      <c r="S18" s="667">
        <f>F18</f>
        <v>100</v>
      </c>
      <c r="T18" s="666" t="s">
        <v>14</v>
      </c>
      <c r="U18" s="667">
        <f>H18</f>
        <v>100</v>
      </c>
      <c r="V18" s="666" t="s">
        <v>14</v>
      </c>
      <c r="W18" s="667">
        <f>J18</f>
        <v>100</v>
      </c>
      <c r="X18" s="1264"/>
      <c r="Y18" s="3462"/>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0"/>
      <c r="M19" s="2485"/>
      <c r="N19" s="2485"/>
      <c r="O19" s="2540"/>
      <c r="P19" s="3462"/>
      <c r="Q19" s="1262"/>
      <c r="R19" s="666"/>
      <c r="S19" s="667"/>
      <c r="T19" s="666"/>
      <c r="U19" s="667"/>
      <c r="V19" s="666"/>
      <c r="W19" s="667"/>
      <c r="X19" s="1264"/>
      <c r="Y19" s="3462"/>
      <c r="Z19" s="1263"/>
      <c r="AA19" s="1263">
        <v>1</v>
      </c>
      <c r="AB19" s="1263">
        <v>1</v>
      </c>
      <c r="AC19" s="1263">
        <v>1</v>
      </c>
    </row>
    <row r="20" spans="1:29" ht="124.2">
      <c r="A20" s="367"/>
      <c r="B20" s="390" t="s">
        <v>1834</v>
      </c>
      <c r="C20" s="1753" t="str">
        <f>IF(B1="工业",估价对象房地状况!G7,估价对象房地状况!C9)</f>
        <v>区域自然环境：亮马河公园、左家庄公园、亮马河；人文环境：使馆区、北京自来水博物馆；综合评价环境状况较好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62"/>
      <c r="Q20" s="1262" t="str">
        <f>B20</f>
        <v>自然及人文环境</v>
      </c>
      <c r="R20" s="666" t="s">
        <v>14</v>
      </c>
      <c r="S20" s="667">
        <f>F20</f>
        <v>100</v>
      </c>
      <c r="T20" s="666" t="s">
        <v>14</v>
      </c>
      <c r="U20" s="667">
        <f>H20</f>
        <v>100</v>
      </c>
      <c r="V20" s="666" t="s">
        <v>14</v>
      </c>
      <c r="W20" s="667">
        <f>J20</f>
        <v>100</v>
      </c>
      <c r="X20" s="1264"/>
      <c r="Y20" s="346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62"/>
      <c r="Q21" s="1262"/>
      <c r="R21" s="666"/>
      <c r="S21" s="667"/>
      <c r="T21" s="666"/>
      <c r="U21" s="667"/>
      <c r="V21" s="666"/>
      <c r="W21" s="667"/>
      <c r="X21" s="1264"/>
      <c r="Y21" s="3462"/>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62"/>
      <c r="Q22" s="1262" t="str">
        <f>B22</f>
        <v>楼层</v>
      </c>
      <c r="R22" s="666" t="s">
        <v>14</v>
      </c>
      <c r="S22" s="667">
        <f>F22</f>
        <v>100</v>
      </c>
      <c r="T22" s="666" t="s">
        <v>14</v>
      </c>
      <c r="U22" s="667">
        <f>H22</f>
        <v>100</v>
      </c>
      <c r="V22" s="666" t="s">
        <v>14</v>
      </c>
      <c r="W22" s="667">
        <f>J22</f>
        <v>100</v>
      </c>
      <c r="X22" s="1264"/>
      <c r="Y22" s="346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62"/>
      <c r="Q23" s="1262">
        <f>B23</f>
        <v>111</v>
      </c>
      <c r="R23" s="666" t="s">
        <v>14</v>
      </c>
      <c r="S23" s="667">
        <f>F23</f>
        <v>100</v>
      </c>
      <c r="T23" s="666" t="s">
        <v>14</v>
      </c>
      <c r="U23" s="667">
        <f>H23</f>
        <v>100</v>
      </c>
      <c r="V23" s="666" t="s">
        <v>14</v>
      </c>
      <c r="W23" s="667">
        <f>J23</f>
        <v>100</v>
      </c>
      <c r="X23" s="1264"/>
      <c r="Y23" s="346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62"/>
      <c r="Q24" s="1262">
        <f t="shared" ref="Q24:Q34" si="11">B24</f>
        <v>111</v>
      </c>
      <c r="R24" s="666" t="s">
        <v>14</v>
      </c>
      <c r="S24" s="667">
        <f>F24</f>
        <v>100</v>
      </c>
      <c r="T24" s="666" t="s">
        <v>14</v>
      </c>
      <c r="U24" s="667">
        <f>H24</f>
        <v>100</v>
      </c>
      <c r="V24" s="666" t="s">
        <v>14</v>
      </c>
      <c r="W24" s="667">
        <f>J24</f>
        <v>100</v>
      </c>
      <c r="X24" s="1264"/>
      <c r="Y24" s="3462"/>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8"/>
      <c r="N25" s="2438"/>
      <c r="O25" s="2538"/>
      <c r="P25" s="3462"/>
      <c r="Q25" s="530">
        <f t="shared" si="11"/>
        <v>111</v>
      </c>
      <c r="R25" s="663" t="s">
        <v>14</v>
      </c>
      <c r="S25" s="664">
        <f>F25</f>
        <v>100</v>
      </c>
      <c r="T25" s="663" t="s">
        <v>14</v>
      </c>
      <c r="U25" s="664">
        <f>H25</f>
        <v>100</v>
      </c>
      <c r="V25" s="663" t="s">
        <v>14</v>
      </c>
      <c r="W25" s="664">
        <f>J25</f>
        <v>100</v>
      </c>
      <c r="X25" s="665"/>
      <c r="Y25" s="3462"/>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512"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66"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66"/>
      <c r="Q27" s="531" t="str">
        <f t="shared" si="11"/>
        <v>成新率</v>
      </c>
      <c r="R27" s="668" t="s">
        <v>14</v>
      </c>
      <c r="S27" s="669" t="e">
        <f t="shared" si="12"/>
        <v>#N/A</v>
      </c>
      <c r="T27" s="668" t="s">
        <v>14</v>
      </c>
      <c r="U27" s="669" t="e">
        <f t="shared" si="13"/>
        <v>#N/A</v>
      </c>
      <c r="V27" s="668" t="s">
        <v>14</v>
      </c>
      <c r="W27" s="669" t="e">
        <f t="shared" si="14"/>
        <v>#N/A</v>
      </c>
      <c r="X27" s="670"/>
      <c r="Y27" s="3466"/>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66"/>
      <c r="Q28" s="1262" t="str">
        <f t="shared" si="11"/>
        <v>物业等级</v>
      </c>
      <c r="R28" s="666" t="s">
        <v>14</v>
      </c>
      <c r="S28" s="667">
        <f t="shared" si="12"/>
        <v>100</v>
      </c>
      <c r="T28" s="666" t="s">
        <v>14</v>
      </c>
      <c r="U28" s="667">
        <f t="shared" si="13"/>
        <v>100</v>
      </c>
      <c r="V28" s="666" t="s">
        <v>14</v>
      </c>
      <c r="W28" s="667">
        <f t="shared" si="14"/>
        <v>100</v>
      </c>
      <c r="X28" s="1264"/>
      <c r="Y28" s="3466"/>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66"/>
      <c r="Q29" s="1262" t="str">
        <f t="shared" si="11"/>
        <v>有无电梯</v>
      </c>
      <c r="R29" s="666" t="s">
        <v>14</v>
      </c>
      <c r="S29" s="667">
        <f t="shared" si="12"/>
        <v>100</v>
      </c>
      <c r="T29" s="666" t="s">
        <v>14</v>
      </c>
      <c r="U29" s="667">
        <f t="shared" si="13"/>
        <v>100</v>
      </c>
      <c r="V29" s="666" t="s">
        <v>14</v>
      </c>
      <c r="W29" s="667">
        <f t="shared" si="14"/>
        <v>100</v>
      </c>
      <c r="X29" s="1264"/>
      <c r="Y29" s="3466"/>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66"/>
      <c r="Q30" s="1262" t="str">
        <f t="shared" si="11"/>
        <v>建筑面积</v>
      </c>
      <c r="R30" s="666" t="s">
        <v>14</v>
      </c>
      <c r="S30" s="667" t="e">
        <f t="shared" si="12"/>
        <v>#N/A</v>
      </c>
      <c r="T30" s="666" t="s">
        <v>14</v>
      </c>
      <c r="U30" s="667" t="e">
        <f t="shared" si="13"/>
        <v>#N/A</v>
      </c>
      <c r="V30" s="666" t="s">
        <v>14</v>
      </c>
      <c r="W30" s="667" t="e">
        <f t="shared" si="14"/>
        <v>#N/A</v>
      </c>
      <c r="X30" s="1264"/>
      <c r="Y30" s="3466"/>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66"/>
      <c r="Q31" s="530" t="str">
        <f t="shared" si="11"/>
        <v>是否封闭</v>
      </c>
      <c r="R31" s="663" t="s">
        <v>14</v>
      </c>
      <c r="S31" s="664">
        <f t="shared" si="12"/>
        <v>100</v>
      </c>
      <c r="T31" s="663" t="s">
        <v>14</v>
      </c>
      <c r="U31" s="664">
        <f t="shared" si="13"/>
        <v>100</v>
      </c>
      <c r="V31" s="663" t="s">
        <v>14</v>
      </c>
      <c r="W31" s="664">
        <f t="shared" si="14"/>
        <v>100</v>
      </c>
      <c r="X31" s="665"/>
      <c r="Y31" s="346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66" t="s">
        <v>1696</v>
      </c>
      <c r="Q32" s="1262">
        <f t="shared" si="11"/>
        <v>111</v>
      </c>
      <c r="R32" s="666" t="s">
        <v>14</v>
      </c>
      <c r="S32" s="667">
        <f t="shared" si="12"/>
        <v>100</v>
      </c>
      <c r="T32" s="666" t="s">
        <v>14</v>
      </c>
      <c r="U32" s="667">
        <f t="shared" si="13"/>
        <v>100</v>
      </c>
      <c r="V32" s="666" t="s">
        <v>14</v>
      </c>
      <c r="W32" s="667">
        <f t="shared" si="14"/>
        <v>100</v>
      </c>
      <c r="X32" s="1264"/>
      <c r="Y32" s="3466"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66"/>
      <c r="Q33" s="1262">
        <f t="shared" si="11"/>
        <v>111</v>
      </c>
      <c r="R33" s="666" t="s">
        <v>14</v>
      </c>
      <c r="S33" s="667">
        <f t="shared" si="12"/>
        <v>100</v>
      </c>
      <c r="T33" s="666" t="s">
        <v>14</v>
      </c>
      <c r="U33" s="667">
        <f t="shared" si="13"/>
        <v>100</v>
      </c>
      <c r="V33" s="666" t="s">
        <v>14</v>
      </c>
      <c r="W33" s="667">
        <f t="shared" si="14"/>
        <v>100</v>
      </c>
      <c r="X33" s="1264"/>
      <c r="Y33" s="3466"/>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466"/>
      <c r="Q34" s="1262">
        <f t="shared" si="11"/>
        <v>111</v>
      </c>
      <c r="R34" s="666" t="s">
        <v>14</v>
      </c>
      <c r="S34" s="667">
        <f t="shared" si="12"/>
        <v>100</v>
      </c>
      <c r="T34" s="666" t="s">
        <v>14</v>
      </c>
      <c r="U34" s="667">
        <f t="shared" si="13"/>
        <v>100</v>
      </c>
      <c r="V34" s="666" t="s">
        <v>14</v>
      </c>
      <c r="W34" s="667">
        <f t="shared" si="14"/>
        <v>100</v>
      </c>
      <c r="X34" s="1264"/>
      <c r="Y34" s="3466"/>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3"/>
      <c r="L35" s="2492"/>
      <c r="M35" s="2485"/>
      <c r="N35" s="2485"/>
      <c r="O35" s="2485"/>
      <c r="P35" s="3460" t="str">
        <f>A35</f>
        <v>成交单价（元/平方米）</v>
      </c>
      <c r="Q35" s="3460"/>
      <c r="R35" s="3455">
        <f>E35</f>
        <v>0</v>
      </c>
      <c r="S35" s="3455"/>
      <c r="T35" s="3455">
        <f>G35</f>
        <v>0</v>
      </c>
      <c r="U35" s="3455"/>
      <c r="V35" s="3455">
        <f>I35</f>
        <v>0</v>
      </c>
      <c r="W35" s="3455"/>
      <c r="X35" s="385"/>
      <c r="Y35" s="672"/>
      <c r="Z35" s="385"/>
      <c r="AA35" s="385"/>
      <c r="AB35" s="385"/>
      <c r="AC35" s="385"/>
    </row>
    <row r="36" spans="1:30" ht="15" thickBot="1">
      <c r="A36" s="423" t="s">
        <v>1793</v>
      </c>
      <c r="B36" s="424"/>
      <c r="C36" s="1081" t="e">
        <f>R37</f>
        <v>#DIV/0!</v>
      </c>
      <c r="D36" s="2140" t="s">
        <v>2135</v>
      </c>
      <c r="E36" s="1082" t="e">
        <f>R36</f>
        <v>#DIV/0!</v>
      </c>
      <c r="F36" s="2141"/>
      <c r="G36" s="1081" t="e">
        <f>T36</f>
        <v>#DIV/0!</v>
      </c>
      <c r="H36" s="2141"/>
      <c r="I36" s="1082" t="e">
        <f>V36</f>
        <v>#DIV/0!</v>
      </c>
      <c r="J36" s="2141"/>
      <c r="K36" s="2143">
        <f>F36+H36+J36</f>
        <v>0</v>
      </c>
      <c r="L36" s="2492"/>
      <c r="M36" s="2485"/>
      <c r="N36" s="2485"/>
      <c r="O36" s="2485"/>
      <c r="P36" s="3460" t="str">
        <f>A36</f>
        <v>比较价值（元/平方米）</v>
      </c>
      <c r="Q36" s="3460"/>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92"/>
      <c r="M37" s="2485"/>
      <c r="N37" s="2485"/>
      <c r="O37" s="2485"/>
      <c r="P37" s="3457" t="str">
        <f>A37</f>
        <v>估价对象XX用房的比较价值（楼面单价，元/平方米）</v>
      </c>
      <c r="Q37" s="3458"/>
      <c r="R37" s="3513" t="e">
        <f>IF(F1="售价",ROUND(IF(D36="简单平均",AVERAGE(R36:W36),R36*F36+T36*H36+V36*J36),0),ROUND(IF(D36="简单平均",AVERAGE(R36:V36),R36*F36+T36*H36+V36*J36),1))</f>
        <v>#DIV/0!</v>
      </c>
      <c r="S37" s="3513"/>
      <c r="T37" s="3513"/>
      <c r="U37" s="3513"/>
      <c r="V37" s="3513"/>
      <c r="W37" s="351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1798</v>
      </c>
      <c r="B45" s="385"/>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2" t="str">
        <f>YEAR(C7)&amp;"-"&amp;MONTH(C7)</f>
        <v>2025-6</v>
      </c>
      <c r="D46" s="1103">
        <f>EDATE(C46,-1)</f>
        <v>45778</v>
      </c>
      <c r="E46" s="1103">
        <f t="shared" ref="E46:O46" si="16">EDATE(D46,-1)</f>
        <v>45748</v>
      </c>
      <c r="F46" s="1103">
        <f t="shared" si="16"/>
        <v>45717</v>
      </c>
      <c r="G46" s="1103">
        <f t="shared" si="16"/>
        <v>45689</v>
      </c>
      <c r="H46" s="1103">
        <f t="shared" si="16"/>
        <v>45658</v>
      </c>
      <c r="I46" s="1103">
        <f t="shared" si="16"/>
        <v>45627</v>
      </c>
      <c r="J46" s="1103">
        <f t="shared" si="16"/>
        <v>45597</v>
      </c>
      <c r="K46" s="1103">
        <f t="shared" si="16"/>
        <v>45566</v>
      </c>
      <c r="L46" s="1103">
        <f t="shared" si="16"/>
        <v>45536</v>
      </c>
      <c r="M46" s="1103">
        <f t="shared" si="16"/>
        <v>45505</v>
      </c>
      <c r="N46" s="1103">
        <f t="shared" si="16"/>
        <v>45474</v>
      </c>
      <c r="O46" s="1103">
        <f t="shared" si="16"/>
        <v>45444</v>
      </c>
      <c r="P46" s="2508"/>
      <c r="Q46" s="2508"/>
      <c r="R46" s="2508"/>
      <c r="S46" s="2508"/>
      <c r="T46" s="2508"/>
      <c r="U46" s="2508"/>
      <c r="V46" s="2508"/>
      <c r="W46" s="2508"/>
      <c r="X46" s="2508"/>
      <c r="Y46" s="2508"/>
      <c r="Z46" s="2508"/>
      <c r="AA46" s="2508"/>
      <c r="AB46" s="2508"/>
      <c r="AC46" s="2508"/>
      <c r="AD46" s="2508"/>
    </row>
    <row r="47" spans="1:30" s="102" customFormat="1">
      <c r="A47" s="443"/>
      <c r="B47" s="444"/>
      <c r="C47" s="1101">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2"/>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16" zoomScale="85" zoomScaleNormal="60" zoomScaleSheetLayoutView="85" workbookViewId="0">
      <selection activeCell="N15" sqref="N15"/>
    </sheetView>
  </sheetViews>
  <sheetFormatPr defaultColWidth="9" defaultRowHeight="13.8"/>
  <cols>
    <col min="1" max="1" width="14.33203125" style="347" customWidth="1"/>
    <col min="2" max="2" width="15.77734375" style="347" customWidth="1"/>
    <col min="3" max="3" width="18.10937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f>F65</f>
        <v>1343</v>
      </c>
      <c r="C2" s="853"/>
      <c r="D2" s="853"/>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f>ROUND(IF(D3="",B2*10000/'数据-汇总表'!E3,B2*10000/D3),0)</f>
        <v>73553</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4.4">
      <c r="A4" s="345" t="s">
        <v>1769</v>
      </c>
      <c r="B4" s="346"/>
      <c r="C4" s="3443" t="s">
        <v>1770</v>
      </c>
      <c r="D4" s="3444"/>
      <c r="E4" s="3445" t="s">
        <v>1771</v>
      </c>
      <c r="F4" s="3446"/>
      <c r="G4" s="3443" t="s">
        <v>1772</v>
      </c>
      <c r="H4" s="3444"/>
      <c r="I4" s="3443" t="s">
        <v>1773</v>
      </c>
      <c r="J4" s="3444"/>
      <c r="K4" s="537" t="s">
        <v>1774</v>
      </c>
      <c r="L4" s="2484"/>
      <c r="M4" s="2485"/>
      <c r="N4" s="2485"/>
      <c r="O4" s="2485"/>
      <c r="P4" s="3447" t="s">
        <v>1775</v>
      </c>
      <c r="Q4" s="3448"/>
      <c r="R4" s="3429" t="s">
        <v>1771</v>
      </c>
      <c r="S4" s="3430"/>
      <c r="T4" s="3429" t="s">
        <v>1772</v>
      </c>
      <c r="U4" s="3430"/>
      <c r="V4" s="3455" t="s">
        <v>1773</v>
      </c>
      <c r="W4" s="3455"/>
      <c r="X4" s="1264"/>
      <c r="Y4" s="3429" t="s">
        <v>1775</v>
      </c>
      <c r="Z4" s="3430"/>
      <c r="AA4" s="3424" t="s">
        <v>1771</v>
      </c>
      <c r="AB4" s="3425" t="s">
        <v>1772</v>
      </c>
      <c r="AC4" s="3424" t="s">
        <v>1773</v>
      </c>
    </row>
    <row r="5" spans="1:29" ht="68.400000000000006" customHeight="1">
      <c r="A5" s="348"/>
      <c r="B5" s="349"/>
      <c r="C5" s="3435" t="s">
        <v>1673</v>
      </c>
      <c r="D5" s="3436"/>
      <c r="E5" s="3496" t="str">
        <f>住宅!A9</f>
        <v>北京市海淀区东升镇北部片区朱房四街棚户区改造项目二期(剩余用地)HD00-0803-0029地块R2二类居住用地</v>
      </c>
      <c r="F5" s="3434"/>
      <c r="G5" s="3435" t="str">
        <f>住宅!A10</f>
        <v>北京市海淀区东升镇北部片区朱房四街棚户区改造项目二期(剩余用地)HD00-0803-0030地块R2二类居住用地</v>
      </c>
      <c r="H5" s="3436"/>
      <c r="I5" s="3435" t="str">
        <f>住宅!A38</f>
        <v>北京市海淀区双新村棚户区改造项目2603-003-1地块R2二类居住用地</v>
      </c>
      <c r="J5" s="3436"/>
      <c r="K5" s="537"/>
      <c r="L5" s="2484"/>
      <c r="M5" s="2485"/>
      <c r="N5" s="2485"/>
      <c r="O5" s="2485"/>
      <c r="P5" s="3449"/>
      <c r="Q5" s="3450"/>
      <c r="R5" s="3431"/>
      <c r="S5" s="3432"/>
      <c r="T5" s="3431"/>
      <c r="U5" s="3432"/>
      <c r="V5" s="3455"/>
      <c r="W5" s="3455"/>
      <c r="X5" s="1264"/>
      <c r="Y5" s="3431"/>
      <c r="Z5" s="3432"/>
      <c r="AA5" s="3425"/>
      <c r="AB5" s="3425"/>
      <c r="AC5" s="3425"/>
    </row>
    <row r="6" spans="1:29" ht="15" thickBot="1">
      <c r="A6" s="350"/>
      <c r="B6" s="351"/>
      <c r="C6" s="3437" t="s">
        <v>1677</v>
      </c>
      <c r="D6" s="3438"/>
      <c r="E6" s="3440" t="s">
        <v>1677</v>
      </c>
      <c r="F6" s="3441"/>
      <c r="G6" s="3437" t="s">
        <v>1677</v>
      </c>
      <c r="H6" s="3438"/>
      <c r="I6" s="3437" t="s">
        <v>1677</v>
      </c>
      <c r="J6" s="3438"/>
      <c r="K6" s="537" t="s">
        <v>1678</v>
      </c>
      <c r="L6" s="2484"/>
      <c r="M6" s="2485"/>
      <c r="N6" s="2485"/>
      <c r="O6" s="2485"/>
      <c r="P6" s="3451"/>
      <c r="Q6" s="3452"/>
      <c r="R6" s="3431"/>
      <c r="S6" s="3432"/>
      <c r="T6" s="3453"/>
      <c r="U6" s="3454"/>
      <c r="V6" s="3455"/>
      <c r="W6" s="3455"/>
      <c r="X6" s="1264"/>
      <c r="Y6" s="3453"/>
      <c r="Z6" s="3454"/>
      <c r="AA6" s="3426"/>
      <c r="AB6" s="3426"/>
      <c r="AC6" s="3426"/>
    </row>
    <row r="7" spans="1:29" s="102" customFormat="1" ht="15" thickBot="1">
      <c r="A7" s="352" t="s">
        <v>1679</v>
      </c>
      <c r="B7" s="353"/>
      <c r="C7" s="354">
        <f>'数据-取费表'!B2</f>
        <v>45825</v>
      </c>
      <c r="D7" s="355">
        <v>100</v>
      </c>
      <c r="E7" s="356" t="str">
        <f>住宅!K9</f>
        <v>2025-01-02</v>
      </c>
      <c r="F7" s="357">
        <f>SUMIF(69:69,YEAR(E7)&amp;"-"&amp;INT((MONTH(E7)+2)/3),70:70)</f>
        <v>100</v>
      </c>
      <c r="G7" s="1821" t="str">
        <f>住宅!K10</f>
        <v>2025-01-02</v>
      </c>
      <c r="H7" s="355">
        <f>SUMIF(69:69,YEAR(G7)&amp;"-"&amp;INT((MONTH(G7)+2)/3),70:70)</f>
        <v>100</v>
      </c>
      <c r="I7" s="1821" t="str">
        <f>住宅!K38</f>
        <v>2023-06-14</v>
      </c>
      <c r="J7" s="355">
        <f>SUMIF(69:69,YEAR(I7)&amp;"-"&amp;INT((MONTH(I7)+2)/3),70:70)</f>
        <v>103</v>
      </c>
      <c r="K7" s="38"/>
      <c r="L7" s="2486"/>
      <c r="M7" s="2438"/>
      <c r="N7" s="2438"/>
      <c r="O7" s="2438"/>
      <c r="P7" s="3427" t="s">
        <v>1680</v>
      </c>
      <c r="Q7" s="3456"/>
      <c r="R7" s="663" t="s">
        <v>14</v>
      </c>
      <c r="S7" s="664">
        <f t="shared" ref="S7:S15" si="0">F7</f>
        <v>100</v>
      </c>
      <c r="T7" s="663" t="s">
        <v>14</v>
      </c>
      <c r="U7" s="664">
        <f t="shared" ref="U7:U15" si="1">H7</f>
        <v>100</v>
      </c>
      <c r="V7" s="663" t="s">
        <v>14</v>
      </c>
      <c r="W7" s="664">
        <f t="shared" ref="W7:W15" si="2">J7</f>
        <v>103</v>
      </c>
      <c r="X7" s="665"/>
      <c r="Y7" s="3427" t="s">
        <v>1680</v>
      </c>
      <c r="Z7" s="3428"/>
      <c r="AA7" s="50">
        <f>D7/F7</f>
        <v>1</v>
      </c>
      <c r="AB7" s="50">
        <f>D7/H7</f>
        <v>1</v>
      </c>
      <c r="AC7" s="50">
        <f>D7/J7</f>
        <v>0.970873786407767</v>
      </c>
    </row>
    <row r="8" spans="1:29" s="102" customFormat="1" ht="15" thickBot="1">
      <c r="A8" s="352" t="s">
        <v>1681</v>
      </c>
      <c r="B8" s="353"/>
      <c r="C8" s="358" t="s">
        <v>1682</v>
      </c>
      <c r="D8" s="355">
        <v>100</v>
      </c>
      <c r="E8" s="358" t="s">
        <v>3437</v>
      </c>
      <c r="F8" s="357">
        <f>SUMIF(72:72,E8,73:73)-SUMIF(72:72,C8,73:73)+100</f>
        <v>100</v>
      </c>
      <c r="G8" s="358" t="s">
        <v>3437</v>
      </c>
      <c r="H8" s="355">
        <f>SUMIF(72:72,G8,73:73)-SUMIF(72:72,C8,73:73)+100</f>
        <v>100</v>
      </c>
      <c r="I8" s="358" t="s">
        <v>3437</v>
      </c>
      <c r="J8" s="355">
        <f>SUMIF(72:72,I8,73:73)-SUMIF(72:72,C8,73:73)+100</f>
        <v>100</v>
      </c>
      <c r="K8" s="38"/>
      <c r="L8" s="2486"/>
      <c r="M8" s="2438"/>
      <c r="N8" s="2438"/>
      <c r="O8" s="2438"/>
      <c r="P8" s="3427" t="s">
        <v>1683</v>
      </c>
      <c r="Q8" s="3428"/>
      <c r="R8" s="663" t="s">
        <v>14</v>
      </c>
      <c r="S8" s="664">
        <f t="shared" si="0"/>
        <v>100</v>
      </c>
      <c r="T8" s="663" t="s">
        <v>14</v>
      </c>
      <c r="U8" s="664">
        <f t="shared" si="1"/>
        <v>100</v>
      </c>
      <c r="V8" s="663" t="s">
        <v>14</v>
      </c>
      <c r="W8" s="664">
        <f t="shared" si="2"/>
        <v>100</v>
      </c>
      <c r="X8" s="665"/>
      <c r="Y8" s="3427" t="s">
        <v>1683</v>
      </c>
      <c r="Z8" s="3428"/>
      <c r="AA8" s="50">
        <f t="shared" ref="AA8:AA45" si="3">D8/F8</f>
        <v>1</v>
      </c>
      <c r="AB8" s="50">
        <f t="shared" ref="AB8:AB45" si="4">D8/H8</f>
        <v>1</v>
      </c>
      <c r="AC8" s="50">
        <f t="shared" ref="AC8:AC45" si="5">D8/J8</f>
        <v>1</v>
      </c>
    </row>
    <row r="9" spans="1:29" s="102" customFormat="1" ht="14.4">
      <c r="A9" s="359" t="s">
        <v>1684</v>
      </c>
      <c r="B9" s="60" t="s">
        <v>1685</v>
      </c>
      <c r="C9" s="371" t="s">
        <v>3399</v>
      </c>
      <c r="D9" s="59">
        <v>100</v>
      </c>
      <c r="E9" s="1824" t="s">
        <v>3399</v>
      </c>
      <c r="F9" s="59">
        <f>SUMIF(74:74,E9,75:75)-SUMIF(74:74,C9,75:75)+100</f>
        <v>100</v>
      </c>
      <c r="G9" s="1824" t="s">
        <v>3399</v>
      </c>
      <c r="H9" s="59">
        <f>SUMIF(74:74,G9,75:75)-SUMIF(74:74,C9,75:75)+100</f>
        <v>100</v>
      </c>
      <c r="I9" s="1824" t="s">
        <v>3399</v>
      </c>
      <c r="J9" s="59">
        <f>SUMIF(74:74,I9,75:75)-SUMIF(74:74,C9,75:75)+100</f>
        <v>100</v>
      </c>
      <c r="K9" s="38"/>
      <c r="L9" s="2486"/>
      <c r="M9" s="2438"/>
      <c r="N9" s="2438"/>
      <c r="O9" s="2538"/>
      <c r="P9" s="3460" t="s">
        <v>1686</v>
      </c>
      <c r="Q9" s="530" t="str">
        <f t="shared" ref="Q9:Q15" si="6">B9</f>
        <v>用途</v>
      </c>
      <c r="R9" s="663" t="s">
        <v>14</v>
      </c>
      <c r="S9" s="664">
        <f t="shared" si="0"/>
        <v>100</v>
      </c>
      <c r="T9" s="663" t="s">
        <v>14</v>
      </c>
      <c r="U9" s="664">
        <f t="shared" si="1"/>
        <v>100</v>
      </c>
      <c r="V9" s="663" t="s">
        <v>14</v>
      </c>
      <c r="W9" s="664">
        <f t="shared" si="2"/>
        <v>100</v>
      </c>
      <c r="X9" s="665"/>
      <c r="Y9" s="337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110</v>
      </c>
      <c r="G10" s="402"/>
      <c r="H10" s="119">
        <f>ROUND(100/'数据-取费表'!G16,0)</f>
        <v>110</v>
      </c>
      <c r="I10" s="402"/>
      <c r="J10" s="119">
        <f>ROUND(100/'数据-取费表'!G16,0)</f>
        <v>110</v>
      </c>
      <c r="K10" s="592"/>
      <c r="L10" s="2487"/>
      <c r="M10" s="2488"/>
      <c r="N10" s="2488"/>
      <c r="O10" s="2539"/>
      <c r="P10" s="3460"/>
      <c r="Q10" s="530" t="str">
        <f t="shared" si="6"/>
        <v>土地使用年限（年）</v>
      </c>
      <c r="R10" s="663" t="s">
        <v>14</v>
      </c>
      <c r="S10" s="664">
        <f t="shared" si="0"/>
        <v>110</v>
      </c>
      <c r="T10" s="663" t="s">
        <v>14</v>
      </c>
      <c r="U10" s="664">
        <f t="shared" si="1"/>
        <v>110</v>
      </c>
      <c r="V10" s="663" t="s">
        <v>14</v>
      </c>
      <c r="W10" s="664">
        <f t="shared" si="2"/>
        <v>110</v>
      </c>
      <c r="X10" s="665"/>
      <c r="Y10" s="3372"/>
      <c r="Z10" s="50" t="str">
        <f t="shared" si="7"/>
        <v>土地使用年限（年）</v>
      </c>
      <c r="AA10" s="50">
        <f t="shared" si="3"/>
        <v>0.90909090909090906</v>
      </c>
      <c r="AB10" s="50">
        <f t="shared" si="4"/>
        <v>0.90909090909090906</v>
      </c>
      <c r="AC10" s="50">
        <f t="shared" si="5"/>
        <v>0.90909090909090906</v>
      </c>
    </row>
    <row r="11" spans="1:29" ht="15">
      <c r="A11" s="367"/>
      <c r="B11" s="364" t="s">
        <v>1689</v>
      </c>
      <c r="C11" s="368">
        <v>16.420000000000002</v>
      </c>
      <c r="D11" s="119">
        <v>100</v>
      </c>
      <c r="E11" s="368">
        <v>2.4</v>
      </c>
      <c r="F11" s="119">
        <f>LOOKUP(E11,79:79,80:80)-LOOKUP(C11,79:79,80:80)+100</f>
        <v>121</v>
      </c>
      <c r="G11" s="369">
        <v>2.42</v>
      </c>
      <c r="H11" s="119">
        <f>LOOKUP(G11,79:79,80:80)-LOOKUP(C11,79:79,80:80)+100</f>
        <v>121</v>
      </c>
      <c r="I11" s="368">
        <v>1.05</v>
      </c>
      <c r="J11" s="119">
        <f>LOOKUP(I11,79:79,80:80)-LOOKUP(C11,79:79,80:80)+100</f>
        <v>124</v>
      </c>
      <c r="K11" s="593">
        <v>3</v>
      </c>
      <c r="L11" s="2489"/>
      <c r="M11" s="2485"/>
      <c r="N11" s="2485"/>
      <c r="O11" s="2540"/>
      <c r="P11" s="3460"/>
      <c r="Q11" s="530" t="str">
        <f t="shared" si="6"/>
        <v>容积率</v>
      </c>
      <c r="R11" s="663" t="s">
        <v>14</v>
      </c>
      <c r="S11" s="664">
        <f t="shared" si="0"/>
        <v>121</v>
      </c>
      <c r="T11" s="663" t="s">
        <v>14</v>
      </c>
      <c r="U11" s="664">
        <f t="shared" si="1"/>
        <v>121</v>
      </c>
      <c r="V11" s="663" t="s">
        <v>14</v>
      </c>
      <c r="W11" s="664">
        <f t="shared" si="2"/>
        <v>124</v>
      </c>
      <c r="X11" s="665"/>
      <c r="Y11" s="3372"/>
      <c r="Z11" s="50" t="str">
        <f t="shared" si="7"/>
        <v>容积率</v>
      </c>
      <c r="AA11" s="50">
        <f t="shared" si="3"/>
        <v>0.82644628099173556</v>
      </c>
      <c r="AB11" s="50">
        <f t="shared" si="4"/>
        <v>0.82644628099173556</v>
      </c>
      <c r="AC11" s="50">
        <f t="shared" si="5"/>
        <v>0.80645161290322576</v>
      </c>
    </row>
    <row r="12" spans="1:29" s="102" customFormat="1" ht="15">
      <c r="A12" s="370"/>
      <c r="B12" s="3183" t="s">
        <v>3999</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60"/>
      <c r="Q12" s="530" t="str">
        <f t="shared" si="6"/>
        <v>溢价率</v>
      </c>
      <c r="R12" s="663" t="s">
        <v>14</v>
      </c>
      <c r="S12" s="664">
        <f t="shared" si="0"/>
        <v>100</v>
      </c>
      <c r="T12" s="663" t="s">
        <v>14</v>
      </c>
      <c r="U12" s="664">
        <f t="shared" si="1"/>
        <v>100</v>
      </c>
      <c r="V12" s="663" t="s">
        <v>14</v>
      </c>
      <c r="W12" s="664">
        <f t="shared" si="2"/>
        <v>100</v>
      </c>
      <c r="X12" s="665"/>
      <c r="Y12" s="3372"/>
      <c r="Z12" s="50" t="str">
        <f t="shared" si="7"/>
        <v>溢价率</v>
      </c>
      <c r="AA12" s="50">
        <f>D12/F12</f>
        <v>1</v>
      </c>
      <c r="AB12" s="50">
        <f>D12/H12</f>
        <v>1</v>
      </c>
      <c r="AC12" s="50">
        <f>D12/J12</f>
        <v>1</v>
      </c>
    </row>
    <row r="13" spans="1:29" ht="15">
      <c r="A13" s="367"/>
      <c r="B13" s="447"/>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60"/>
      <c r="Q13" s="530">
        <f t="shared" si="6"/>
        <v>0</v>
      </c>
      <c r="R13" s="663" t="s">
        <v>14</v>
      </c>
      <c r="S13" s="664">
        <f t="shared" si="0"/>
        <v>100</v>
      </c>
      <c r="T13" s="663" t="s">
        <v>14</v>
      </c>
      <c r="U13" s="664">
        <f t="shared" si="1"/>
        <v>100</v>
      </c>
      <c r="V13" s="663" t="s">
        <v>14</v>
      </c>
      <c r="W13" s="664">
        <f t="shared" si="2"/>
        <v>100</v>
      </c>
      <c r="X13" s="665"/>
      <c r="Y13" s="3372"/>
      <c r="Z13" s="50">
        <f t="shared" si="7"/>
        <v>0</v>
      </c>
      <c r="AA13" s="50">
        <f>D13/F13</f>
        <v>1</v>
      </c>
      <c r="AB13" s="50">
        <f>D13/H13</f>
        <v>1</v>
      </c>
      <c r="AC13" s="50">
        <f>D13/J13</f>
        <v>1</v>
      </c>
    </row>
    <row r="14" spans="1:29" ht="15.6" thickBot="1">
      <c r="A14" s="375"/>
      <c r="B14" s="3176" t="s">
        <v>3970</v>
      </c>
      <c r="C14" s="376" t="s">
        <v>3969</v>
      </c>
      <c r="D14" s="377">
        <v>100</v>
      </c>
      <c r="E14" s="376" t="s">
        <v>3969</v>
      </c>
      <c r="F14" s="377">
        <f>SUMIF(85:85,E14,86:86)-SUMIF(85:85,C14,86:86)+100</f>
        <v>100</v>
      </c>
      <c r="G14" s="376" t="s">
        <v>3969</v>
      </c>
      <c r="H14" s="377">
        <f>SUMIF(85:85,G14,86:86)-SUMIF(85:85,C14,86:86)+100</f>
        <v>100</v>
      </c>
      <c r="I14" s="376">
        <v>121000</v>
      </c>
      <c r="J14" s="377">
        <f>SUMIF(85:85,I14,86:86)-SUMIF(85:85,C14,86:86)+100</f>
        <v>99</v>
      </c>
      <c r="K14" s="592"/>
      <c r="L14" s="2490"/>
      <c r="M14" s="2485"/>
      <c r="N14" s="2485"/>
      <c r="O14" s="2540"/>
      <c r="P14" s="3460"/>
      <c r="Q14" s="530" t="str">
        <f t="shared" si="6"/>
        <v>指导价</v>
      </c>
      <c r="R14" s="663" t="s">
        <v>14</v>
      </c>
      <c r="S14" s="664">
        <f t="shared" si="0"/>
        <v>100</v>
      </c>
      <c r="T14" s="663" t="s">
        <v>14</v>
      </c>
      <c r="U14" s="664">
        <f t="shared" si="1"/>
        <v>100</v>
      </c>
      <c r="V14" s="663" t="s">
        <v>14</v>
      </c>
      <c r="W14" s="664">
        <f t="shared" si="2"/>
        <v>99</v>
      </c>
      <c r="X14" s="665"/>
      <c r="Y14" s="3372"/>
      <c r="Z14" s="50" t="str">
        <f t="shared" si="7"/>
        <v>指导价</v>
      </c>
      <c r="AA14" s="50">
        <f>D14/F14</f>
        <v>1</v>
      </c>
      <c r="AB14" s="50">
        <f>D14/H14</f>
        <v>1</v>
      </c>
      <c r="AC14" s="50">
        <f>D14/J14</f>
        <v>1.0101010101010102</v>
      </c>
    </row>
    <row r="15" spans="1:29" ht="43.2">
      <c r="A15" s="379" t="s">
        <v>1690</v>
      </c>
      <c r="B15" s="58" t="s">
        <v>1257</v>
      </c>
      <c r="C15" s="1749" t="str">
        <f>估价对象房地状况!C15</f>
        <v>万国城MOMA、梵悦万国府、使馆壹号院等多个，较好</v>
      </c>
      <c r="D15" s="380">
        <v>100</v>
      </c>
      <c r="E15" s="3180" t="s">
        <v>3995</v>
      </c>
      <c r="F15" s="380">
        <f>SUMIF(87:87,E16,88:88)-SUMIF(87:87,C16,88:88)+100</f>
        <v>100</v>
      </c>
      <c r="G15" s="3180" t="s">
        <v>3995</v>
      </c>
      <c r="H15" s="380">
        <f>SUMIF(87:87,G16,88:88)-SUMIF(87:87,C16,88:88)+100</f>
        <v>100</v>
      </c>
      <c r="I15" s="3184" t="s">
        <v>4001</v>
      </c>
      <c r="J15" s="380">
        <f>SUMIF(87:87,I16,88:88)-SUMIF(87:87,C16,88:88)+100</f>
        <v>100</v>
      </c>
      <c r="K15" s="593">
        <v>3</v>
      </c>
      <c r="L15" s="2490"/>
      <c r="M15" s="2485"/>
      <c r="N15" s="2485"/>
      <c r="O15" s="2540"/>
      <c r="P15" s="3461" t="s">
        <v>1691</v>
      </c>
      <c r="Q15" s="1262" t="str">
        <f t="shared" si="6"/>
        <v>居住社区成熟度</v>
      </c>
      <c r="R15" s="666" t="s">
        <v>14</v>
      </c>
      <c r="S15" s="667">
        <f t="shared" si="0"/>
        <v>100</v>
      </c>
      <c r="T15" s="666" t="s">
        <v>14</v>
      </c>
      <c r="U15" s="667">
        <f t="shared" si="1"/>
        <v>100</v>
      </c>
      <c r="V15" s="666" t="s">
        <v>14</v>
      </c>
      <c r="W15" s="667">
        <f t="shared" si="2"/>
        <v>100</v>
      </c>
      <c r="X15" s="1264"/>
      <c r="Y15" s="3461" t="s">
        <v>1691</v>
      </c>
      <c r="Z15" s="1263" t="str">
        <f t="shared" si="7"/>
        <v>居住社区成熟度</v>
      </c>
      <c r="AA15" s="1263">
        <f t="shared" si="3"/>
        <v>1</v>
      </c>
      <c r="AB15" s="1263">
        <f t="shared" si="4"/>
        <v>1</v>
      </c>
      <c r="AC15" s="1263">
        <f t="shared" si="5"/>
        <v>1</v>
      </c>
    </row>
    <row r="16" spans="1:29" ht="15">
      <c r="A16" s="367"/>
      <c r="B16" s="385"/>
      <c r="C16" s="386" t="s">
        <v>3440</v>
      </c>
      <c r="D16" s="387"/>
      <c r="E16" s="1751" t="s">
        <v>3440</v>
      </c>
      <c r="F16" s="387"/>
      <c r="G16" s="1751" t="s">
        <v>3440</v>
      </c>
      <c r="H16" s="389"/>
      <c r="I16" s="1751" t="s">
        <v>3440</v>
      </c>
      <c r="J16" s="387"/>
      <c r="K16" s="592"/>
      <c r="L16" s="2490"/>
      <c r="M16" s="2485"/>
      <c r="N16" s="2485"/>
      <c r="O16" s="2540"/>
      <c r="P16" s="3462"/>
      <c r="Q16" s="1262"/>
      <c r="R16" s="666"/>
      <c r="S16" s="667"/>
      <c r="T16" s="666"/>
      <c r="U16" s="667"/>
      <c r="V16" s="666"/>
      <c r="W16" s="667"/>
      <c r="X16" s="1264"/>
      <c r="Y16" s="3462"/>
      <c r="Z16" s="1263"/>
      <c r="AA16" s="1263">
        <v>1</v>
      </c>
      <c r="AB16" s="1263">
        <v>1</v>
      </c>
      <c r="AC16" s="1263">
        <v>1</v>
      </c>
    </row>
    <row r="17" spans="1:29" ht="15" hidden="1">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62"/>
      <c r="Q17" s="1262" t="str">
        <f>B17</f>
        <v>商业繁华度</v>
      </c>
      <c r="R17" s="666" t="s">
        <v>14</v>
      </c>
      <c r="S17" s="667">
        <f>F17</f>
        <v>100</v>
      </c>
      <c r="T17" s="666" t="s">
        <v>14</v>
      </c>
      <c r="U17" s="667">
        <f>H17</f>
        <v>100</v>
      </c>
      <c r="V17" s="666" t="s">
        <v>14</v>
      </c>
      <c r="W17" s="667">
        <f>J17</f>
        <v>100</v>
      </c>
      <c r="X17" s="1264"/>
      <c r="Y17" s="3462"/>
      <c r="Z17" s="1263" t="str">
        <f>Q17</f>
        <v>商业繁华度</v>
      </c>
      <c r="AA17" s="1263">
        <f t="shared" si="3"/>
        <v>1</v>
      </c>
      <c r="AB17" s="1263">
        <f t="shared" si="4"/>
        <v>1</v>
      </c>
      <c r="AC17" s="1263">
        <f t="shared" si="5"/>
        <v>1</v>
      </c>
    </row>
    <row r="18" spans="1:29" ht="15" hidden="1">
      <c r="A18" s="367"/>
      <c r="B18" s="395"/>
      <c r="C18" s="1754"/>
      <c r="D18" s="389"/>
      <c r="E18" s="1756"/>
      <c r="F18" s="389"/>
      <c r="G18" s="1756"/>
      <c r="H18" s="387"/>
      <c r="I18" s="1755"/>
      <c r="J18" s="387"/>
      <c r="K18" s="592"/>
      <c r="L18" s="2490"/>
      <c r="M18" s="2485"/>
      <c r="N18" s="2485"/>
      <c r="O18" s="2540"/>
      <c r="P18" s="3462"/>
      <c r="Q18" s="1262"/>
      <c r="R18" s="666"/>
      <c r="S18" s="667"/>
      <c r="T18" s="666"/>
      <c r="U18" s="667"/>
      <c r="V18" s="666"/>
      <c r="W18" s="667"/>
      <c r="X18" s="1264"/>
      <c r="Y18" s="3462"/>
      <c r="Z18" s="1263"/>
      <c r="AA18" s="1263">
        <v>1</v>
      </c>
      <c r="AB18" s="1263">
        <v>1</v>
      </c>
      <c r="AC18" s="1263">
        <v>1</v>
      </c>
    </row>
    <row r="19" spans="1:29" ht="15" hidden="1">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62"/>
      <c r="Q19" s="1262" t="str">
        <f>B19</f>
        <v>办公集聚程度</v>
      </c>
      <c r="R19" s="666" t="s">
        <v>14</v>
      </c>
      <c r="S19" s="667">
        <f>F19</f>
        <v>100</v>
      </c>
      <c r="T19" s="666" t="s">
        <v>14</v>
      </c>
      <c r="U19" s="667">
        <f>H19</f>
        <v>100</v>
      </c>
      <c r="V19" s="666" t="s">
        <v>14</v>
      </c>
      <c r="W19" s="667">
        <f>J19</f>
        <v>100</v>
      </c>
      <c r="X19" s="1264"/>
      <c r="Y19" s="3462"/>
      <c r="Z19" s="1263" t="str">
        <f>Q19</f>
        <v>办公集聚程度</v>
      </c>
      <c r="AA19" s="1263">
        <f t="shared" si="3"/>
        <v>1</v>
      </c>
      <c r="AB19" s="1263">
        <f t="shared" si="4"/>
        <v>1</v>
      </c>
      <c r="AC19" s="1263">
        <f t="shared" si="5"/>
        <v>1</v>
      </c>
    </row>
    <row r="20" spans="1:29" ht="15" hidden="1">
      <c r="A20" s="367"/>
      <c r="B20" s="395"/>
      <c r="C20" s="386"/>
      <c r="D20" s="387"/>
      <c r="E20" s="1751"/>
      <c r="F20" s="387"/>
      <c r="G20" s="1751"/>
      <c r="H20" s="387"/>
      <c r="I20" s="1750"/>
      <c r="J20" s="387"/>
      <c r="K20" s="592"/>
      <c r="L20" s="2490"/>
      <c r="M20" s="2485"/>
      <c r="N20" s="2485"/>
      <c r="O20" s="2540"/>
      <c r="P20" s="3462"/>
      <c r="Q20" s="1262"/>
      <c r="R20" s="666"/>
      <c r="S20" s="667"/>
      <c r="T20" s="666"/>
      <c r="U20" s="667"/>
      <c r="V20" s="666"/>
      <c r="W20" s="667"/>
      <c r="X20" s="1264"/>
      <c r="Y20" s="3462"/>
      <c r="Z20" s="1263"/>
      <c r="AA20" s="1263">
        <v>1</v>
      </c>
      <c r="AB20" s="1263">
        <v>1</v>
      </c>
      <c r="AC20" s="1263">
        <v>1</v>
      </c>
    </row>
    <row r="21" spans="1:29" ht="82.8">
      <c r="A21" s="367"/>
      <c r="B21" s="390" t="s">
        <v>1833</v>
      </c>
      <c r="C21" s="1753" t="str">
        <f>估价对象房地状况!C18</f>
        <v>2、13、17、机场快线等多个地铁线路；3、359、915、123、515等多条，东直门长途汽车站，较好</v>
      </c>
      <c r="D21" s="389">
        <v>100</v>
      </c>
      <c r="E21" s="391"/>
      <c r="F21" s="394">
        <f>SUMIF(93:93,E22,94:94)-SUMIF(93:93,C22,94:94)+100</f>
        <v>97</v>
      </c>
      <c r="G21" s="391"/>
      <c r="H21" s="389">
        <f>SUMIF(93:93,G22,94:94)-SUMIF(93:93,C22,94:94)+100</f>
        <v>97</v>
      </c>
      <c r="I21" s="393" t="s">
        <v>4002</v>
      </c>
      <c r="J21" s="389">
        <f>SUMIF(93:93,I22,94:94)-SUMIF(93:93,C22,94:94)+100</f>
        <v>94</v>
      </c>
      <c r="K21" s="593">
        <v>3</v>
      </c>
      <c r="L21" s="2490"/>
      <c r="M21" s="2485"/>
      <c r="N21" s="2485"/>
      <c r="O21" s="2540"/>
      <c r="P21" s="3462"/>
      <c r="Q21" s="1262" t="str">
        <f>B21</f>
        <v>交通便捷度</v>
      </c>
      <c r="R21" s="666" t="s">
        <v>14</v>
      </c>
      <c r="S21" s="667">
        <f>F21</f>
        <v>97</v>
      </c>
      <c r="T21" s="666" t="s">
        <v>14</v>
      </c>
      <c r="U21" s="667">
        <f>H21</f>
        <v>97</v>
      </c>
      <c r="V21" s="666" t="s">
        <v>14</v>
      </c>
      <c r="W21" s="667">
        <f>J21</f>
        <v>94</v>
      </c>
      <c r="X21" s="1264"/>
      <c r="Y21" s="3462"/>
      <c r="Z21" s="1263" t="str">
        <f>Q21</f>
        <v>交通便捷度</v>
      </c>
      <c r="AA21" s="1263">
        <f t="shared" si="3"/>
        <v>1.0309278350515463</v>
      </c>
      <c r="AB21" s="1263">
        <f t="shared" si="4"/>
        <v>1.0309278350515463</v>
      </c>
      <c r="AC21" s="1263">
        <f t="shared" si="5"/>
        <v>1.0638297872340425</v>
      </c>
    </row>
    <row r="22" spans="1:29" ht="15">
      <c r="A22" s="367"/>
      <c r="B22" s="586"/>
      <c r="C22" s="386" t="s">
        <v>3441</v>
      </c>
      <c r="D22" s="389"/>
      <c r="E22" s="1751" t="s">
        <v>3440</v>
      </c>
      <c r="F22" s="387"/>
      <c r="G22" s="1751" t="s">
        <v>3440</v>
      </c>
      <c r="H22" s="387"/>
      <c r="I22" s="1750" t="s">
        <v>3991</v>
      </c>
      <c r="J22" s="387"/>
      <c r="K22" s="592"/>
      <c r="L22" s="2490"/>
      <c r="M22" s="2485"/>
      <c r="N22" s="2485"/>
      <c r="O22" s="2540"/>
      <c r="P22" s="3462"/>
      <c r="Q22" s="1262"/>
      <c r="R22" s="666"/>
      <c r="S22" s="667"/>
      <c r="T22" s="666"/>
      <c r="U22" s="667"/>
      <c r="V22" s="666"/>
      <c r="W22" s="667"/>
      <c r="X22" s="1264"/>
      <c r="Y22" s="3462"/>
      <c r="Z22" s="1263"/>
      <c r="AA22" s="1263">
        <v>1</v>
      </c>
      <c r="AB22" s="1263">
        <v>1</v>
      </c>
      <c r="AC22" s="1263">
        <v>1</v>
      </c>
    </row>
    <row r="23" spans="1:29" ht="28.8">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62"/>
      <c r="Q23" s="1262" t="str">
        <f t="shared" ref="Q23:Q37" si="8">B23</f>
        <v>区域土地利用方向</v>
      </c>
      <c r="R23" s="666" t="s">
        <v>14</v>
      </c>
      <c r="S23" s="667">
        <f>F23</f>
        <v>100</v>
      </c>
      <c r="T23" s="666" t="s">
        <v>14</v>
      </c>
      <c r="U23" s="667">
        <f>H23</f>
        <v>100</v>
      </c>
      <c r="V23" s="666" t="s">
        <v>14</v>
      </c>
      <c r="W23" s="667">
        <f>J23</f>
        <v>100</v>
      </c>
      <c r="X23" s="1264"/>
      <c r="Y23" s="3462"/>
      <c r="Z23" s="1263" t="str">
        <f>Q23</f>
        <v>区域土地利用方向</v>
      </c>
      <c r="AA23" s="1263">
        <f t="shared" si="3"/>
        <v>1</v>
      </c>
      <c r="AB23" s="1263">
        <f t="shared" si="4"/>
        <v>1</v>
      </c>
      <c r="AC23" s="1263">
        <f t="shared" si="5"/>
        <v>1</v>
      </c>
    </row>
    <row r="24" spans="1:29" ht="15">
      <c r="A24" s="348"/>
      <c r="B24" s="395"/>
      <c r="C24" s="386" t="s">
        <v>3440</v>
      </c>
      <c r="D24" s="387"/>
      <c r="E24" s="386" t="s">
        <v>3440</v>
      </c>
      <c r="F24" s="387"/>
      <c r="G24" s="386" t="s">
        <v>3440</v>
      </c>
      <c r="H24" s="387"/>
      <c r="I24" s="386" t="s">
        <v>3440</v>
      </c>
      <c r="J24" s="387"/>
      <c r="K24" s="697"/>
      <c r="L24" s="2490"/>
      <c r="M24" s="2485"/>
      <c r="N24" s="2485"/>
      <c r="O24" s="2540"/>
      <c r="P24" s="3462"/>
      <c r="Q24" s="1262"/>
      <c r="R24" s="666"/>
      <c r="S24" s="667"/>
      <c r="T24" s="666"/>
      <c r="U24" s="667"/>
      <c r="V24" s="666"/>
      <c r="W24" s="667"/>
      <c r="X24" s="1264"/>
      <c r="Y24" s="3462"/>
      <c r="Z24" s="1263"/>
      <c r="AA24" s="1263"/>
      <c r="AB24" s="1263"/>
      <c r="AC24" s="1263"/>
    </row>
    <row r="25" spans="1:29" ht="96.6">
      <c r="A25" s="348"/>
      <c r="B25" s="586" t="s">
        <v>1871</v>
      </c>
      <c r="C25" s="1805" t="str">
        <f>估价对象房地状况!C20</f>
        <v>区域自然环境：亮马河公园、左家庄公园、亮马河；人文环境：使馆区、北京自来水博物馆；综合评价环境状况较好</v>
      </c>
      <c r="D25" s="389">
        <v>100</v>
      </c>
      <c r="E25" s="3181" t="s">
        <v>3996</v>
      </c>
      <c r="F25" s="389">
        <f>SUMIF(97:97,E26,98:98)-SUMIF(97:97,C26,98:98)+100</f>
        <v>100</v>
      </c>
      <c r="G25" s="391"/>
      <c r="H25" s="389">
        <f>SUMIF(97:97,G26,98:98)-SUMIF(97:97,C26,98:98)+100</f>
        <v>100</v>
      </c>
      <c r="I25" s="3185" t="s">
        <v>4003</v>
      </c>
      <c r="J25" s="389">
        <f>SUMIF(97:97,I26,98:98)-SUMIF(97:97,C26,98:98)+100</f>
        <v>97</v>
      </c>
      <c r="K25" s="593">
        <v>3</v>
      </c>
      <c r="L25" s="2490"/>
      <c r="M25" s="2485"/>
      <c r="N25" s="2485"/>
      <c r="O25" s="2540"/>
      <c r="P25" s="3462"/>
      <c r="Q25" s="1262" t="str">
        <f t="shared" si="8"/>
        <v>自然及人文环境状况</v>
      </c>
      <c r="R25" s="666" t="s">
        <v>14</v>
      </c>
      <c r="S25" s="667">
        <f>F25</f>
        <v>100</v>
      </c>
      <c r="T25" s="666" t="s">
        <v>14</v>
      </c>
      <c r="U25" s="667">
        <f>H25</f>
        <v>100</v>
      </c>
      <c r="V25" s="666" t="s">
        <v>14</v>
      </c>
      <c r="W25" s="667">
        <f>J25</f>
        <v>97</v>
      </c>
      <c r="X25" s="1264"/>
      <c r="Y25" s="3462"/>
      <c r="Z25" s="1263" t="str">
        <f>Q25</f>
        <v>自然及人文环境状况</v>
      </c>
      <c r="AA25" s="1263">
        <f t="shared" si="3"/>
        <v>1</v>
      </c>
      <c r="AB25" s="1263">
        <f t="shared" si="4"/>
        <v>1</v>
      </c>
      <c r="AC25" s="1263">
        <f t="shared" si="5"/>
        <v>1.0309278350515463</v>
      </c>
    </row>
    <row r="26" spans="1:29" ht="15">
      <c r="A26" s="348"/>
      <c r="B26" s="395"/>
      <c r="C26" s="386" t="s">
        <v>3440</v>
      </c>
      <c r="D26" s="387"/>
      <c r="E26" s="386" t="s">
        <v>3440</v>
      </c>
      <c r="F26" s="387"/>
      <c r="G26" s="386" t="s">
        <v>3440</v>
      </c>
      <c r="H26" s="387"/>
      <c r="I26" s="386" t="s">
        <v>3991</v>
      </c>
      <c r="J26" s="387"/>
      <c r="K26" s="592"/>
      <c r="L26" s="2490"/>
      <c r="M26" s="2485"/>
      <c r="N26" s="2485"/>
      <c r="O26" s="2540"/>
      <c r="P26" s="3462"/>
      <c r="Q26" s="1262"/>
      <c r="R26" s="666"/>
      <c r="S26" s="667"/>
      <c r="T26" s="666"/>
      <c r="U26" s="667"/>
      <c r="V26" s="666"/>
      <c r="W26" s="667"/>
      <c r="X26" s="1264"/>
      <c r="Y26" s="3462"/>
      <c r="Z26" s="1263"/>
      <c r="AA26" s="1263">
        <v>1</v>
      </c>
      <c r="AB26" s="1263">
        <v>1</v>
      </c>
      <c r="AC26" s="1263">
        <v>1</v>
      </c>
    </row>
    <row r="27" spans="1:29" s="102" customFormat="1" ht="86.4">
      <c r="A27" s="443"/>
      <c r="B27" s="586" t="s">
        <v>1778</v>
      </c>
      <c r="C27" s="1753" t="str">
        <f>估价对象房地状况!C21</f>
        <v>工商银行、华夏银行；来福士、银座MALL；东直门中学、清华附中朝阳学校；北京中医院大学东直门医院等</v>
      </c>
      <c r="D27" s="389">
        <v>100</v>
      </c>
      <c r="E27" s="3181" t="s">
        <v>3997</v>
      </c>
      <c r="F27" s="389">
        <f>SUMIF(99:99,E28,100:100)-SUMIF(99:99,C28,100:100)+100</f>
        <v>100</v>
      </c>
      <c r="G27" s="391"/>
      <c r="H27" s="389">
        <f>SUMIF(99:99,G28,100:100)-SUMIF(99:99,C28,100:100)+100</f>
        <v>100</v>
      </c>
      <c r="I27" s="393"/>
      <c r="J27" s="389">
        <f>SUMIF(99:99,I28,100:100)-SUMIF(99:99,C28,100:100)+100</f>
        <v>97</v>
      </c>
      <c r="K27" s="593">
        <v>3</v>
      </c>
      <c r="L27" s="2486"/>
      <c r="M27" s="2438"/>
      <c r="N27" s="2438"/>
      <c r="O27" s="2538"/>
      <c r="P27" s="3462"/>
      <c r="Q27" s="530" t="str">
        <f t="shared" si="8"/>
        <v>公共配套设施</v>
      </c>
      <c r="R27" s="663" t="s">
        <v>14</v>
      </c>
      <c r="S27" s="664">
        <f>F27</f>
        <v>100</v>
      </c>
      <c r="T27" s="663" t="s">
        <v>14</v>
      </c>
      <c r="U27" s="664">
        <f>H27</f>
        <v>100</v>
      </c>
      <c r="V27" s="663" t="s">
        <v>14</v>
      </c>
      <c r="W27" s="664">
        <f>J27</f>
        <v>97</v>
      </c>
      <c r="X27" s="665"/>
      <c r="Y27" s="3462"/>
      <c r="Z27" s="50" t="str">
        <f>Q27</f>
        <v>公共配套设施</v>
      </c>
      <c r="AA27" s="1263">
        <f>D27/F27</f>
        <v>1</v>
      </c>
      <c r="AB27" s="1263">
        <f>D27/H27</f>
        <v>1</v>
      </c>
      <c r="AC27" s="1263">
        <f>D27/J27</f>
        <v>1.0309278350515463</v>
      </c>
    </row>
    <row r="28" spans="1:29" s="102" customFormat="1" ht="15">
      <c r="A28" s="443"/>
      <c r="B28" s="395"/>
      <c r="C28" s="386" t="s">
        <v>3440</v>
      </c>
      <c r="D28" s="387"/>
      <c r="E28" s="386" t="s">
        <v>3440</v>
      </c>
      <c r="F28" s="387"/>
      <c r="G28" s="386" t="s">
        <v>3440</v>
      </c>
      <c r="H28" s="387"/>
      <c r="I28" s="386" t="s">
        <v>3991</v>
      </c>
      <c r="J28" s="387"/>
      <c r="K28" s="592"/>
      <c r="L28" s="2486"/>
      <c r="M28" s="2438"/>
      <c r="N28" s="2438"/>
      <c r="O28" s="2538"/>
      <c r="P28" s="3462"/>
      <c r="Q28" s="530"/>
      <c r="R28" s="663"/>
      <c r="S28" s="664"/>
      <c r="T28" s="663"/>
      <c r="U28" s="664"/>
      <c r="V28" s="663"/>
      <c r="W28" s="664"/>
      <c r="X28" s="665"/>
      <c r="Y28" s="3462"/>
      <c r="Z28" s="50"/>
      <c r="AA28" s="1263">
        <v>1</v>
      </c>
      <c r="AB28" s="1263">
        <v>1</v>
      </c>
      <c r="AC28" s="1263">
        <v>1</v>
      </c>
    </row>
    <row r="29" spans="1:29" s="102" customFormat="1" ht="27.6">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6"/>
      <c r="M29" s="2438"/>
      <c r="N29" s="2438"/>
      <c r="O29" s="2538"/>
      <c r="P29" s="3462"/>
      <c r="Q29" s="530" t="str">
        <f t="shared" ref="Q29" si="9">B29</f>
        <v>基础设施水平</v>
      </c>
      <c r="R29" s="663" t="s">
        <v>14</v>
      </c>
      <c r="S29" s="664">
        <f>F29</f>
        <v>100</v>
      </c>
      <c r="T29" s="663" t="s">
        <v>14</v>
      </c>
      <c r="U29" s="664">
        <f>H29</f>
        <v>100</v>
      </c>
      <c r="V29" s="663" t="s">
        <v>14</v>
      </c>
      <c r="W29" s="664">
        <f>J29</f>
        <v>100</v>
      </c>
      <c r="X29" s="665"/>
      <c r="Y29" s="3462"/>
      <c r="Z29" s="50" t="str">
        <f>Q29</f>
        <v>基础设施水平</v>
      </c>
      <c r="AA29" s="1263">
        <f>D29/F29</f>
        <v>1</v>
      </c>
      <c r="AB29" s="1263">
        <f>D29/H29</f>
        <v>1</v>
      </c>
      <c r="AC29" s="1263">
        <f>D29/J29</f>
        <v>1</v>
      </c>
    </row>
    <row r="30" spans="1:29" s="102" customFormat="1" ht="15">
      <c r="A30" s="443"/>
      <c r="B30" s="395"/>
      <c r="C30" s="1825" t="s">
        <v>3971</v>
      </c>
      <c r="D30" s="387"/>
      <c r="E30" s="1825" t="s">
        <v>3971</v>
      </c>
      <c r="F30" s="387"/>
      <c r="G30" s="1825" t="s">
        <v>3971</v>
      </c>
      <c r="H30" s="387"/>
      <c r="I30" s="1825" t="s">
        <v>3971</v>
      </c>
      <c r="J30" s="387"/>
      <c r="K30" s="592"/>
      <c r="L30" s="2486"/>
      <c r="M30" s="2438"/>
      <c r="N30" s="2438"/>
      <c r="O30" s="2538"/>
      <c r="P30" s="3462"/>
      <c r="Q30" s="530"/>
      <c r="R30" s="663"/>
      <c r="S30" s="664"/>
      <c r="T30" s="663"/>
      <c r="U30" s="664"/>
      <c r="V30" s="663"/>
      <c r="W30" s="664"/>
      <c r="X30" s="665"/>
      <c r="Y30" s="3462"/>
      <c r="Z30" s="50"/>
      <c r="AA30" s="1263">
        <v>1</v>
      </c>
      <c r="AB30" s="1263">
        <v>1</v>
      </c>
      <c r="AC30" s="1263">
        <v>1</v>
      </c>
    </row>
    <row r="31" spans="1:29" ht="15" hidden="1">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62"/>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62"/>
      <c r="Z31" s="1263" t="str">
        <f t="shared" ref="Z31:Z45" si="13">Q31</f>
        <v>临街状况</v>
      </c>
      <c r="AA31" s="1263">
        <f t="shared" si="3"/>
        <v>1</v>
      </c>
      <c r="AB31" s="1263">
        <f t="shared" si="4"/>
        <v>1</v>
      </c>
      <c r="AC31" s="1263">
        <f t="shared" si="5"/>
        <v>1</v>
      </c>
    </row>
    <row r="32" spans="1:29" ht="28.8" hidden="1">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62"/>
      <c r="Q32" s="1262" t="str">
        <f t="shared" si="8"/>
        <v>毗邻道路的类型与等级</v>
      </c>
      <c r="R32" s="666" t="s">
        <v>14</v>
      </c>
      <c r="S32" s="667">
        <f t="shared" si="10"/>
        <v>100</v>
      </c>
      <c r="T32" s="666" t="s">
        <v>14</v>
      </c>
      <c r="U32" s="667">
        <f t="shared" si="11"/>
        <v>100</v>
      </c>
      <c r="V32" s="666" t="s">
        <v>14</v>
      </c>
      <c r="W32" s="667">
        <f t="shared" si="12"/>
        <v>100</v>
      </c>
      <c r="X32" s="1264"/>
      <c r="Y32" s="3462"/>
      <c r="Z32" s="1263" t="str">
        <f t="shared" si="13"/>
        <v>毗邻道路的类型与等级</v>
      </c>
      <c r="AA32" s="1263">
        <f t="shared" si="3"/>
        <v>1</v>
      </c>
      <c r="AB32" s="1263">
        <f t="shared" si="4"/>
        <v>1</v>
      </c>
      <c r="AC32" s="1263">
        <f t="shared" si="5"/>
        <v>1</v>
      </c>
    </row>
    <row r="33" spans="1:29" ht="15" hidden="1">
      <c r="A33" s="367"/>
      <c r="B33" s="395"/>
      <c r="C33" s="386"/>
      <c r="D33" s="387"/>
      <c r="E33" s="1757"/>
      <c r="F33" s="387"/>
      <c r="G33" s="1757"/>
      <c r="H33" s="387"/>
      <c r="I33" s="386"/>
      <c r="J33" s="387"/>
      <c r="K33" s="539"/>
      <c r="L33" s="2490"/>
      <c r="M33" s="2485"/>
      <c r="N33" s="2485"/>
      <c r="O33" s="2540"/>
      <c r="P33" s="3462"/>
      <c r="Q33" s="1262"/>
      <c r="R33" s="666"/>
      <c r="S33" s="667"/>
      <c r="T33" s="666"/>
      <c r="U33" s="667"/>
      <c r="V33" s="666"/>
      <c r="W33" s="667"/>
      <c r="X33" s="1264"/>
      <c r="Y33" s="3462"/>
      <c r="Z33" s="1263"/>
      <c r="AA33" s="1263">
        <v>1</v>
      </c>
      <c r="AB33" s="1263">
        <v>1</v>
      </c>
      <c r="AC33" s="1263">
        <v>1</v>
      </c>
    </row>
    <row r="34" spans="1:29" ht="15" hidden="1">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62"/>
      <c r="Q34" s="1262" t="str">
        <f t="shared" si="8"/>
        <v>土地级别</v>
      </c>
      <c r="R34" s="666" t="s">
        <v>14</v>
      </c>
      <c r="S34" s="667">
        <f t="shared" si="10"/>
        <v>100</v>
      </c>
      <c r="T34" s="666" t="s">
        <v>14</v>
      </c>
      <c r="U34" s="667">
        <f t="shared" si="11"/>
        <v>100</v>
      </c>
      <c r="V34" s="666" t="s">
        <v>14</v>
      </c>
      <c r="W34" s="667">
        <f t="shared" si="12"/>
        <v>100</v>
      </c>
      <c r="X34" s="1264"/>
      <c r="Y34" s="3462"/>
      <c r="Z34" s="1263" t="str">
        <f t="shared" si="13"/>
        <v>土地级别</v>
      </c>
      <c r="AA34" s="1263">
        <f t="shared" si="3"/>
        <v>1</v>
      </c>
      <c r="AB34" s="1263">
        <f t="shared" si="4"/>
        <v>1</v>
      </c>
      <c r="AC34" s="1263">
        <f t="shared" si="5"/>
        <v>1</v>
      </c>
    </row>
    <row r="35" spans="1:29" ht="15">
      <c r="A35" s="348"/>
      <c r="B35" s="1065" t="s">
        <v>3972</v>
      </c>
      <c r="C35" s="594" t="s">
        <v>3973</v>
      </c>
      <c r="D35" s="374">
        <v>100</v>
      </c>
      <c r="E35" s="3182" t="s">
        <v>3998</v>
      </c>
      <c r="F35" s="374">
        <f>SUMIF(109:109,E35,110:110)-SUMIF(109:109,C35,110:110)+100</f>
        <v>94</v>
      </c>
      <c r="G35" s="3182" t="s">
        <v>3998</v>
      </c>
      <c r="H35" s="374">
        <f>SUMIF(109:109,G35,110:110)-SUMIF(109:109,C35,110:110)+100</f>
        <v>94</v>
      </c>
      <c r="I35" s="3182" t="s">
        <v>3980</v>
      </c>
      <c r="J35" s="374">
        <f>SUMIF(109:109,I35,110:110)-SUMIF(109:109,C35,110:110)+100</f>
        <v>94</v>
      </c>
      <c r="K35" s="539"/>
      <c r="L35" s="2490"/>
      <c r="M35" s="2485"/>
      <c r="N35" s="2485"/>
      <c r="O35" s="2540"/>
      <c r="P35" s="3462"/>
      <c r="Q35" s="1262" t="str">
        <f t="shared" si="8"/>
        <v>距市中心位置</v>
      </c>
      <c r="R35" s="666" t="s">
        <v>14</v>
      </c>
      <c r="S35" s="667">
        <f t="shared" si="10"/>
        <v>94</v>
      </c>
      <c r="T35" s="666" t="s">
        <v>14</v>
      </c>
      <c r="U35" s="667">
        <f t="shared" si="11"/>
        <v>94</v>
      </c>
      <c r="V35" s="666" t="s">
        <v>14</v>
      </c>
      <c r="W35" s="667">
        <f t="shared" si="12"/>
        <v>94</v>
      </c>
      <c r="X35" s="1264"/>
      <c r="Y35" s="3462"/>
      <c r="Z35" s="1263" t="str">
        <f t="shared" si="13"/>
        <v>距市中心位置</v>
      </c>
      <c r="AA35" s="1263">
        <f t="shared" si="3"/>
        <v>1.0638297872340425</v>
      </c>
      <c r="AB35" s="1263">
        <f t="shared" si="4"/>
        <v>1.0638297872340425</v>
      </c>
      <c r="AC35" s="1263">
        <f t="shared" si="5"/>
        <v>1.0638297872340425</v>
      </c>
    </row>
    <row r="36" spans="1:29" ht="15">
      <c r="A36" s="595"/>
      <c r="B36" s="1066"/>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512" t="s">
        <v>1696</v>
      </c>
      <c r="Q36" s="1262">
        <f t="shared" si="8"/>
        <v>0</v>
      </c>
      <c r="R36" s="666" t="s">
        <v>14</v>
      </c>
      <c r="S36" s="667">
        <f t="shared" si="10"/>
        <v>100</v>
      </c>
      <c r="T36" s="666" t="s">
        <v>14</v>
      </c>
      <c r="U36" s="667">
        <f t="shared" si="11"/>
        <v>100</v>
      </c>
      <c r="V36" s="666" t="s">
        <v>14</v>
      </c>
      <c r="W36" s="667">
        <f t="shared" si="12"/>
        <v>100</v>
      </c>
      <c r="X36" s="1264"/>
      <c r="Y36" s="3466" t="s">
        <v>1696</v>
      </c>
      <c r="Z36" s="1263">
        <f t="shared" si="13"/>
        <v>0</v>
      </c>
      <c r="AA36" s="1263">
        <f t="shared" si="3"/>
        <v>1</v>
      </c>
      <c r="AB36" s="1263">
        <f t="shared" si="4"/>
        <v>1</v>
      </c>
      <c r="AC36" s="1263">
        <f t="shared" si="5"/>
        <v>1</v>
      </c>
    </row>
    <row r="37" spans="1:29" s="408" customFormat="1" ht="15.6" thickBot="1">
      <c r="A37" s="596"/>
      <c r="B37" s="1067"/>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66"/>
      <c r="Q37" s="1262">
        <f t="shared" si="8"/>
        <v>0</v>
      </c>
      <c r="R37" s="668" t="s">
        <v>14</v>
      </c>
      <c r="S37" s="669">
        <f t="shared" si="10"/>
        <v>100</v>
      </c>
      <c r="T37" s="668" t="s">
        <v>14</v>
      </c>
      <c r="U37" s="669">
        <f t="shared" si="11"/>
        <v>100</v>
      </c>
      <c r="V37" s="668" t="s">
        <v>14</v>
      </c>
      <c r="W37" s="669">
        <f t="shared" si="12"/>
        <v>100</v>
      </c>
      <c r="X37" s="670"/>
      <c r="Y37" s="3466"/>
      <c r="Z37" s="671">
        <f t="shared" si="13"/>
        <v>0</v>
      </c>
      <c r="AA37" s="1263">
        <f t="shared" si="3"/>
        <v>1</v>
      </c>
      <c r="AB37" s="1263">
        <f t="shared" si="4"/>
        <v>1</v>
      </c>
      <c r="AC37" s="1263">
        <f t="shared" si="5"/>
        <v>1</v>
      </c>
    </row>
    <row r="38" spans="1:29" ht="15.6">
      <c r="A38" s="409" t="s">
        <v>1694</v>
      </c>
      <c r="B38" s="395" t="s">
        <v>1873</v>
      </c>
      <c r="C38" s="599">
        <v>3204.37</v>
      </c>
      <c r="D38" s="405">
        <v>100</v>
      </c>
      <c r="E38" s="599">
        <f>住宅!D9</f>
        <v>42734.16</v>
      </c>
      <c r="F38" s="405">
        <f>LOOKUP(E38,116:116,117:117)-LOOKUP(C38,116:116,117:117)+100</f>
        <v>104</v>
      </c>
      <c r="G38" s="599">
        <f>住宅!D10</f>
        <v>39303.71</v>
      </c>
      <c r="H38" s="405">
        <f>LOOKUP(G38,116:116,117:117)-LOOKUP(C38,116:116,117:117)+100</f>
        <v>102</v>
      </c>
      <c r="I38" s="462">
        <f>住宅!D38</f>
        <v>73887.38</v>
      </c>
      <c r="J38" s="405">
        <f>LOOKUP(I38,116:116,117:117)-LOOKUP(C38,116:116,117:117)+100</f>
        <v>106</v>
      </c>
      <c r="K38" s="539"/>
      <c r="L38" s="2490"/>
      <c r="M38" s="2485"/>
      <c r="N38" s="2485"/>
      <c r="O38" s="2540"/>
      <c r="P38" s="3466"/>
      <c r="Q38" s="1262" t="str">
        <f>B38</f>
        <v>宗地面积</v>
      </c>
      <c r="R38" s="666" t="s">
        <v>14</v>
      </c>
      <c r="S38" s="667">
        <f t="shared" si="10"/>
        <v>104</v>
      </c>
      <c r="T38" s="666" t="s">
        <v>14</v>
      </c>
      <c r="U38" s="667">
        <f t="shared" si="11"/>
        <v>102</v>
      </c>
      <c r="V38" s="666" t="s">
        <v>14</v>
      </c>
      <c r="W38" s="667">
        <f t="shared" si="12"/>
        <v>106</v>
      </c>
      <c r="X38" s="1264"/>
      <c r="Y38" s="3466"/>
      <c r="Z38" s="1263" t="str">
        <f t="shared" si="13"/>
        <v>宗地面积</v>
      </c>
      <c r="AA38" s="1263">
        <f t="shared" si="3"/>
        <v>0.96153846153846156</v>
      </c>
      <c r="AB38" s="1263">
        <f t="shared" si="4"/>
        <v>0.98039215686274506</v>
      </c>
      <c r="AC38" s="1263">
        <f t="shared" si="5"/>
        <v>0.94339622641509435</v>
      </c>
    </row>
    <row r="39" spans="1:29" ht="15">
      <c r="A39" s="409"/>
      <c r="B39" s="364" t="s">
        <v>1874</v>
      </c>
      <c r="C39" s="1759" t="s">
        <v>3974</v>
      </c>
      <c r="D39" s="374">
        <v>100</v>
      </c>
      <c r="E39" s="1759" t="s">
        <v>3974</v>
      </c>
      <c r="F39" s="374">
        <f>SUMIF(118:118,E39,119:119)-SUMIF(118:118,C39,119:119)+100</f>
        <v>100</v>
      </c>
      <c r="G39" s="1759" t="s">
        <v>3974</v>
      </c>
      <c r="H39" s="374">
        <f>SUMIF(118:118,G39,119:119)-SUMIF(118:118,C39,119:119)+100</f>
        <v>100</v>
      </c>
      <c r="I39" s="1759" t="s">
        <v>4000</v>
      </c>
      <c r="J39" s="374">
        <f>SUMIF(118:118,I39,119:119)-SUMIF(118:118,C39,119:119)+100</f>
        <v>96</v>
      </c>
      <c r="K39" s="538">
        <v>2</v>
      </c>
      <c r="L39" s="2490"/>
      <c r="M39" s="2485"/>
      <c r="N39" s="2485"/>
      <c r="O39" s="2540"/>
      <c r="P39" s="3466"/>
      <c r="Q39" s="1262" t="str">
        <f t="shared" ref="Q39:Q45" si="14">B39</f>
        <v>宗地形状</v>
      </c>
      <c r="R39" s="666" t="s">
        <v>14</v>
      </c>
      <c r="S39" s="667">
        <f t="shared" si="10"/>
        <v>100</v>
      </c>
      <c r="T39" s="666" t="s">
        <v>14</v>
      </c>
      <c r="U39" s="667">
        <f t="shared" si="11"/>
        <v>100</v>
      </c>
      <c r="V39" s="666" t="s">
        <v>14</v>
      </c>
      <c r="W39" s="667">
        <f t="shared" si="12"/>
        <v>96</v>
      </c>
      <c r="X39" s="1264"/>
      <c r="Y39" s="3466"/>
      <c r="Z39" s="1263" t="str">
        <f t="shared" si="13"/>
        <v>宗地形状</v>
      </c>
      <c r="AA39" s="1263">
        <f t="shared" si="3"/>
        <v>1</v>
      </c>
      <c r="AB39" s="1263">
        <f t="shared" si="4"/>
        <v>1</v>
      </c>
      <c r="AC39" s="1263">
        <f t="shared" si="5"/>
        <v>1.0416666666666667</v>
      </c>
    </row>
    <row r="40" spans="1:29" ht="15">
      <c r="A40" s="409"/>
      <c r="B40" s="364" t="s">
        <v>1875</v>
      </c>
      <c r="C40" s="1759" t="s">
        <v>3975</v>
      </c>
      <c r="D40" s="374">
        <v>100</v>
      </c>
      <c r="E40" s="1759" t="s">
        <v>3975</v>
      </c>
      <c r="F40" s="374">
        <f>SUMIF(120:120,E40,121:121)-SUMIF(120:120,C40,121:121)+100</f>
        <v>100</v>
      </c>
      <c r="G40" s="1759" t="s">
        <v>3975</v>
      </c>
      <c r="H40" s="374">
        <f>SUMIF(120:120,G40,121:121)-SUMIF(120:120,C40,121:121)+100</f>
        <v>100</v>
      </c>
      <c r="I40" s="1759" t="s">
        <v>3975</v>
      </c>
      <c r="J40" s="374">
        <f>SUMIF(120:120,I40,121:121)-SUMIF(120:120,C40,121:121)+100</f>
        <v>100</v>
      </c>
      <c r="K40" s="538">
        <v>2</v>
      </c>
      <c r="L40" s="2490"/>
      <c r="M40" s="2485"/>
      <c r="N40" s="2485"/>
      <c r="O40" s="2540"/>
      <c r="P40" s="3466"/>
      <c r="Q40" s="1262" t="str">
        <f t="shared" si="14"/>
        <v>临街宽度及深度</v>
      </c>
      <c r="R40" s="666" t="s">
        <v>14</v>
      </c>
      <c r="S40" s="667">
        <f t="shared" si="10"/>
        <v>100</v>
      </c>
      <c r="T40" s="666" t="s">
        <v>14</v>
      </c>
      <c r="U40" s="667">
        <f t="shared" si="11"/>
        <v>100</v>
      </c>
      <c r="V40" s="666" t="s">
        <v>14</v>
      </c>
      <c r="W40" s="667">
        <f t="shared" si="12"/>
        <v>100</v>
      </c>
      <c r="X40" s="1264"/>
      <c r="Y40" s="3466"/>
      <c r="Z40" s="1263" t="str">
        <f t="shared" si="13"/>
        <v>临街宽度及深度</v>
      </c>
      <c r="AA40" s="1263">
        <f t="shared" si="3"/>
        <v>1</v>
      </c>
      <c r="AB40" s="1263">
        <f t="shared" si="4"/>
        <v>1</v>
      </c>
      <c r="AC40" s="1263">
        <f t="shared" si="5"/>
        <v>1</v>
      </c>
    </row>
    <row r="41" spans="1:29" s="102" customFormat="1" ht="15">
      <c r="A41" s="410"/>
      <c r="B41" s="364" t="s">
        <v>1876</v>
      </c>
      <c r="C41" s="1827" t="s">
        <v>3976</v>
      </c>
      <c r="D41" s="119">
        <v>100</v>
      </c>
      <c r="E41" s="1827" t="s">
        <v>3971</v>
      </c>
      <c r="F41" s="374">
        <f>SUMIF(122:122,E41,123:123)-SUMIF(122:122,C41,123:123)+100</f>
        <v>101</v>
      </c>
      <c r="G41" s="1827" t="s">
        <v>3971</v>
      </c>
      <c r="H41" s="374">
        <f>SUMIF(122:122,G41,123:123)-SUMIF(122:122,C41,123:123)+100</f>
        <v>101</v>
      </c>
      <c r="I41" s="1827" t="s">
        <v>3971</v>
      </c>
      <c r="J41" s="374">
        <f>SUMIF(122:122,I41,123:123)-SUMIF(122:122,C41,123:123)+100</f>
        <v>101</v>
      </c>
      <c r="K41" s="538">
        <v>1</v>
      </c>
      <c r="L41" s="2486"/>
      <c r="M41" s="2438"/>
      <c r="N41" s="2438"/>
      <c r="O41" s="2538"/>
      <c r="P41" s="3466"/>
      <c r="Q41" s="1262" t="str">
        <f t="shared" si="14"/>
        <v>宗地开发程度</v>
      </c>
      <c r="R41" s="663" t="s">
        <v>14</v>
      </c>
      <c r="S41" s="664">
        <f t="shared" si="10"/>
        <v>101</v>
      </c>
      <c r="T41" s="663" t="s">
        <v>14</v>
      </c>
      <c r="U41" s="664">
        <f t="shared" si="11"/>
        <v>101</v>
      </c>
      <c r="V41" s="663" t="s">
        <v>14</v>
      </c>
      <c r="W41" s="664">
        <f t="shared" si="12"/>
        <v>101</v>
      </c>
      <c r="X41" s="665"/>
      <c r="Y41" s="3466"/>
      <c r="Z41" s="50" t="str">
        <f t="shared" si="13"/>
        <v>宗地开发程度</v>
      </c>
      <c r="AA41" s="50">
        <f t="shared" si="3"/>
        <v>0.99009900990099009</v>
      </c>
      <c r="AB41" s="50">
        <f t="shared" si="4"/>
        <v>0.99009900990099009</v>
      </c>
      <c r="AC41" s="50">
        <f t="shared" si="5"/>
        <v>0.99009900990099009</v>
      </c>
    </row>
    <row r="42" spans="1:29" ht="15">
      <c r="A42" s="409"/>
      <c r="B42" s="364" t="s">
        <v>1877</v>
      </c>
      <c r="C42" s="1759" t="s">
        <v>3440</v>
      </c>
      <c r="D42" s="374">
        <v>100</v>
      </c>
      <c r="E42" s="1759" t="s">
        <v>3440</v>
      </c>
      <c r="F42" s="374">
        <f>SUMIF(124:124,E42,125:125)-SUMIF(124:124,C42,125:125)+100</f>
        <v>100</v>
      </c>
      <c r="G42" s="1759" t="s">
        <v>3440</v>
      </c>
      <c r="H42" s="374">
        <f>SUMIF(124:124,G42,125:125)-SUMIF(124:124,C42,125:125)+100</f>
        <v>100</v>
      </c>
      <c r="I42" s="1759" t="s">
        <v>3440</v>
      </c>
      <c r="J42" s="374">
        <f>SUMIF(124:124,I42,125:125)-SUMIF(124:124,C42,125:125)+100</f>
        <v>100</v>
      </c>
      <c r="K42" s="538">
        <v>2</v>
      </c>
      <c r="L42" s="2490"/>
      <c r="M42" s="2485"/>
      <c r="N42" s="2485"/>
      <c r="O42" s="2540"/>
      <c r="P42" s="3466" t="s">
        <v>1696</v>
      </c>
      <c r="Q42" s="1262" t="str">
        <f t="shared" si="14"/>
        <v>工程地质条件</v>
      </c>
      <c r="R42" s="666" t="s">
        <v>14</v>
      </c>
      <c r="S42" s="667">
        <f t="shared" si="10"/>
        <v>100</v>
      </c>
      <c r="T42" s="666" t="s">
        <v>14</v>
      </c>
      <c r="U42" s="667">
        <f t="shared" si="11"/>
        <v>100</v>
      </c>
      <c r="V42" s="666" t="s">
        <v>14</v>
      </c>
      <c r="W42" s="667">
        <f t="shared" si="12"/>
        <v>100</v>
      </c>
      <c r="X42" s="1264"/>
      <c r="Y42" s="3466" t="s">
        <v>1696</v>
      </c>
      <c r="Z42" s="1263" t="str">
        <f t="shared" si="13"/>
        <v>工程地质条件</v>
      </c>
      <c r="AA42" s="1263">
        <f t="shared" si="3"/>
        <v>1</v>
      </c>
      <c r="AB42" s="1263">
        <f t="shared" si="4"/>
        <v>1</v>
      </c>
      <c r="AC42" s="1263">
        <f t="shared" si="5"/>
        <v>1</v>
      </c>
    </row>
    <row r="43" spans="1:29" ht="15">
      <c r="A43" s="409"/>
      <c r="B43" s="1066"/>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66"/>
      <c r="Q43" s="1262">
        <f t="shared" si="14"/>
        <v>0</v>
      </c>
      <c r="R43" s="666" t="s">
        <v>14</v>
      </c>
      <c r="S43" s="667">
        <f t="shared" si="10"/>
        <v>100</v>
      </c>
      <c r="T43" s="666" t="s">
        <v>14</v>
      </c>
      <c r="U43" s="667">
        <f t="shared" si="11"/>
        <v>100</v>
      </c>
      <c r="V43" s="666" t="s">
        <v>14</v>
      </c>
      <c r="W43" s="667">
        <f t="shared" si="12"/>
        <v>100</v>
      </c>
      <c r="X43" s="1264"/>
      <c r="Y43" s="3466"/>
      <c r="Z43" s="1263">
        <f t="shared" si="13"/>
        <v>0</v>
      </c>
      <c r="AA43" s="1263">
        <f t="shared" si="3"/>
        <v>1</v>
      </c>
      <c r="AB43" s="1263">
        <f t="shared" si="4"/>
        <v>1</v>
      </c>
      <c r="AC43" s="1263">
        <f t="shared" si="5"/>
        <v>1</v>
      </c>
    </row>
    <row r="44" spans="1:29" ht="15">
      <c r="A44" s="409"/>
      <c r="B44" s="1066"/>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66"/>
      <c r="Q44" s="1262">
        <f t="shared" si="14"/>
        <v>0</v>
      </c>
      <c r="R44" s="666" t="s">
        <v>14</v>
      </c>
      <c r="S44" s="667">
        <f t="shared" si="10"/>
        <v>100</v>
      </c>
      <c r="T44" s="666" t="s">
        <v>14</v>
      </c>
      <c r="U44" s="667">
        <f t="shared" si="11"/>
        <v>100</v>
      </c>
      <c r="V44" s="666" t="s">
        <v>14</v>
      </c>
      <c r="W44" s="667">
        <f t="shared" si="12"/>
        <v>100</v>
      </c>
      <c r="X44" s="1264"/>
      <c r="Y44" s="3466"/>
      <c r="Z44" s="1263">
        <f t="shared" si="13"/>
        <v>0</v>
      </c>
      <c r="AA44" s="1263">
        <f t="shared" si="3"/>
        <v>1</v>
      </c>
      <c r="AB44" s="1263">
        <f t="shared" si="4"/>
        <v>1</v>
      </c>
      <c r="AC44" s="1263">
        <f t="shared" si="5"/>
        <v>1</v>
      </c>
    </row>
    <row r="45" spans="1:29" s="408" customFormat="1" ht="15.6" thickBot="1">
      <c r="A45" s="406"/>
      <c r="B45" s="1066"/>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66"/>
      <c r="Q45" s="1262">
        <f t="shared" si="14"/>
        <v>0</v>
      </c>
      <c r="R45" s="668" t="s">
        <v>14</v>
      </c>
      <c r="S45" s="669">
        <f t="shared" si="10"/>
        <v>100</v>
      </c>
      <c r="T45" s="668" t="s">
        <v>14</v>
      </c>
      <c r="U45" s="669">
        <f t="shared" si="11"/>
        <v>100</v>
      </c>
      <c r="V45" s="668" t="s">
        <v>14</v>
      </c>
      <c r="W45" s="669">
        <f t="shared" si="12"/>
        <v>100</v>
      </c>
      <c r="X45" s="670"/>
      <c r="Y45" s="3466"/>
      <c r="Z45" s="671">
        <f t="shared" si="13"/>
        <v>0</v>
      </c>
      <c r="AA45" s="1263">
        <f t="shared" si="3"/>
        <v>1</v>
      </c>
      <c r="AB45" s="1263">
        <f t="shared" si="4"/>
        <v>1</v>
      </c>
      <c r="AC45" s="1263">
        <f t="shared" si="5"/>
        <v>1</v>
      </c>
    </row>
    <row r="46" spans="1:29" ht="14.4">
      <c r="A46" s="416" t="s">
        <v>1844</v>
      </c>
      <c r="B46" s="1829" t="s">
        <v>1878</v>
      </c>
      <c r="C46" s="602" t="s">
        <v>0</v>
      </c>
      <c r="D46" s="418"/>
      <c r="E46" s="419">
        <f>住宅!T9</f>
        <v>89234</v>
      </c>
      <c r="F46" s="420"/>
      <c r="G46" s="421">
        <f>住宅!T10</f>
        <v>95047</v>
      </c>
      <c r="H46" s="422"/>
      <c r="I46" s="419">
        <f>住宅!T38</f>
        <v>88607</v>
      </c>
      <c r="J46" s="422"/>
      <c r="K46" s="673"/>
      <c r="L46" s="2492"/>
      <c r="M46" s="2485"/>
      <c r="N46" s="2485"/>
      <c r="O46" s="2485"/>
      <c r="P46" s="3460" t="str">
        <f>A46</f>
        <v>成交单价</v>
      </c>
      <c r="Q46" s="3460"/>
      <c r="R46" s="3455">
        <f>E46</f>
        <v>89234</v>
      </c>
      <c r="S46" s="3455"/>
      <c r="T46" s="3455">
        <f>G46</f>
        <v>95047</v>
      </c>
      <c r="U46" s="3455"/>
      <c r="V46" s="3455">
        <f>I46</f>
        <v>88607</v>
      </c>
      <c r="W46" s="3455"/>
      <c r="X46" s="385"/>
      <c r="Y46" s="672"/>
      <c r="Z46" s="385"/>
      <c r="AA46" s="385"/>
      <c r="AB46" s="385"/>
      <c r="AC46" s="385"/>
    </row>
    <row r="47" spans="1:29" ht="15" thickBot="1">
      <c r="A47" s="423" t="s">
        <v>1793</v>
      </c>
      <c r="B47" s="603"/>
      <c r="C47" s="426">
        <f>R48</f>
        <v>73526</v>
      </c>
      <c r="D47" s="2140" t="s">
        <v>2135</v>
      </c>
      <c r="E47" s="426">
        <f>R47</f>
        <v>70000</v>
      </c>
      <c r="F47" s="2141"/>
      <c r="G47" s="425">
        <f>T47</f>
        <v>76022</v>
      </c>
      <c r="H47" s="2141"/>
      <c r="I47" s="426">
        <f>V47</f>
        <v>74556</v>
      </c>
      <c r="J47" s="2141"/>
      <c r="K47" s="2143">
        <f>F47+H47+J47</f>
        <v>0</v>
      </c>
      <c r="L47" s="2492"/>
      <c r="M47" s="2485"/>
      <c r="N47" s="2485"/>
      <c r="O47" s="2485"/>
      <c r="P47" s="3460" t="str">
        <f>A47</f>
        <v>比较价值（元/平方米）</v>
      </c>
      <c r="Q47" s="3460"/>
      <c r="R47" s="3514">
        <f>ROUND(PRODUCT(R46,AA7:AA45),0)</f>
        <v>70000</v>
      </c>
      <c r="S47" s="3514"/>
      <c r="T47" s="3514">
        <f>ROUND(PRODUCT(T46,AB7:AB45),0)</f>
        <v>76022</v>
      </c>
      <c r="U47" s="3514"/>
      <c r="V47" s="3514">
        <f>ROUND(PRODUCT(V46,AC7:AC45),0)</f>
        <v>74556</v>
      </c>
      <c r="W47" s="3514"/>
      <c r="X47" s="385"/>
      <c r="Y47" s="385"/>
      <c r="Z47" s="385"/>
      <c r="AA47" s="385"/>
      <c r="AB47" s="385"/>
      <c r="AC47" s="385"/>
    </row>
    <row r="48" spans="1:29" ht="15" thickBot="1">
      <c r="A48" s="427" t="s">
        <v>1879</v>
      </c>
      <c r="B48" s="428"/>
      <c r="C48" s="429">
        <f>R48</f>
        <v>73526</v>
      </c>
      <c r="D48" s="429"/>
      <c r="E48" s="429"/>
      <c r="F48" s="429"/>
      <c r="G48" s="429"/>
      <c r="H48" s="429"/>
      <c r="I48" s="429"/>
      <c r="J48" s="429"/>
      <c r="K48" s="674"/>
      <c r="L48" s="2492"/>
      <c r="M48" s="2485"/>
      <c r="N48" s="2485"/>
      <c r="O48" s="2485"/>
      <c r="P48" s="3457" t="str">
        <f>A48</f>
        <v>估价对象XX用房的比较价值（楼面单价，元/平方米）</v>
      </c>
      <c r="Q48" s="3458"/>
      <c r="R48" s="3515">
        <f>ROUND(IF(D47="简单平均",AVERAGE(R47:W47),R47*F47+T47*H47+V47*J47),0)</f>
        <v>73526</v>
      </c>
      <c r="S48" s="3515"/>
      <c r="T48" s="3515"/>
      <c r="U48" s="3515"/>
      <c r="V48" s="3515"/>
      <c r="W48" s="351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f>IF(E46&lt;E47,E47/E46-1,E46/E47-1)</f>
        <v>0.27477142857142867</v>
      </c>
      <c r="F51" s="435" t="str">
        <f>IF(OR(E51&gt;=0.3,E51&lt;=-0.3),"超过30%","")</f>
        <v/>
      </c>
      <c r="G51" s="434">
        <f>IF(G46&lt;G47,G47/G46-1,G46/G47-1)</f>
        <v>0.25025650469600902</v>
      </c>
      <c r="H51" s="435" t="str">
        <f>IF(OR(G51&gt;=0.3,G51&lt;=-0.3),"超过30%","")</f>
        <v/>
      </c>
      <c r="I51" s="434">
        <f>IF(I46&lt;I47,I47/I46-1,I46/I47-1)</f>
        <v>0.18846236386072213</v>
      </c>
      <c r="J51" s="435"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f>IF(E47&lt;G47,G47/E47-1,E47/G47-1)</f>
        <v>8.6028571428571343E-2</v>
      </c>
      <c r="F52" s="435" t="str">
        <f>IF(OR(E52&gt;=0.2,E52&lt;=-0.2),"超过20%","")</f>
        <v/>
      </c>
      <c r="G52" s="434">
        <f>IF(G47&lt;I47,I47/G47-1,G47/I47-1)</f>
        <v>1.966307205322182E-2</v>
      </c>
      <c r="H52" s="435" t="str">
        <f>IF(OR(G52&gt;=0.2,G52&lt;=-0.2),"超过20%","")</f>
        <v/>
      </c>
      <c r="I52" s="434">
        <f>IF(I47&lt;E47,E47/I47-1,I47/E47-1)</f>
        <v>6.5085714285714191E-2</v>
      </c>
      <c r="J52" s="435"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f>IF(E46&lt;G46,G46/E46-1,E46/G46-1)</f>
        <v>6.5143331017325279E-2</v>
      </c>
      <c r="F53" s="435" t="str">
        <f>IF(OR(E53&gt;=0.3,E53&lt;=-0.3),"超过30%","")</f>
        <v/>
      </c>
      <c r="G53" s="434">
        <f>IF(G46&lt;I46,I46/G46-1,G46/I46-1)</f>
        <v>7.2680487997562215E-2</v>
      </c>
      <c r="H53" s="435" t="str">
        <f>IF(OR(G53&gt;=0.3,G53&lt;=-0.3),"超过30%","")</f>
        <v/>
      </c>
      <c r="I53" s="434">
        <f>IF(I46&lt;E46,E46/I46-1,I46/E46-1)</f>
        <v>7.0761903687066585E-3</v>
      </c>
      <c r="J53" s="435"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1880</v>
      </c>
      <c r="B55" s="605" t="s">
        <v>1881</v>
      </c>
      <c r="C55" s="1830" t="s">
        <v>1882</v>
      </c>
      <c r="D55" s="1831" t="s">
        <v>1883</v>
      </c>
      <c r="E55" s="606" t="s">
        <v>1884</v>
      </c>
      <c r="F55" s="836" t="s">
        <v>1885</v>
      </c>
      <c r="G55" s="3443" t="s">
        <v>1886</v>
      </c>
      <c r="H55" s="3516"/>
      <c r="I55" s="127" t="s">
        <v>1887</v>
      </c>
      <c r="J55" s="1832">
        <f>项目基本情况!F35</f>
        <v>0</v>
      </c>
      <c r="K55" s="1833" t="s">
        <v>1888</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1889</v>
      </c>
      <c r="B56" s="609">
        <f>C48</f>
        <v>73526</v>
      </c>
      <c r="C56" s="610">
        <v>1</v>
      </c>
      <c r="D56" s="889">
        <v>1</v>
      </c>
      <c r="E56" s="610">
        <f>'数据-汇总表'!E8+'数据-汇总表'!E9</f>
        <v>182.59</v>
      </c>
      <c r="F56" s="832">
        <f t="shared" ref="F56:F64" si="15">ROUND(B56*E56/10000,0)</f>
        <v>1343</v>
      </c>
      <c r="G56" s="3442"/>
      <c r="H56" s="3460"/>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1890</v>
      </c>
      <c r="B57" s="210">
        <f>ROUND($C$48*C57*D57,0)</f>
        <v>0</v>
      </c>
      <c r="C57" s="163">
        <f t="shared" ref="C57:C64" si="16">IF($C$55="北京市系数",I57,J57)</f>
        <v>0</v>
      </c>
      <c r="D57" s="890">
        <v>0.25</v>
      </c>
      <c r="E57" s="614"/>
      <c r="F57" s="832">
        <f t="shared" si="15"/>
        <v>0</v>
      </c>
      <c r="G57" s="2748" t="s">
        <v>1891</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1892</v>
      </c>
      <c r="B58" s="210">
        <f t="shared" ref="B58:B64" si="17">ROUND($C$48*C58*D58,0)</f>
        <v>0</v>
      </c>
      <c r="C58" s="163">
        <f t="shared" si="16"/>
        <v>0</v>
      </c>
      <c r="D58" s="890">
        <v>0.25</v>
      </c>
      <c r="E58" s="614"/>
      <c r="F58" s="832">
        <f t="shared" si="15"/>
        <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1893</v>
      </c>
      <c r="B59" s="210">
        <f t="shared" si="17"/>
        <v>0</v>
      </c>
      <c r="C59" s="163">
        <f t="shared" si="16"/>
        <v>0</v>
      </c>
      <c r="D59" s="890">
        <v>0.25</v>
      </c>
      <c r="E59" s="614"/>
      <c r="F59" s="832">
        <f t="shared" si="15"/>
        <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1894</v>
      </c>
      <c r="B60" s="210">
        <f t="shared" si="17"/>
        <v>0</v>
      </c>
      <c r="C60" s="163">
        <f t="shared" si="16"/>
        <v>0</v>
      </c>
      <c r="D60" s="890">
        <v>0.25</v>
      </c>
      <c r="E60" s="209">
        <f>'数据-汇总表'!E11</f>
        <v>0</v>
      </c>
      <c r="F60" s="832">
        <f t="shared" si="15"/>
        <v>0</v>
      </c>
      <c r="G60" s="1834" t="s">
        <v>1895</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1896</v>
      </c>
      <c r="B61" s="210">
        <f t="shared" si="17"/>
        <v>0</v>
      </c>
      <c r="C61" s="163">
        <f t="shared" si="16"/>
        <v>0</v>
      </c>
      <c r="D61" s="890">
        <v>0.25</v>
      </c>
      <c r="E61" s="209">
        <f>'数据-汇总表'!E12</f>
        <v>0</v>
      </c>
      <c r="F61" s="832">
        <f t="shared" si="15"/>
        <v>0</v>
      </c>
      <c r="G61" s="838" t="s">
        <v>1897</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1898</v>
      </c>
      <c r="B62" s="210">
        <f t="shared" si="17"/>
        <v>3676</v>
      </c>
      <c r="C62" s="163">
        <f t="shared" si="16"/>
        <v>0.2</v>
      </c>
      <c r="D62" s="890">
        <v>0.25</v>
      </c>
      <c r="E62" s="209">
        <f>'数据-汇总表'!E13</f>
        <v>0</v>
      </c>
      <c r="F62" s="832">
        <f t="shared" si="15"/>
        <v>0</v>
      </c>
      <c r="G62" s="838" t="s">
        <v>1899</v>
      </c>
      <c r="H62" s="833" t="str">
        <f>IF(G62="商业",项目基本情况!B37,IF(G62="办公",项目基本情况!C37,IF(G62="住宅",项目基本情况!D37,项目基本情况!E37)))</f>
        <v>二级</v>
      </c>
      <c r="I62" s="837">
        <f>SUMIF(修正!A57:A68,H62,修正!G57:G68)</f>
        <v>0.2</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1900</v>
      </c>
      <c r="B63" s="210">
        <f t="shared" si="17"/>
        <v>0</v>
      </c>
      <c r="C63" s="163">
        <f t="shared" si="16"/>
        <v>0</v>
      </c>
      <c r="D63" s="890">
        <v>0.25</v>
      </c>
      <c r="E63" s="209">
        <f>'数据-汇总表'!E14</f>
        <v>0</v>
      </c>
      <c r="F63" s="832">
        <f t="shared" si="15"/>
        <v>0</v>
      </c>
      <c r="G63" s="1834" t="s">
        <v>1891</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1901</v>
      </c>
      <c r="B64" s="210">
        <f t="shared" si="17"/>
        <v>0</v>
      </c>
      <c r="C64" s="163">
        <f t="shared" si="16"/>
        <v>0</v>
      </c>
      <c r="D64" s="890">
        <v>0.25</v>
      </c>
      <c r="E64" s="209">
        <f>'数据-汇总表'!E15</f>
        <v>0</v>
      </c>
      <c r="F64" s="832">
        <f t="shared" si="15"/>
        <v>0</v>
      </c>
      <c r="G64" s="1835" t="s">
        <v>1895</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1902</v>
      </c>
      <c r="B65" s="616" t="s">
        <v>22</v>
      </c>
      <c r="C65" s="616" t="s">
        <v>23</v>
      </c>
      <c r="D65" s="616" t="s">
        <v>392</v>
      </c>
      <c r="E65" s="616">
        <f>IF(B46="楼面地价",SUM(E56:E64),'数据-汇总表'!D3)</f>
        <v>182.59</v>
      </c>
      <c r="F65" s="617">
        <f>IF(B46="楼面地价",SUM(F56:F64),ROUND(C48*E65/10000,0))</f>
        <v>1343</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5"/>
      <c r="C66" s="656"/>
      <c r="D66" s="385"/>
      <c r="E66" s="385"/>
      <c r="F66" s="385"/>
      <c r="G66" s="385"/>
      <c r="H66" s="385"/>
      <c r="I66" s="385"/>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5"/>
      <c r="B67" s="655"/>
      <c r="C67" s="655" t="str">
        <f>YEAR(C7)&amp;"-"&amp;MONTH(C7)&amp;"-1"</f>
        <v>2025-6-1</v>
      </c>
      <c r="D67" s="655">
        <f>EDATE(C67,-3)</f>
        <v>45717</v>
      </c>
      <c r="E67" s="655">
        <f>EDATE(D67,-3)</f>
        <v>45627</v>
      </c>
      <c r="F67" s="655">
        <f t="shared" ref="F67:O67" si="18">EDATE(E67,-3)</f>
        <v>45536</v>
      </c>
      <c r="G67" s="655">
        <f t="shared" si="18"/>
        <v>45444</v>
      </c>
      <c r="H67" s="655">
        <f t="shared" si="18"/>
        <v>45352</v>
      </c>
      <c r="I67" s="655">
        <f t="shared" si="18"/>
        <v>45261</v>
      </c>
      <c r="J67" s="655">
        <f t="shared" si="18"/>
        <v>45170</v>
      </c>
      <c r="K67" s="655">
        <f t="shared" si="18"/>
        <v>45078</v>
      </c>
      <c r="L67" s="655">
        <f t="shared" si="18"/>
        <v>44986</v>
      </c>
      <c r="M67" s="655">
        <f t="shared" si="18"/>
        <v>44896</v>
      </c>
      <c r="N67" s="655">
        <f t="shared" si="18"/>
        <v>44805</v>
      </c>
      <c r="O67" s="655">
        <f t="shared" si="18"/>
        <v>44713</v>
      </c>
      <c r="P67" s="2485"/>
      <c r="Q67" s="2485"/>
      <c r="R67" s="2485"/>
      <c r="S67" s="2485"/>
      <c r="T67" s="2485"/>
      <c r="U67" s="2485"/>
      <c r="V67" s="2485"/>
      <c r="W67" s="2485"/>
      <c r="X67" s="2485"/>
      <c r="Y67" s="2485"/>
      <c r="Z67" s="2485"/>
      <c r="AA67" s="2485"/>
      <c r="AB67" s="2485"/>
      <c r="AC67" s="2485"/>
    </row>
    <row r="68" spans="1:29" ht="22.2" thickBot="1">
      <c r="A68" s="657" t="s">
        <v>1798</v>
      </c>
      <c r="B68" s="385"/>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2" customFormat="1" ht="14.4">
      <c r="A69" s="1629" t="s">
        <v>1903</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6" t="s">
        <v>1904</v>
      </c>
      <c r="B70" s="280" t="str">
        <f>"北京市平均增长率"&amp;TEXT(SUMIF(基准地价修正!N25:N29,A70,基准地价修正!P25:P29),"0.00%")</f>
        <v>北京市平均增长率0.00%</v>
      </c>
      <c r="C70" s="530">
        <v>100</v>
      </c>
      <c r="D70" s="6">
        <v>100</v>
      </c>
      <c r="E70" s="6">
        <v>100</v>
      </c>
      <c r="F70" s="6">
        <v>100</v>
      </c>
      <c r="G70" s="6"/>
      <c r="H70" s="6"/>
      <c r="I70" s="6"/>
      <c r="J70" s="6"/>
      <c r="K70" s="6">
        <v>103</v>
      </c>
      <c r="L70" s="6"/>
      <c r="M70" s="1065"/>
      <c r="N70" s="6"/>
      <c r="O70" s="1097"/>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8"/>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3179" t="s">
        <v>3994</v>
      </c>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v>100</v>
      </c>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0（含）-2</v>
      </c>
      <c r="D78" s="478" t="str">
        <f t="shared" ref="D78:L78" si="20">D79&amp;"（含）"&amp;"-"&amp;E79</f>
        <v>2（含）-4</v>
      </c>
      <c r="E78" s="478" t="str">
        <f t="shared" si="20"/>
        <v>4（含）-6</v>
      </c>
      <c r="F78" s="478" t="str">
        <f t="shared" si="20"/>
        <v>6（含）-8</v>
      </c>
      <c r="G78" s="478" t="str">
        <f t="shared" si="20"/>
        <v>8（含）-10</v>
      </c>
      <c r="H78" s="478" t="str">
        <f t="shared" si="20"/>
        <v>10（含）-12</v>
      </c>
      <c r="I78" s="478" t="str">
        <f t="shared" si="20"/>
        <v>12（含）-14</v>
      </c>
      <c r="J78" s="478" t="str">
        <f t="shared" si="20"/>
        <v>14（含）-16</v>
      </c>
      <c r="K78" s="478" t="str">
        <f t="shared" si="20"/>
        <v>16（含）-18</v>
      </c>
      <c r="L78" s="478" t="str">
        <f t="shared" si="20"/>
        <v>18（含）-20</v>
      </c>
      <c r="M78" s="387" t="str">
        <f>M79&amp;"（含）"&amp;"-"&amp;P79</f>
        <v>20（含）-</v>
      </c>
      <c r="N78" s="2520"/>
      <c r="O78" s="2520"/>
      <c r="P78" s="2518"/>
      <c r="Q78" s="2506"/>
      <c r="R78" s="2485"/>
      <c r="S78" s="2485"/>
      <c r="T78" s="2485"/>
      <c r="U78" s="2485"/>
      <c r="V78" s="2485"/>
      <c r="W78" s="2485"/>
      <c r="X78" s="2485"/>
      <c r="Y78" s="2485"/>
      <c r="Z78" s="2485"/>
      <c r="AA78" s="2485"/>
      <c r="AB78" s="2485"/>
      <c r="AC78" s="2485"/>
    </row>
    <row r="79" spans="1:29">
      <c r="A79" s="367"/>
      <c r="B79" s="479"/>
      <c r="C79" s="480">
        <v>0</v>
      </c>
      <c r="D79" s="480">
        <v>2</v>
      </c>
      <c r="E79" s="480">
        <v>4</v>
      </c>
      <c r="F79" s="480">
        <v>6</v>
      </c>
      <c r="G79" s="480">
        <v>8</v>
      </c>
      <c r="H79" s="480">
        <v>10</v>
      </c>
      <c r="I79" s="480">
        <v>12</v>
      </c>
      <c r="J79" s="480">
        <v>14</v>
      </c>
      <c r="K79" s="480">
        <v>16</v>
      </c>
      <c r="L79" s="480">
        <v>18</v>
      </c>
      <c r="M79" s="480">
        <v>20</v>
      </c>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97</v>
      </c>
      <c r="E80" s="475">
        <f t="shared" si="21"/>
        <v>94</v>
      </c>
      <c r="F80" s="475">
        <f t="shared" si="21"/>
        <v>91</v>
      </c>
      <c r="G80" s="475">
        <f t="shared" si="21"/>
        <v>88</v>
      </c>
      <c r="H80" s="475">
        <f t="shared" si="21"/>
        <v>85</v>
      </c>
      <c r="I80" s="475">
        <f t="shared" si="21"/>
        <v>82</v>
      </c>
      <c r="J80" s="475">
        <f t="shared" si="21"/>
        <v>79</v>
      </c>
      <c r="K80" s="475">
        <f t="shared" si="21"/>
        <v>76</v>
      </c>
      <c r="L80" s="475">
        <f t="shared" si="21"/>
        <v>73</v>
      </c>
      <c r="M80" s="475">
        <f t="shared" si="21"/>
        <v>70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溢价率</v>
      </c>
      <c r="C81" s="485">
        <v>25</v>
      </c>
      <c r="D81" s="485">
        <v>17</v>
      </c>
      <c r="E81" s="485">
        <v>11</v>
      </c>
      <c r="F81" s="485">
        <v>0</v>
      </c>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v>125</v>
      </c>
      <c r="D82" s="467">
        <v>117</v>
      </c>
      <c r="E82" s="467">
        <v>111</v>
      </c>
      <c r="F82" s="467">
        <v>100</v>
      </c>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0</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 thickTop="1">
      <c r="A85" s="484"/>
      <c r="B85" s="477" t="str">
        <f>B14</f>
        <v>指导价</v>
      </c>
      <c r="C85" s="3177" t="s">
        <v>3977</v>
      </c>
      <c r="D85" s="485">
        <v>121000</v>
      </c>
      <c r="E85" s="485">
        <v>106000</v>
      </c>
      <c r="F85" s="485">
        <v>130000</v>
      </c>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491">
        <v>100</v>
      </c>
      <c r="D86" s="467">
        <v>99</v>
      </c>
      <c r="E86" s="467">
        <v>98</v>
      </c>
      <c r="F86" s="467">
        <v>99</v>
      </c>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97</v>
      </c>
      <c r="E88" s="475">
        <f>D88-$K15</f>
        <v>94</v>
      </c>
      <c r="F88" s="475">
        <f>E88-$K15</f>
        <v>91</v>
      </c>
      <c r="G88" s="475">
        <f>F88-$K15</f>
        <v>88</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1905</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97</v>
      </c>
      <c r="E94" s="475">
        <f>D94-$K21</f>
        <v>94</v>
      </c>
      <c r="F94" s="475">
        <f>E94-$K21</f>
        <v>91</v>
      </c>
      <c r="G94" s="475">
        <f>F94-$K21</f>
        <v>88</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1906</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1907</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97</v>
      </c>
      <c r="E98" s="475">
        <f>D98-$K25</f>
        <v>94</v>
      </c>
      <c r="F98" s="475">
        <f>E98-$K25</f>
        <v>91</v>
      </c>
      <c r="G98" s="475">
        <f>F98-$K25</f>
        <v>88</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97</v>
      </c>
      <c r="E100" s="475">
        <f>D100-$K27</f>
        <v>94</v>
      </c>
      <c r="F100" s="475">
        <f>E100-$K27</f>
        <v>91</v>
      </c>
      <c r="G100" s="475">
        <f>F100-$K27</f>
        <v>88</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4"/>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99</v>
      </c>
      <c r="E102" s="475">
        <f>D102-$K29</f>
        <v>98</v>
      </c>
      <c r="F102" s="475">
        <f>E102-$K29</f>
        <v>97</v>
      </c>
      <c r="G102" s="475">
        <f>F102-$K29</f>
        <v>96</v>
      </c>
      <c r="H102" s="479"/>
      <c r="I102" s="479"/>
      <c r="J102" s="479"/>
      <c r="K102" s="479"/>
      <c r="L102" s="479"/>
      <c r="M102" s="1064"/>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1908</v>
      </c>
      <c r="D103" s="470" t="s">
        <v>1909</v>
      </c>
      <c r="E103" s="470" t="s">
        <v>1910</v>
      </c>
      <c r="F103" s="470" t="s">
        <v>1911</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1872</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 thickTop="1">
      <c r="A109" s="367"/>
      <c r="B109" s="477" t="str">
        <f>B35</f>
        <v>距市中心位置</v>
      </c>
      <c r="C109" s="3177" t="s">
        <v>3978</v>
      </c>
      <c r="D109" s="3177" t="s">
        <v>3979</v>
      </c>
      <c r="E109" s="3177" t="s">
        <v>3980</v>
      </c>
      <c r="F109" s="3177" t="s">
        <v>3981</v>
      </c>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v>100</v>
      </c>
      <c r="D110" s="491">
        <f>C110-3</f>
        <v>97</v>
      </c>
      <c r="E110" s="491">
        <f t="shared" ref="E110:F110" si="25">D110-3</f>
        <v>94</v>
      </c>
      <c r="F110" s="491">
        <f t="shared" si="25"/>
        <v>91</v>
      </c>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0</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0</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27.6">
      <c r="A115" s="379" t="s">
        <v>1694</v>
      </c>
      <c r="B115" s="460" t="s">
        <v>1912</v>
      </c>
      <c r="C115" s="461" t="str">
        <f>C116&amp;"(含)"&amp;"-"&amp;D116</f>
        <v>0(含)-20000</v>
      </c>
      <c r="D115" s="461" t="str">
        <f t="shared" ref="D115:M115" si="26">D116&amp;"(含)"&amp;"-"&amp;E116</f>
        <v>20000(含)-40000</v>
      </c>
      <c r="E115" s="461" t="str">
        <f t="shared" si="26"/>
        <v>40000(含)-60000</v>
      </c>
      <c r="F115" s="461" t="str">
        <f t="shared" si="26"/>
        <v>60000(含)-80000</v>
      </c>
      <c r="G115" s="461" t="str">
        <f t="shared" si="26"/>
        <v>80000(含)-</v>
      </c>
      <c r="H115" s="461" t="str">
        <f t="shared" si="26"/>
        <v>(含)-</v>
      </c>
      <c r="I115" s="461" t="str">
        <f t="shared" si="26"/>
        <v>(含)-</v>
      </c>
      <c r="J115" s="461" t="str">
        <f t="shared" si="26"/>
        <v>(含)-</v>
      </c>
      <c r="K115" s="461" t="str">
        <f t="shared" si="26"/>
        <v>(含)-</v>
      </c>
      <c r="L115" s="461" t="str">
        <f t="shared" si="26"/>
        <v>(含)-</v>
      </c>
      <c r="M115" s="461" t="str">
        <f t="shared" si="26"/>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v>0</v>
      </c>
      <c r="D116" s="6">
        <f>C116+20000</f>
        <v>20000</v>
      </c>
      <c r="E116" s="6">
        <f t="shared" ref="E116:G116" si="27">D116+20000</f>
        <v>40000</v>
      </c>
      <c r="F116" s="6">
        <f t="shared" si="27"/>
        <v>60000</v>
      </c>
      <c r="G116" s="6">
        <f t="shared" si="27"/>
        <v>80000</v>
      </c>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v>100</v>
      </c>
      <c r="D117" s="521">
        <f>C117+2</f>
        <v>102</v>
      </c>
      <c r="E117" s="521">
        <f t="shared" ref="E117:G117" si="28">D117+2</f>
        <v>104</v>
      </c>
      <c r="F117" s="521">
        <f t="shared" si="28"/>
        <v>106</v>
      </c>
      <c r="G117" s="521">
        <f t="shared" si="28"/>
        <v>108</v>
      </c>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1913</v>
      </c>
      <c r="C118" s="3178" t="s">
        <v>3982</v>
      </c>
      <c r="D118" s="3178" t="s">
        <v>3983</v>
      </c>
      <c r="E118" s="3178" t="s">
        <v>3984</v>
      </c>
      <c r="F118" s="3178" t="s">
        <v>3985</v>
      </c>
      <c r="G118" s="3178" t="s">
        <v>3986</v>
      </c>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9">C119-$K39</f>
        <v>98</v>
      </c>
      <c r="E119" s="475">
        <f t="shared" si="29"/>
        <v>96</v>
      </c>
      <c r="F119" s="475">
        <f t="shared" si="29"/>
        <v>94</v>
      </c>
      <c r="G119" s="475">
        <f t="shared" si="29"/>
        <v>92</v>
      </c>
      <c r="H119" s="475">
        <f t="shared" si="29"/>
        <v>90</v>
      </c>
      <c r="I119" s="475">
        <f t="shared" si="29"/>
        <v>88</v>
      </c>
      <c r="J119" s="475">
        <f t="shared" si="29"/>
        <v>86</v>
      </c>
      <c r="K119" s="475">
        <f t="shared" si="29"/>
        <v>84</v>
      </c>
      <c r="L119" s="475">
        <f t="shared" si="29"/>
        <v>82</v>
      </c>
      <c r="M119" s="476">
        <f t="shared" si="29"/>
        <v>80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1914</v>
      </c>
      <c r="C120" s="3177" t="s">
        <v>3987</v>
      </c>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30">C121-$K40</f>
        <v>98</v>
      </c>
      <c r="E121" s="475">
        <f t="shared" si="30"/>
        <v>96</v>
      </c>
      <c r="F121" s="475">
        <f t="shared" si="30"/>
        <v>94</v>
      </c>
      <c r="G121" s="475">
        <f t="shared" si="30"/>
        <v>92</v>
      </c>
      <c r="H121" s="475">
        <f t="shared" si="30"/>
        <v>90</v>
      </c>
      <c r="I121" s="475">
        <f t="shared" si="30"/>
        <v>88</v>
      </c>
      <c r="J121" s="475">
        <f t="shared" si="30"/>
        <v>86</v>
      </c>
      <c r="K121" s="475">
        <f t="shared" si="30"/>
        <v>84</v>
      </c>
      <c r="L121" s="475">
        <f t="shared" si="30"/>
        <v>82</v>
      </c>
      <c r="M121" s="476">
        <f t="shared" si="30"/>
        <v>80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1915</v>
      </c>
      <c r="C122" s="485" t="s">
        <v>3971</v>
      </c>
      <c r="D122" s="485" t="s">
        <v>3976</v>
      </c>
      <c r="E122" s="485" t="s">
        <v>3988</v>
      </c>
      <c r="F122" s="485" t="s">
        <v>3989</v>
      </c>
      <c r="G122" s="485" t="s">
        <v>3990</v>
      </c>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31">C123-$K41</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1916</v>
      </c>
      <c r="C124" s="485" t="s">
        <v>3441</v>
      </c>
      <c r="D124" s="485" t="s">
        <v>3440</v>
      </c>
      <c r="E124" s="513" t="s">
        <v>3991</v>
      </c>
      <c r="F124" s="513" t="s">
        <v>3992</v>
      </c>
      <c r="G124" s="513" t="s">
        <v>3993</v>
      </c>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32">C125-$K42</f>
        <v>98</v>
      </c>
      <c r="E125" s="475">
        <f t="shared" si="32"/>
        <v>96</v>
      </c>
      <c r="F125" s="475">
        <f t="shared" si="32"/>
        <v>94</v>
      </c>
      <c r="G125" s="475">
        <f t="shared" si="32"/>
        <v>92</v>
      </c>
      <c r="H125" s="475">
        <f t="shared" si="32"/>
        <v>90</v>
      </c>
      <c r="I125" s="475">
        <f t="shared" si="32"/>
        <v>88</v>
      </c>
      <c r="J125" s="475">
        <f t="shared" si="32"/>
        <v>86</v>
      </c>
      <c r="K125" s="475">
        <f t="shared" si="32"/>
        <v>84</v>
      </c>
      <c r="L125" s="475">
        <f t="shared" si="32"/>
        <v>82</v>
      </c>
      <c r="M125" s="476">
        <f t="shared" si="32"/>
        <v>80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0</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0</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0</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1917</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4.4">
      <c r="A4" s="345" t="s">
        <v>1769</v>
      </c>
      <c r="B4" s="346"/>
      <c r="C4" s="3443" t="s">
        <v>1770</v>
      </c>
      <c r="D4" s="3444"/>
      <c r="E4" s="3445" t="s">
        <v>1771</v>
      </c>
      <c r="F4" s="3446"/>
      <c r="G4" s="3443" t="s">
        <v>1772</v>
      </c>
      <c r="H4" s="3444"/>
      <c r="I4" s="3443" t="s">
        <v>1773</v>
      </c>
      <c r="J4" s="3444"/>
      <c r="K4" s="537" t="s">
        <v>1774</v>
      </c>
      <c r="L4" s="2484"/>
      <c r="M4" s="2485"/>
      <c r="N4" s="2485"/>
      <c r="O4" s="2485"/>
      <c r="P4" s="3447" t="s">
        <v>1775</v>
      </c>
      <c r="Q4" s="3448"/>
      <c r="R4" s="3429" t="s">
        <v>1771</v>
      </c>
      <c r="S4" s="3430"/>
      <c r="T4" s="3429" t="s">
        <v>1772</v>
      </c>
      <c r="U4" s="3430"/>
      <c r="V4" s="3455" t="s">
        <v>1773</v>
      </c>
      <c r="W4" s="3455"/>
      <c r="X4" s="1264"/>
      <c r="Y4" s="3429" t="s">
        <v>1775</v>
      </c>
      <c r="Z4" s="3430"/>
      <c r="AA4" s="3424" t="s">
        <v>1771</v>
      </c>
      <c r="AB4" s="3425" t="s">
        <v>1772</v>
      </c>
      <c r="AC4" s="3424" t="s">
        <v>1773</v>
      </c>
    </row>
    <row r="5" spans="1:29">
      <c r="A5" s="348"/>
      <c r="B5" s="349"/>
      <c r="C5" s="3435" t="s">
        <v>1673</v>
      </c>
      <c r="D5" s="3436"/>
      <c r="E5" s="3496" t="s">
        <v>1674</v>
      </c>
      <c r="F5" s="3434"/>
      <c r="G5" s="3435" t="s">
        <v>1675</v>
      </c>
      <c r="H5" s="3436"/>
      <c r="I5" s="3435" t="s">
        <v>1676</v>
      </c>
      <c r="J5" s="3436"/>
      <c r="K5" s="537"/>
      <c r="L5" s="2484"/>
      <c r="M5" s="2485"/>
      <c r="N5" s="2485"/>
      <c r="O5" s="2485"/>
      <c r="P5" s="3449"/>
      <c r="Q5" s="3450"/>
      <c r="R5" s="3431"/>
      <c r="S5" s="3432"/>
      <c r="T5" s="3431"/>
      <c r="U5" s="3432"/>
      <c r="V5" s="3455"/>
      <c r="W5" s="3455"/>
      <c r="X5" s="1264"/>
      <c r="Y5" s="3431"/>
      <c r="Z5" s="3432"/>
      <c r="AA5" s="3425"/>
      <c r="AB5" s="3425"/>
      <c r="AC5" s="3425"/>
    </row>
    <row r="6" spans="1:29" ht="15" thickBot="1">
      <c r="A6" s="350"/>
      <c r="B6" s="351"/>
      <c r="C6" s="3517" t="s">
        <v>1918</v>
      </c>
      <c r="D6" s="3518"/>
      <c r="E6" s="3519" t="s">
        <v>1918</v>
      </c>
      <c r="F6" s="3520"/>
      <c r="G6" s="3517" t="s">
        <v>1918</v>
      </c>
      <c r="H6" s="3518"/>
      <c r="I6" s="3517" t="s">
        <v>1918</v>
      </c>
      <c r="J6" s="3518"/>
      <c r="K6" s="537" t="s">
        <v>1678</v>
      </c>
      <c r="L6" s="2484"/>
      <c r="M6" s="2485"/>
      <c r="N6" s="2485"/>
      <c r="O6" s="2485"/>
      <c r="P6" s="3451"/>
      <c r="Q6" s="3452"/>
      <c r="R6" s="3431"/>
      <c r="S6" s="3432"/>
      <c r="T6" s="3453"/>
      <c r="U6" s="3454"/>
      <c r="V6" s="3455"/>
      <c r="W6" s="3455"/>
      <c r="X6" s="1264"/>
      <c r="Y6" s="3453"/>
      <c r="Z6" s="3454"/>
      <c r="AA6" s="3426"/>
      <c r="AB6" s="3426"/>
      <c r="AC6" s="3426"/>
    </row>
    <row r="7" spans="1:29" s="102" customFormat="1" ht="15" thickBot="1">
      <c r="A7" s="352" t="s">
        <v>1679</v>
      </c>
      <c r="B7" s="353"/>
      <c r="C7" s="354">
        <f>'数据-取费表'!B2</f>
        <v>45825</v>
      </c>
      <c r="D7" s="355">
        <v>100</v>
      </c>
      <c r="E7" s="356"/>
      <c r="F7" s="357">
        <f>SUMIF(65:65,YEAR(E7)&amp;"-"&amp;INT((MONTH(E7)+2)/3),66:66)</f>
        <v>0</v>
      </c>
      <c r="G7" s="1821"/>
      <c r="H7" s="355">
        <f>SUMIF(65:65,YEAR(G7)&amp;"-"&amp;INT((MONTH(G7)+2)/3),66:66)</f>
        <v>0</v>
      </c>
      <c r="I7" s="1821"/>
      <c r="J7" s="355">
        <f>SUMIF(65:65,YEAR(I7)&amp;"-"&amp;INT((MONTH(I7)+2)/3),66:66)</f>
        <v>0</v>
      </c>
      <c r="K7" s="38"/>
      <c r="L7" s="2486"/>
      <c r="M7" s="2438"/>
      <c r="N7" s="2438"/>
      <c r="O7" s="2438"/>
      <c r="P7" s="3427" t="s">
        <v>1680</v>
      </c>
      <c r="Q7" s="3456"/>
      <c r="R7" s="663" t="s">
        <v>14</v>
      </c>
      <c r="S7" s="664">
        <f t="shared" ref="S7:S15" si="0">F7</f>
        <v>0</v>
      </c>
      <c r="T7" s="663" t="s">
        <v>14</v>
      </c>
      <c r="U7" s="664">
        <f t="shared" ref="U7:U15" si="1">H7</f>
        <v>0</v>
      </c>
      <c r="V7" s="663" t="s">
        <v>14</v>
      </c>
      <c r="W7" s="664">
        <f t="shared" ref="W7:W15" si="2">J7</f>
        <v>0</v>
      </c>
      <c r="X7" s="665"/>
      <c r="Y7" s="3427" t="s">
        <v>1680</v>
      </c>
      <c r="Z7" s="342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27" t="s">
        <v>1683</v>
      </c>
      <c r="Q8" s="3428"/>
      <c r="R8" s="663" t="s">
        <v>14</v>
      </c>
      <c r="S8" s="664">
        <f t="shared" si="0"/>
        <v>0</v>
      </c>
      <c r="T8" s="663" t="s">
        <v>14</v>
      </c>
      <c r="U8" s="664">
        <f t="shared" si="1"/>
        <v>0</v>
      </c>
      <c r="V8" s="663" t="s">
        <v>14</v>
      </c>
      <c r="W8" s="664">
        <f t="shared" si="2"/>
        <v>0</v>
      </c>
      <c r="X8" s="665"/>
      <c r="Y8" s="3427" t="s">
        <v>1683</v>
      </c>
      <c r="Z8" s="3428"/>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460" t="s">
        <v>1686</v>
      </c>
      <c r="Q9" s="530" t="str">
        <f t="shared" ref="Q9:Q15" si="6">B9</f>
        <v>用途</v>
      </c>
      <c r="R9" s="663" t="s">
        <v>14</v>
      </c>
      <c r="S9" s="664">
        <f t="shared" si="0"/>
        <v>100</v>
      </c>
      <c r="T9" s="663" t="s">
        <v>14</v>
      </c>
      <c r="U9" s="664">
        <f t="shared" si="1"/>
        <v>100</v>
      </c>
      <c r="V9" s="663" t="s">
        <v>14</v>
      </c>
      <c r="W9" s="664">
        <f t="shared" si="2"/>
        <v>100</v>
      </c>
      <c r="X9" s="665"/>
      <c r="Y9" s="337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110</v>
      </c>
      <c r="G10" s="371"/>
      <c r="H10" s="119">
        <f>ROUND(100/'数据-取费表'!G16,0)</f>
        <v>110</v>
      </c>
      <c r="I10" s="371"/>
      <c r="J10" s="119">
        <f>ROUND(100/'数据-取费表'!G16,0)</f>
        <v>110</v>
      </c>
      <c r="K10" s="592"/>
      <c r="L10" s="2487"/>
      <c r="M10" s="2488"/>
      <c r="N10" s="2488"/>
      <c r="O10" s="2539"/>
      <c r="P10" s="3460"/>
      <c r="Q10" s="530" t="str">
        <f t="shared" si="6"/>
        <v>土地使用年限（年）</v>
      </c>
      <c r="R10" s="663" t="s">
        <v>14</v>
      </c>
      <c r="S10" s="664">
        <f t="shared" si="0"/>
        <v>110</v>
      </c>
      <c r="T10" s="663" t="s">
        <v>14</v>
      </c>
      <c r="U10" s="664">
        <f t="shared" si="1"/>
        <v>110</v>
      </c>
      <c r="V10" s="663" t="s">
        <v>14</v>
      </c>
      <c r="W10" s="664">
        <f t="shared" si="2"/>
        <v>110</v>
      </c>
      <c r="X10" s="665"/>
      <c r="Y10" s="3372"/>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60"/>
      <c r="Q11" s="530" t="str">
        <f t="shared" si="6"/>
        <v>容积率</v>
      </c>
      <c r="R11" s="663" t="s">
        <v>14</v>
      </c>
      <c r="S11" s="664" t="e">
        <f t="shared" si="0"/>
        <v>#N/A</v>
      </c>
      <c r="T11" s="663" t="s">
        <v>14</v>
      </c>
      <c r="U11" s="664" t="e">
        <f t="shared" si="1"/>
        <v>#N/A</v>
      </c>
      <c r="V11" s="663" t="s">
        <v>14</v>
      </c>
      <c r="W11" s="664" t="e">
        <f t="shared" si="2"/>
        <v>#N/A</v>
      </c>
      <c r="X11" s="665"/>
      <c r="Y11" s="337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60"/>
      <c r="Q12" s="530">
        <f t="shared" si="6"/>
        <v>111</v>
      </c>
      <c r="R12" s="663" t="s">
        <v>14</v>
      </c>
      <c r="S12" s="664">
        <f t="shared" si="0"/>
        <v>100</v>
      </c>
      <c r="T12" s="663" t="s">
        <v>14</v>
      </c>
      <c r="U12" s="664">
        <f t="shared" si="1"/>
        <v>100</v>
      </c>
      <c r="V12" s="663" t="s">
        <v>14</v>
      </c>
      <c r="W12" s="664">
        <f t="shared" si="2"/>
        <v>100</v>
      </c>
      <c r="X12" s="665"/>
      <c r="Y12" s="337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60"/>
      <c r="Q13" s="530">
        <f t="shared" si="6"/>
        <v>111</v>
      </c>
      <c r="R13" s="663" t="s">
        <v>14</v>
      </c>
      <c r="S13" s="664">
        <f t="shared" si="0"/>
        <v>100</v>
      </c>
      <c r="T13" s="663" t="s">
        <v>14</v>
      </c>
      <c r="U13" s="664">
        <f t="shared" si="1"/>
        <v>100</v>
      </c>
      <c r="V13" s="663" t="s">
        <v>14</v>
      </c>
      <c r="W13" s="664">
        <f t="shared" si="2"/>
        <v>100</v>
      </c>
      <c r="X13" s="665"/>
      <c r="Y13" s="3372"/>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60"/>
      <c r="Q14" s="530">
        <f t="shared" si="6"/>
        <v>111</v>
      </c>
      <c r="R14" s="663" t="s">
        <v>14</v>
      </c>
      <c r="S14" s="664">
        <f t="shared" si="0"/>
        <v>100</v>
      </c>
      <c r="T14" s="663" t="s">
        <v>14</v>
      </c>
      <c r="U14" s="664">
        <f t="shared" si="1"/>
        <v>100</v>
      </c>
      <c r="V14" s="663" t="s">
        <v>14</v>
      </c>
      <c r="W14" s="664">
        <f t="shared" si="2"/>
        <v>100</v>
      </c>
      <c r="X14" s="665"/>
      <c r="Y14" s="3372"/>
      <c r="Z14" s="50">
        <f t="shared" si="7"/>
        <v>111</v>
      </c>
      <c r="AA14" s="50">
        <f t="shared" si="3"/>
        <v>1</v>
      </c>
      <c r="AB14" s="50">
        <f t="shared" si="4"/>
        <v>1</v>
      </c>
      <c r="AC14" s="50">
        <f t="shared" si="5"/>
        <v>1</v>
      </c>
    </row>
    <row r="15" spans="1:29" ht="69">
      <c r="A15" s="379" t="s">
        <v>1690</v>
      </c>
      <c r="B15" s="554" t="s">
        <v>1919</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61" t="s">
        <v>1691</v>
      </c>
      <c r="Q15" s="1262" t="str">
        <f t="shared" si="6"/>
        <v>产业集聚程度</v>
      </c>
      <c r="R15" s="666" t="s">
        <v>14</v>
      </c>
      <c r="S15" s="667">
        <f t="shared" si="0"/>
        <v>100</v>
      </c>
      <c r="T15" s="666" t="s">
        <v>14</v>
      </c>
      <c r="U15" s="667">
        <f t="shared" si="1"/>
        <v>100</v>
      </c>
      <c r="V15" s="666" t="s">
        <v>14</v>
      </c>
      <c r="W15" s="667">
        <f t="shared" si="2"/>
        <v>100</v>
      </c>
      <c r="X15" s="1264"/>
      <c r="Y15" s="3461"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462"/>
      <c r="Q16" s="1262"/>
      <c r="R16" s="666"/>
      <c r="S16" s="667"/>
      <c r="T16" s="666"/>
      <c r="U16" s="667"/>
      <c r="V16" s="666"/>
      <c r="W16" s="667"/>
      <c r="X16" s="1264"/>
      <c r="Y16" s="3462"/>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62"/>
      <c r="Q17" s="1262" t="str">
        <f>B17</f>
        <v>交通便捷度</v>
      </c>
      <c r="R17" s="666" t="s">
        <v>14</v>
      </c>
      <c r="S17" s="667">
        <f>F17</f>
        <v>100</v>
      </c>
      <c r="T17" s="666" t="s">
        <v>14</v>
      </c>
      <c r="U17" s="667">
        <f>H17</f>
        <v>100</v>
      </c>
      <c r="V17" s="666" t="s">
        <v>14</v>
      </c>
      <c r="W17" s="667">
        <f>J17</f>
        <v>100</v>
      </c>
      <c r="X17" s="1264"/>
      <c r="Y17" s="346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462"/>
      <c r="Q18" s="1262"/>
      <c r="R18" s="666"/>
      <c r="S18" s="667"/>
      <c r="T18" s="666"/>
      <c r="U18" s="667"/>
      <c r="V18" s="666"/>
      <c r="W18" s="667"/>
      <c r="X18" s="1264"/>
      <c r="Y18" s="3462"/>
      <c r="Z18" s="1263"/>
      <c r="AA18" s="1263">
        <v>1</v>
      </c>
      <c r="AB18" s="1263">
        <v>1</v>
      </c>
      <c r="AC18" s="1263">
        <v>1</v>
      </c>
    </row>
    <row r="19" spans="1:29" ht="28.8">
      <c r="A19" s="367"/>
      <c r="B19" s="556"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62"/>
      <c r="Q19" s="1262" t="str">
        <f t="shared" ref="Q19:Q33" si="8">B19</f>
        <v>区域土地利用方向</v>
      </c>
      <c r="R19" s="666" t="s">
        <v>14</v>
      </c>
      <c r="S19" s="667">
        <f>F19</f>
        <v>100</v>
      </c>
      <c r="T19" s="666" t="s">
        <v>14</v>
      </c>
      <c r="U19" s="667">
        <f>H19</f>
        <v>100</v>
      </c>
      <c r="V19" s="666" t="s">
        <v>14</v>
      </c>
      <c r="W19" s="667">
        <f>J19</f>
        <v>100</v>
      </c>
      <c r="X19" s="1264"/>
      <c r="Y19" s="346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0"/>
      <c r="M20" s="2485"/>
      <c r="N20" s="2485"/>
      <c r="O20" s="2540"/>
      <c r="P20" s="3462"/>
      <c r="Q20" s="1262"/>
      <c r="R20" s="666"/>
      <c r="S20" s="667"/>
      <c r="T20" s="666"/>
      <c r="U20" s="667"/>
      <c r="V20" s="666"/>
      <c r="W20" s="667"/>
      <c r="X20" s="1264"/>
      <c r="Y20" s="3462"/>
      <c r="Z20" s="1263"/>
      <c r="AA20" s="1263"/>
      <c r="AB20" s="1263"/>
      <c r="AC20" s="1263"/>
    </row>
    <row r="21" spans="1:29" ht="82.8">
      <c r="A21" s="348"/>
      <c r="B21" s="556" t="s">
        <v>1920</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62"/>
      <c r="Q21" s="1262" t="str">
        <f t="shared" si="8"/>
        <v>环境状况</v>
      </c>
      <c r="R21" s="666" t="s">
        <v>14</v>
      </c>
      <c r="S21" s="667">
        <f>F21</f>
        <v>100</v>
      </c>
      <c r="T21" s="666" t="s">
        <v>14</v>
      </c>
      <c r="U21" s="667">
        <f>H21</f>
        <v>100</v>
      </c>
      <c r="V21" s="666" t="s">
        <v>14</v>
      </c>
      <c r="W21" s="667">
        <f>J21</f>
        <v>100</v>
      </c>
      <c r="X21" s="1264"/>
      <c r="Y21" s="346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462"/>
      <c r="Q22" s="1262"/>
      <c r="R22" s="666"/>
      <c r="S22" s="667"/>
      <c r="T22" s="666"/>
      <c r="U22" s="667"/>
      <c r="V22" s="666"/>
      <c r="W22" s="667"/>
      <c r="X22" s="1264"/>
      <c r="Y22" s="3462"/>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62"/>
      <c r="Q23" s="530" t="str">
        <f t="shared" si="8"/>
        <v>公共配套设施</v>
      </c>
      <c r="R23" s="663" t="s">
        <v>14</v>
      </c>
      <c r="S23" s="664">
        <f>F23</f>
        <v>100</v>
      </c>
      <c r="T23" s="663" t="s">
        <v>14</v>
      </c>
      <c r="U23" s="664">
        <f>H23</f>
        <v>100</v>
      </c>
      <c r="V23" s="663" t="s">
        <v>14</v>
      </c>
      <c r="W23" s="664">
        <f>J23</f>
        <v>100</v>
      </c>
      <c r="X23" s="665"/>
      <c r="Y23" s="3462"/>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6"/>
      <c r="M24" s="2438"/>
      <c r="N24" s="2438"/>
      <c r="O24" s="2538"/>
      <c r="P24" s="3462"/>
      <c r="Q24" s="530"/>
      <c r="R24" s="663"/>
      <c r="S24" s="664"/>
      <c r="T24" s="663"/>
      <c r="U24" s="664"/>
      <c r="V24" s="663"/>
      <c r="W24" s="664"/>
      <c r="X24" s="665"/>
      <c r="Y24" s="3462"/>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62"/>
      <c r="Q25" s="530" t="str">
        <f t="shared" ref="Q25" si="9">B25</f>
        <v>基础设施水平</v>
      </c>
      <c r="R25" s="663" t="s">
        <v>14</v>
      </c>
      <c r="S25" s="664">
        <f>F25</f>
        <v>100</v>
      </c>
      <c r="T25" s="663" t="s">
        <v>14</v>
      </c>
      <c r="U25" s="664">
        <f>H25</f>
        <v>100</v>
      </c>
      <c r="V25" s="663" t="s">
        <v>14</v>
      </c>
      <c r="W25" s="664">
        <f>J25</f>
        <v>100</v>
      </c>
      <c r="X25" s="665"/>
      <c r="Y25" s="3462"/>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6"/>
      <c r="M26" s="2438"/>
      <c r="N26" s="2438"/>
      <c r="O26" s="2538"/>
      <c r="P26" s="3462"/>
      <c r="Q26" s="530"/>
      <c r="R26" s="663"/>
      <c r="S26" s="664"/>
      <c r="T26" s="663"/>
      <c r="U26" s="664"/>
      <c r="V26" s="663"/>
      <c r="W26" s="664"/>
      <c r="X26" s="665"/>
      <c r="Y26" s="346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62"/>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62"/>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62"/>
      <c r="Q28" s="1262" t="str">
        <f t="shared" si="8"/>
        <v>毗邻道路的类型与等级</v>
      </c>
      <c r="R28" s="666" t="s">
        <v>14</v>
      </c>
      <c r="S28" s="667">
        <f t="shared" si="10"/>
        <v>100</v>
      </c>
      <c r="T28" s="666" t="s">
        <v>14</v>
      </c>
      <c r="U28" s="667">
        <f t="shared" si="11"/>
        <v>100</v>
      </c>
      <c r="V28" s="666" t="s">
        <v>14</v>
      </c>
      <c r="W28" s="667">
        <f t="shared" si="12"/>
        <v>100</v>
      </c>
      <c r="X28" s="1264"/>
      <c r="Y28" s="346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462"/>
      <c r="Q29" s="1262"/>
      <c r="R29" s="666"/>
      <c r="S29" s="667"/>
      <c r="T29" s="666"/>
      <c r="U29" s="667"/>
      <c r="V29" s="666"/>
      <c r="W29" s="667"/>
      <c r="X29" s="1264"/>
      <c r="Y29" s="3462"/>
      <c r="Z29" s="1263"/>
      <c r="AA29" s="1263">
        <v>1</v>
      </c>
      <c r="AB29" s="1263">
        <v>1</v>
      </c>
      <c r="AC29" s="1263">
        <v>1</v>
      </c>
    </row>
    <row r="30" spans="1:29" ht="15">
      <c r="A30" s="367"/>
      <c r="B30" s="119" t="s">
        <v>1872</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62"/>
      <c r="Q30" s="1262" t="str">
        <f t="shared" si="8"/>
        <v>土地级别</v>
      </c>
      <c r="R30" s="666" t="s">
        <v>14</v>
      </c>
      <c r="S30" s="667">
        <f t="shared" si="10"/>
        <v>100</v>
      </c>
      <c r="T30" s="666" t="s">
        <v>14</v>
      </c>
      <c r="U30" s="667">
        <f t="shared" si="11"/>
        <v>100</v>
      </c>
      <c r="V30" s="666" t="s">
        <v>14</v>
      </c>
      <c r="W30" s="667">
        <f t="shared" si="12"/>
        <v>100</v>
      </c>
      <c r="X30" s="1264"/>
      <c r="Y30" s="3462"/>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62"/>
      <c r="Q31" s="1262">
        <f t="shared" si="8"/>
        <v>111</v>
      </c>
      <c r="R31" s="666" t="s">
        <v>14</v>
      </c>
      <c r="S31" s="667">
        <f t="shared" si="10"/>
        <v>100</v>
      </c>
      <c r="T31" s="666" t="s">
        <v>14</v>
      </c>
      <c r="U31" s="667">
        <f t="shared" si="11"/>
        <v>100</v>
      </c>
      <c r="V31" s="666" t="s">
        <v>14</v>
      </c>
      <c r="W31" s="667">
        <f t="shared" si="12"/>
        <v>100</v>
      </c>
      <c r="X31" s="1264"/>
      <c r="Y31" s="3462"/>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512" t="s">
        <v>1696</v>
      </c>
      <c r="Q32" s="1262">
        <f t="shared" si="8"/>
        <v>111</v>
      </c>
      <c r="R32" s="666" t="s">
        <v>14</v>
      </c>
      <c r="S32" s="667">
        <f t="shared" si="10"/>
        <v>100</v>
      </c>
      <c r="T32" s="666" t="s">
        <v>14</v>
      </c>
      <c r="U32" s="667">
        <f t="shared" si="11"/>
        <v>100</v>
      </c>
      <c r="V32" s="666" t="s">
        <v>14</v>
      </c>
      <c r="W32" s="667">
        <f t="shared" si="12"/>
        <v>100</v>
      </c>
      <c r="X32" s="1264"/>
      <c r="Y32" s="3466"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66"/>
      <c r="Q33" s="1262">
        <f t="shared" si="8"/>
        <v>111</v>
      </c>
      <c r="R33" s="668" t="s">
        <v>14</v>
      </c>
      <c r="S33" s="669">
        <f t="shared" si="10"/>
        <v>100</v>
      </c>
      <c r="T33" s="668" t="s">
        <v>14</v>
      </c>
      <c r="U33" s="669">
        <f t="shared" si="11"/>
        <v>100</v>
      </c>
      <c r="V33" s="668" t="s">
        <v>14</v>
      </c>
      <c r="W33" s="669">
        <f t="shared" si="12"/>
        <v>100</v>
      </c>
      <c r="X33" s="670"/>
      <c r="Y33" s="3466"/>
      <c r="Z33" s="671">
        <f t="shared" si="13"/>
        <v>111</v>
      </c>
      <c r="AA33" s="1263">
        <f t="shared" si="3"/>
        <v>1</v>
      </c>
      <c r="AB33" s="1263">
        <f t="shared" si="4"/>
        <v>1</v>
      </c>
      <c r="AC33" s="1263">
        <f t="shared" si="5"/>
        <v>1</v>
      </c>
    </row>
    <row r="34" spans="1:31" ht="15">
      <c r="A34" s="379" t="s">
        <v>1694</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66"/>
      <c r="Q34" s="1262" t="str">
        <f>B34</f>
        <v>宗地面积</v>
      </c>
      <c r="R34" s="666" t="s">
        <v>14</v>
      </c>
      <c r="S34" s="667" t="e">
        <f t="shared" si="10"/>
        <v>#N/A</v>
      </c>
      <c r="T34" s="666" t="s">
        <v>14</v>
      </c>
      <c r="U34" s="667" t="e">
        <f t="shared" si="11"/>
        <v>#N/A</v>
      </c>
      <c r="V34" s="666" t="s">
        <v>14</v>
      </c>
      <c r="W34" s="667" t="e">
        <f t="shared" si="12"/>
        <v>#N/A</v>
      </c>
      <c r="X34" s="1264"/>
      <c r="Y34" s="3466"/>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66"/>
      <c r="Q35" s="1262" t="str">
        <f t="shared" ref="Q35:Q40" si="14">B35</f>
        <v>宗地形状</v>
      </c>
      <c r="R35" s="666" t="s">
        <v>14</v>
      </c>
      <c r="S35" s="667">
        <f t="shared" si="10"/>
        <v>100</v>
      </c>
      <c r="T35" s="666" t="s">
        <v>14</v>
      </c>
      <c r="U35" s="667">
        <f t="shared" si="11"/>
        <v>100</v>
      </c>
      <c r="V35" s="666" t="s">
        <v>14</v>
      </c>
      <c r="W35" s="667">
        <f t="shared" si="12"/>
        <v>100</v>
      </c>
      <c r="X35" s="1264"/>
      <c r="Y35" s="3466"/>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8"/>
      <c r="N36" s="2438"/>
      <c r="O36" s="2538"/>
      <c r="P36" s="3466"/>
      <c r="Q36" s="1262" t="str">
        <f t="shared" si="14"/>
        <v>宗地开发程度</v>
      </c>
      <c r="R36" s="663" t="s">
        <v>14</v>
      </c>
      <c r="S36" s="664">
        <f t="shared" si="10"/>
        <v>100</v>
      </c>
      <c r="T36" s="663" t="s">
        <v>14</v>
      </c>
      <c r="U36" s="664">
        <f t="shared" si="11"/>
        <v>100</v>
      </c>
      <c r="V36" s="663" t="s">
        <v>14</v>
      </c>
      <c r="W36" s="664">
        <f t="shared" si="12"/>
        <v>100</v>
      </c>
      <c r="X36" s="665"/>
      <c r="Y36" s="3466"/>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66" t="s">
        <v>1696</v>
      </c>
      <c r="Q37" s="1262" t="str">
        <f t="shared" si="14"/>
        <v>工程地质条件</v>
      </c>
      <c r="R37" s="666" t="s">
        <v>14</v>
      </c>
      <c r="S37" s="667">
        <f t="shared" si="10"/>
        <v>100</v>
      </c>
      <c r="T37" s="666" t="s">
        <v>14</v>
      </c>
      <c r="U37" s="667">
        <f t="shared" si="11"/>
        <v>100</v>
      </c>
      <c r="V37" s="666" t="s">
        <v>14</v>
      </c>
      <c r="W37" s="667">
        <f t="shared" si="12"/>
        <v>100</v>
      </c>
      <c r="X37" s="1264"/>
      <c r="Y37" s="3466"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66"/>
      <c r="Q38" s="1262">
        <f t="shared" si="14"/>
        <v>111</v>
      </c>
      <c r="R38" s="666" t="s">
        <v>14</v>
      </c>
      <c r="S38" s="667">
        <f t="shared" si="10"/>
        <v>100</v>
      </c>
      <c r="T38" s="666" t="s">
        <v>14</v>
      </c>
      <c r="U38" s="667">
        <f t="shared" si="11"/>
        <v>100</v>
      </c>
      <c r="V38" s="666" t="s">
        <v>14</v>
      </c>
      <c r="W38" s="667">
        <f t="shared" si="12"/>
        <v>100</v>
      </c>
      <c r="X38" s="1264"/>
      <c r="Y38" s="3466"/>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66"/>
      <c r="Q39" s="1262">
        <f t="shared" si="14"/>
        <v>111</v>
      </c>
      <c r="R39" s="666" t="s">
        <v>14</v>
      </c>
      <c r="S39" s="667">
        <f t="shared" si="10"/>
        <v>100</v>
      </c>
      <c r="T39" s="666" t="s">
        <v>14</v>
      </c>
      <c r="U39" s="667">
        <f t="shared" si="11"/>
        <v>100</v>
      </c>
      <c r="V39" s="666" t="s">
        <v>14</v>
      </c>
      <c r="W39" s="667">
        <f t="shared" si="12"/>
        <v>100</v>
      </c>
      <c r="X39" s="1264"/>
      <c r="Y39" s="3466"/>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66"/>
      <c r="Q40" s="1262">
        <f t="shared" si="14"/>
        <v>111</v>
      </c>
      <c r="R40" s="668" t="s">
        <v>14</v>
      </c>
      <c r="S40" s="669">
        <f t="shared" si="10"/>
        <v>100</v>
      </c>
      <c r="T40" s="668" t="s">
        <v>14</v>
      </c>
      <c r="U40" s="669">
        <f t="shared" si="11"/>
        <v>100</v>
      </c>
      <c r="V40" s="668" t="s">
        <v>14</v>
      </c>
      <c r="W40" s="669">
        <f t="shared" si="12"/>
        <v>100</v>
      </c>
      <c r="X40" s="670"/>
      <c r="Y40" s="3466"/>
      <c r="Z40" s="671">
        <f t="shared" si="13"/>
        <v>111</v>
      </c>
      <c r="AA40" s="1263">
        <f t="shared" si="3"/>
        <v>1</v>
      </c>
      <c r="AB40" s="1263">
        <f t="shared" si="4"/>
        <v>1</v>
      </c>
      <c r="AC40" s="1263">
        <f t="shared" si="5"/>
        <v>1</v>
      </c>
    </row>
    <row r="41" spans="1:31" ht="14.4">
      <c r="A41" s="416" t="s">
        <v>1844</v>
      </c>
      <c r="B41" s="1829" t="s">
        <v>1921</v>
      </c>
      <c r="C41" s="602" t="s">
        <v>0</v>
      </c>
      <c r="D41" s="418"/>
      <c r="E41" s="419"/>
      <c r="F41" s="420"/>
      <c r="G41" s="421"/>
      <c r="H41" s="422"/>
      <c r="I41" s="419"/>
      <c r="J41" s="422"/>
      <c r="K41" s="673"/>
      <c r="L41" s="2492"/>
      <c r="M41" s="2485"/>
      <c r="N41" s="2485"/>
      <c r="O41" s="2485"/>
      <c r="P41" s="3460" t="str">
        <f>A41</f>
        <v>成交单价</v>
      </c>
      <c r="Q41" s="3460"/>
      <c r="R41" s="3455">
        <f>E41</f>
        <v>0</v>
      </c>
      <c r="S41" s="3455"/>
      <c r="T41" s="3455">
        <f>G41</f>
        <v>0</v>
      </c>
      <c r="U41" s="3455"/>
      <c r="V41" s="3455">
        <f>I41</f>
        <v>0</v>
      </c>
      <c r="W41" s="3455"/>
      <c r="X41" s="385"/>
      <c r="Y41" s="672"/>
      <c r="Z41" s="385"/>
      <c r="AA41" s="385"/>
      <c r="AB41" s="385"/>
      <c r="AC41" s="385"/>
    </row>
    <row r="42" spans="1:31" ht="15" thickBot="1">
      <c r="A42" s="423" t="s">
        <v>1793</v>
      </c>
      <c r="B42" s="603"/>
      <c r="C42" s="426" t="e">
        <f>R43</f>
        <v>#DIV/0!</v>
      </c>
      <c r="D42" s="2140" t="s">
        <v>2135</v>
      </c>
      <c r="E42" s="426" t="e">
        <f>R42</f>
        <v>#DIV/0!</v>
      </c>
      <c r="F42" s="2141"/>
      <c r="G42" s="425" t="e">
        <f>T42</f>
        <v>#DIV/0!</v>
      </c>
      <c r="H42" s="2141"/>
      <c r="I42" s="426" t="e">
        <f>V42</f>
        <v>#DIV/0!</v>
      </c>
      <c r="J42" s="2141"/>
      <c r="K42" s="2143">
        <f>F42+H42+J42</f>
        <v>0</v>
      </c>
      <c r="L42" s="2492"/>
      <c r="M42" s="2485"/>
      <c r="N42" s="2485"/>
      <c r="O42" s="2485"/>
      <c r="P42" s="3460" t="str">
        <f>A42</f>
        <v>比较价值（元/平方米）</v>
      </c>
      <c r="Q42" s="3460"/>
      <c r="R42" s="3514" t="e">
        <f>ROUND(PRODUCT(R41,AA7:AA40),0)</f>
        <v>#DIV/0!</v>
      </c>
      <c r="S42" s="3514"/>
      <c r="T42" s="3514" t="e">
        <f>ROUND(PRODUCT(T41,AB7:AB40),0)</f>
        <v>#DIV/0!</v>
      </c>
      <c r="U42" s="3514"/>
      <c r="V42" s="3514" t="e">
        <f>ROUND(PRODUCT(V41,AC7:AC40),0)</f>
        <v>#DIV/0!</v>
      </c>
      <c r="W42" s="3514"/>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92"/>
      <c r="M43" s="2485"/>
      <c r="N43" s="2485"/>
      <c r="O43" s="2485"/>
      <c r="P43" s="3457" t="str">
        <f>A43</f>
        <v>估价对象XX用房的比较价值（楼面单价，元/平方米）</v>
      </c>
      <c r="Q43" s="3458"/>
      <c r="R43" s="3515" t="e">
        <f>ROUND(IF(D42="简单平均",AVERAGE(R42:W42),R42*F42+T42*H42+V42*J42),0)</f>
        <v>#DIV/0!</v>
      </c>
      <c r="S43" s="3515"/>
      <c r="T43" s="3515"/>
      <c r="U43" s="3515"/>
      <c r="V43" s="3515"/>
      <c r="W43" s="351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1880</v>
      </c>
      <c r="B50" s="605" t="s">
        <v>1881</v>
      </c>
      <c r="C50" s="1830" t="s">
        <v>1882</v>
      </c>
      <c r="D50" s="1831" t="s">
        <v>1883</v>
      </c>
      <c r="E50" s="606" t="s">
        <v>1884</v>
      </c>
      <c r="F50" s="607" t="s">
        <v>1885</v>
      </c>
      <c r="G50" s="3443" t="s">
        <v>1886</v>
      </c>
      <c r="H50" s="3516"/>
      <c r="I50" s="1263" t="s">
        <v>1922</v>
      </c>
      <c r="J50" s="1263">
        <f>项目基本情况!F35</f>
        <v>0</v>
      </c>
      <c r="K50" s="1833" t="s">
        <v>1888</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1889</v>
      </c>
      <c r="B51" s="609" t="e">
        <f>C43</f>
        <v>#DIV/0!</v>
      </c>
      <c r="C51" s="610">
        <v>1</v>
      </c>
      <c r="D51" s="889">
        <v>1</v>
      </c>
      <c r="E51" s="610">
        <f>'数据-汇总表'!E8+'数据-汇总表'!E9</f>
        <v>182.59</v>
      </c>
      <c r="F51" s="611" t="e">
        <f t="shared" ref="F51:F60" si="15">ROUND(B51*E51/10000,0)</f>
        <v>#DIV/0!</v>
      </c>
      <c r="G51" s="3442"/>
      <c r="H51" s="3460"/>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1890</v>
      </c>
      <c r="B52" s="210" t="e">
        <f>ROUND($C$43*C52*D52,0)</f>
        <v>#DIV/0!</v>
      </c>
      <c r="C52" s="163">
        <f t="shared" ref="C52:C60" si="16">IF($C$50="北京市系数",I52,J52)</f>
        <v>0</v>
      </c>
      <c r="D52" s="890">
        <v>0.25</v>
      </c>
      <c r="E52" s="614"/>
      <c r="F52" s="611" t="e">
        <f t="shared" si="15"/>
        <v>#DIV/0!</v>
      </c>
      <c r="G52" s="2748" t="s">
        <v>1891</v>
      </c>
      <c r="H52" s="833">
        <f>项目基本情况!B37</f>
        <v>0</v>
      </c>
      <c r="I52" s="726">
        <f>SUMIF(修正!A57:A68,H52,修正!B57:B68)</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1892</v>
      </c>
      <c r="B53" s="210" t="e">
        <f t="shared" ref="B53:B60" si="17">ROUND($C$43*C53*D53,0)</f>
        <v>#DIV/0!</v>
      </c>
      <c r="C53" s="163">
        <f t="shared" si="16"/>
        <v>0</v>
      </c>
      <c r="D53" s="890">
        <v>0.25</v>
      </c>
      <c r="E53" s="614"/>
      <c r="F53" s="611" t="e">
        <f t="shared" si="15"/>
        <v>#DIV/0!</v>
      </c>
      <c r="G53" s="2749"/>
      <c r="H53" s="833">
        <f>项目基本情况!B37</f>
        <v>0</v>
      </c>
      <c r="I53" s="726">
        <f>SUMIF(修正!A57:A68,H53,修正!C57:C68)</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1893</v>
      </c>
      <c r="B54" s="210" t="e">
        <f t="shared" si="17"/>
        <v>#DIV/0!</v>
      </c>
      <c r="C54" s="163">
        <f t="shared" si="16"/>
        <v>0</v>
      </c>
      <c r="D54" s="890">
        <v>0.25</v>
      </c>
      <c r="E54" s="614"/>
      <c r="F54" s="611" t="e">
        <f t="shared" si="15"/>
        <v>#DIV/0!</v>
      </c>
      <c r="G54" s="2749"/>
      <c r="H54" s="833">
        <f>项目基本情况!B37</f>
        <v>0</v>
      </c>
      <c r="I54" s="726">
        <f>SUMIF(修正!A57:A68,H54,修正!D57:D68)</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0"/>
      <c r="E55" s="614"/>
      <c r="F55" s="611"/>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1894</v>
      </c>
      <c r="B56" s="210" t="e">
        <f t="shared" si="17"/>
        <v>#DIV/0!</v>
      </c>
      <c r="C56" s="163">
        <f t="shared" si="16"/>
        <v>0</v>
      </c>
      <c r="D56" s="890">
        <v>0.25</v>
      </c>
      <c r="E56" s="209">
        <f>'数据-汇总表'!E11</f>
        <v>0</v>
      </c>
      <c r="F56" s="611" t="e">
        <f t="shared" si="15"/>
        <v>#DIV/0!</v>
      </c>
      <c r="G56" s="1834" t="s">
        <v>1895</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1896</v>
      </c>
      <c r="B57" s="210" t="e">
        <f t="shared" si="17"/>
        <v>#DIV/0!</v>
      </c>
      <c r="C57" s="163">
        <f t="shared" si="16"/>
        <v>0</v>
      </c>
      <c r="D57" s="890">
        <v>0.25</v>
      </c>
      <c r="E57" s="209">
        <f>'数据-汇总表'!E12</f>
        <v>0</v>
      </c>
      <c r="F57" s="611" t="e">
        <f t="shared" si="15"/>
        <v>#DIV/0!</v>
      </c>
      <c r="G57" s="838" t="s">
        <v>1897</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1898</v>
      </c>
      <c r="B58" s="210" t="e">
        <f t="shared" si="17"/>
        <v>#DIV/0!</v>
      </c>
      <c r="C58" s="163">
        <f t="shared" si="16"/>
        <v>0.2</v>
      </c>
      <c r="D58" s="890">
        <v>0.25</v>
      </c>
      <c r="E58" s="209">
        <f>'数据-汇总表'!E13</f>
        <v>0</v>
      </c>
      <c r="F58" s="611" t="e">
        <f t="shared" si="15"/>
        <v>#DIV/0!</v>
      </c>
      <c r="G58" s="838" t="s">
        <v>1899</v>
      </c>
      <c r="H58" s="833" t="str">
        <f>IF(G58="商业",项目基本情况!B37,IF(G58="办公",项目基本情况!C37,IF(G58="住宅",项目基本情况!D37,项目基本情况!E37)))</f>
        <v>二级</v>
      </c>
      <c r="I58" s="726">
        <f>SUMIF(修正!A57:A68,H58,修正!G57:G68)</f>
        <v>0.2</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1900</v>
      </c>
      <c r="B59" s="210" t="e">
        <f t="shared" si="17"/>
        <v>#DIV/0!</v>
      </c>
      <c r="C59" s="163">
        <f t="shared" si="16"/>
        <v>0</v>
      </c>
      <c r="D59" s="890">
        <v>0.25</v>
      </c>
      <c r="E59" s="209">
        <f>'数据-汇总表'!E14</f>
        <v>0</v>
      </c>
      <c r="F59" s="611" t="e">
        <f t="shared" si="15"/>
        <v>#DIV/0!</v>
      </c>
      <c r="G59" s="1834" t="s">
        <v>1891</v>
      </c>
      <c r="H59" s="833">
        <f>项目基本情况!B37</f>
        <v>0</v>
      </c>
      <c r="I59" s="726">
        <f>SUMIF(修正!A57:A68,H59,修正!G57:G68)</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1901</v>
      </c>
      <c r="B60" s="210" t="e">
        <f t="shared" si="17"/>
        <v>#DIV/0!</v>
      </c>
      <c r="C60" s="163">
        <f t="shared" si="16"/>
        <v>0</v>
      </c>
      <c r="D60" s="890">
        <v>0.25</v>
      </c>
      <c r="E60" s="209">
        <f>'数据-汇总表'!E15</f>
        <v>0</v>
      </c>
      <c r="F60" s="611" t="e">
        <f t="shared" si="15"/>
        <v>#DIV/0!</v>
      </c>
      <c r="G60" s="1835" t="s">
        <v>1895</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1902</v>
      </c>
      <c r="B61" s="616" t="s">
        <v>22</v>
      </c>
      <c r="C61" s="616" t="s">
        <v>23</v>
      </c>
      <c r="D61" s="616" t="s">
        <v>392</v>
      </c>
      <c r="E61" s="616">
        <f>IF(B41="楼面地价",SUM(E51:E60),'数据-汇总表'!D3)</f>
        <v>0</v>
      </c>
      <c r="F61" s="617"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2025-6-1</v>
      </c>
      <c r="D63" s="655">
        <f>EDATE(C63,-3)</f>
        <v>45717</v>
      </c>
      <c r="E63" s="655">
        <f>EDATE(D63,-3)</f>
        <v>45627</v>
      </c>
      <c r="F63" s="655">
        <f t="shared" ref="F63:O63" si="18">EDATE(E63,-3)</f>
        <v>45536</v>
      </c>
      <c r="G63" s="655">
        <f t="shared" si="18"/>
        <v>45444</v>
      </c>
      <c r="H63" s="655">
        <f t="shared" si="18"/>
        <v>45352</v>
      </c>
      <c r="I63" s="655">
        <f t="shared" si="18"/>
        <v>45261</v>
      </c>
      <c r="J63" s="655">
        <f t="shared" si="18"/>
        <v>45170</v>
      </c>
      <c r="K63" s="655">
        <f t="shared" si="18"/>
        <v>45078</v>
      </c>
      <c r="L63" s="655">
        <f t="shared" si="18"/>
        <v>44986</v>
      </c>
      <c r="M63" s="655">
        <f t="shared" si="18"/>
        <v>44896</v>
      </c>
      <c r="N63" s="655">
        <f t="shared" si="18"/>
        <v>44805</v>
      </c>
      <c r="O63" s="655">
        <f t="shared" si="18"/>
        <v>44713</v>
      </c>
      <c r="P63" s="2485"/>
      <c r="Q63" s="2485"/>
      <c r="R63" s="2485"/>
      <c r="S63" s="2485"/>
      <c r="T63" s="2485"/>
      <c r="U63" s="2485"/>
      <c r="V63" s="2485"/>
      <c r="W63" s="2485"/>
      <c r="X63" s="2485"/>
      <c r="Y63" s="2485"/>
      <c r="Z63" s="2485"/>
      <c r="AA63" s="2485"/>
      <c r="AB63" s="2485"/>
      <c r="AC63" s="2485"/>
      <c r="AD63" s="2485"/>
      <c r="AE63" s="2485"/>
    </row>
    <row r="64" spans="1:31" ht="22.2" thickBot="1">
      <c r="A64" s="657" t="s">
        <v>1798</v>
      </c>
      <c r="B64" s="385"/>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2" customFormat="1" ht="14.4">
      <c r="A65" s="1629" t="s">
        <v>1903</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1906</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1907</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1924</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1908</v>
      </c>
      <c r="D95" s="470" t="s">
        <v>1909</v>
      </c>
      <c r="E95" s="470" t="s">
        <v>1910</v>
      </c>
      <c r="F95" s="470" t="s">
        <v>1911</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1872</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1913</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1915</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1916</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2080</v>
      </c>
      <c r="B1" s="4"/>
      <c r="C1" s="4"/>
      <c r="D1" s="4"/>
      <c r="E1" s="4"/>
      <c r="F1" s="2542"/>
      <c r="G1" s="2542"/>
      <c r="H1" s="2542"/>
      <c r="I1" s="2542"/>
      <c r="J1" s="2542"/>
      <c r="K1" s="2542"/>
      <c r="L1" s="2542"/>
      <c r="M1" s="2542"/>
      <c r="N1" s="2542"/>
      <c r="O1" s="2542"/>
      <c r="P1" s="2542"/>
    </row>
    <row r="2" spans="1:16" ht="15.6">
      <c r="A2" s="1983" t="s">
        <v>2072</v>
      </c>
      <c r="B2" s="2386" t="e">
        <f ca="1">SUMIF(B6:B13,"&lt;&gt;#ref!",B6:B13)</f>
        <v>#DIV/0!</v>
      </c>
      <c r="C2" s="1983" t="s">
        <v>2073</v>
      </c>
      <c r="D2" s="1983" t="s">
        <v>2074</v>
      </c>
      <c r="E2" s="2396">
        <f ca="1">SUMIF(E6:E13,"&lt;&gt;#ref!",E6:E13)</f>
        <v>182.59</v>
      </c>
      <c r="F2" s="2542"/>
      <c r="G2" s="2542"/>
      <c r="H2" s="2542"/>
      <c r="I2" s="2542"/>
      <c r="J2" s="2542"/>
      <c r="K2" s="2542"/>
      <c r="L2" s="2542"/>
      <c r="M2" s="2542"/>
      <c r="N2" s="2542"/>
      <c r="O2" s="2542"/>
      <c r="P2" s="2542"/>
    </row>
    <row r="3" spans="1:16" ht="15.6">
      <c r="A3" s="1983" t="s">
        <v>2075</v>
      </c>
      <c r="B3" s="2386" t="e">
        <f ca="1">ROUND(B2*10000/E2,0)</f>
        <v>#DIV/0!</v>
      </c>
      <c r="C3" s="1983" t="s">
        <v>2081</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2076</v>
      </c>
      <c r="B5" s="2394" t="s">
        <v>2077</v>
      </c>
      <c r="C5" s="1984"/>
      <c r="D5" s="2542"/>
      <c r="E5" s="2395" t="s">
        <v>2078</v>
      </c>
      <c r="F5" s="2542"/>
      <c r="G5" s="2542"/>
      <c r="H5" s="2542"/>
      <c r="I5" s="2542"/>
      <c r="J5" s="2542"/>
      <c r="K5" s="2542"/>
      <c r="L5" s="2542"/>
      <c r="M5" s="2542"/>
      <c r="N5" s="2542"/>
      <c r="O5" s="2542"/>
      <c r="P5" s="2542"/>
    </row>
    <row r="6" spans="1:16" ht="15.6">
      <c r="A6" s="2393" t="s">
        <v>2079</v>
      </c>
      <c r="B6" s="2386" t="e">
        <f ca="1">SUMIF(INDIRECT("'"&amp;A6&amp;"'"&amp;"!A:A"),"总价",INDIRECT("'"&amp;A6&amp;"'"&amp;"!B:B"))</f>
        <v>#DIV/0!</v>
      </c>
      <c r="C6" s="1983" t="s">
        <v>2073</v>
      </c>
      <c r="D6" s="2542"/>
      <c r="E6" s="2396">
        <f ca="1">SUMIF(INDIRECT("'"&amp;A6&amp;"'"&amp;"!C:C"),"建筑面积",INDIRECT("'"&amp;A6&amp;"'"&amp;"!D:D"))</f>
        <v>182.59</v>
      </c>
      <c r="F6" s="2542"/>
      <c r="G6" s="2542"/>
      <c r="H6" s="2542"/>
      <c r="I6" s="2542"/>
      <c r="J6" s="2542"/>
      <c r="K6" s="2542"/>
      <c r="L6" s="2542"/>
      <c r="M6" s="2542"/>
      <c r="N6" s="2542"/>
      <c r="O6" s="2542"/>
      <c r="P6" s="2542"/>
    </row>
    <row r="7" spans="1:16" ht="15.6">
      <c r="A7" s="2393"/>
      <c r="B7" s="2386" t="e">
        <f ca="1">SUMIF(INDIRECT("'"&amp;A7&amp;"'"&amp;"!A:A"),"总价",INDIRECT("'"&amp;A7&amp;"'"&amp;"!B:B"))</f>
        <v>#REF!</v>
      </c>
      <c r="C7" s="1983" t="s">
        <v>2073</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2073</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2073</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2073</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2073</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2073</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2073</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2587</v>
      </c>
      <c r="B1" s="2809" t="s">
        <v>2588</v>
      </c>
      <c r="C1" s="2809" t="s">
        <v>2589</v>
      </c>
      <c r="D1" s="2809" t="s">
        <v>2590</v>
      </c>
      <c r="E1" s="2809" t="s">
        <v>2591</v>
      </c>
      <c r="F1" s="2809" t="s">
        <v>2592</v>
      </c>
      <c r="G1" s="2809" t="s">
        <v>2593</v>
      </c>
      <c r="H1" s="2809" t="s">
        <v>2594</v>
      </c>
      <c r="I1" s="2809" t="s">
        <v>2595</v>
      </c>
      <c r="J1" s="2809" t="s">
        <v>2596</v>
      </c>
      <c r="K1" s="2809" t="s">
        <v>2597</v>
      </c>
      <c r="L1" s="2809" t="s">
        <v>2598</v>
      </c>
      <c r="M1" s="2810" t="s">
        <v>2599</v>
      </c>
    </row>
    <row r="2" spans="1:13" ht="19.5" customHeight="1">
      <c r="A2" s="2812" t="s">
        <v>2600</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2601</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2602</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2603</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2604</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2605</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2606</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2607</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2608</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2609</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2610</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2611</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2612</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2613</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2614</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2615</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2616</v>
      </c>
      <c r="B18" s="2834"/>
      <c r="C18" s="2835"/>
      <c r="D18" s="2835"/>
      <c r="E18" s="2834"/>
      <c r="F18" s="2835"/>
      <c r="G18" s="2835"/>
    </row>
    <row r="19" spans="1:13" ht="19.5" customHeight="1" thickBot="1">
      <c r="A19" s="2832" t="s">
        <v>2617</v>
      </c>
      <c r="B19" s="2837" t="s">
        <v>2618</v>
      </c>
      <c r="C19" s="2837" t="s">
        <v>2619</v>
      </c>
      <c r="D19" s="2838"/>
      <c r="E19" s="2832" t="s">
        <v>2620</v>
      </c>
      <c r="F19" s="2839"/>
      <c r="G19" s="2839"/>
    </row>
    <row r="20" spans="1:13" ht="19.5" customHeight="1">
      <c r="A20" s="3528" t="s">
        <v>2600</v>
      </c>
      <c r="B20" s="3521" t="s">
        <v>2621</v>
      </c>
      <c r="C20" s="2840" t="s">
        <v>2432</v>
      </c>
      <c r="D20" s="2841"/>
      <c r="E20" s="2842">
        <v>1</v>
      </c>
      <c r="F20" s="2843" t="s">
        <v>2433</v>
      </c>
      <c r="G20" s="2843"/>
    </row>
    <row r="21" spans="1:13" ht="19.5" customHeight="1">
      <c r="A21" s="3529"/>
      <c r="B21" s="3522"/>
      <c r="C21" s="2844" t="s">
        <v>2434</v>
      </c>
      <c r="D21" s="2845"/>
      <c r="E21" s="2846">
        <v>1</v>
      </c>
      <c r="F21" s="2843" t="s">
        <v>2435</v>
      </c>
      <c r="G21" s="2843"/>
    </row>
    <row r="22" spans="1:13" ht="19.5" customHeight="1">
      <c r="A22" s="3529"/>
      <c r="B22" s="3522"/>
      <c r="C22" s="2844" t="s">
        <v>2436</v>
      </c>
      <c r="D22" s="2845"/>
      <c r="E22" s="2846">
        <v>0.9</v>
      </c>
      <c r="F22" s="2843" t="s">
        <v>2437</v>
      </c>
      <c r="G22" s="2843"/>
    </row>
    <row r="23" spans="1:13" ht="19.5" customHeight="1">
      <c r="A23" s="3529"/>
      <c r="B23" s="3522"/>
      <c r="C23" s="2844" t="s">
        <v>2438</v>
      </c>
      <c r="D23" s="2845"/>
      <c r="E23" s="2846">
        <v>0.9</v>
      </c>
      <c r="F23" s="2843" t="s">
        <v>2439</v>
      </c>
      <c r="G23" s="2843"/>
    </row>
    <row r="24" spans="1:13" ht="19.5" customHeight="1">
      <c r="A24" s="3529"/>
      <c r="B24" s="3522"/>
      <c r="C24" s="2844" t="s">
        <v>2440</v>
      </c>
      <c r="D24" s="2845"/>
      <c r="E24" s="2846">
        <v>0.8</v>
      </c>
      <c r="F24" s="2843" t="s">
        <v>2441</v>
      </c>
      <c r="G24" s="2843"/>
    </row>
    <row r="25" spans="1:13" ht="19.5" customHeight="1" thickBot="1">
      <c r="A25" s="3530"/>
      <c r="B25" s="3523"/>
      <c r="C25" s="2847" t="s">
        <v>2442</v>
      </c>
      <c r="D25" s="2848"/>
      <c r="E25" s="2849">
        <v>0.8</v>
      </c>
      <c r="F25" s="2843" t="s">
        <v>2443</v>
      </c>
      <c r="G25" s="2843"/>
    </row>
    <row r="26" spans="1:13" ht="19.5" customHeight="1" thickBot="1">
      <c r="A26" s="2850" t="s">
        <v>2622</v>
      </c>
      <c r="B26" s="2851" t="s">
        <v>2621</v>
      </c>
      <c r="C26" s="2852" t="s">
        <v>2623</v>
      </c>
      <c r="D26" s="2853"/>
      <c r="E26" s="2854">
        <v>1</v>
      </c>
      <c r="F26" s="2843" t="s">
        <v>2444</v>
      </c>
      <c r="G26" s="2843"/>
    </row>
    <row r="27" spans="1:13" ht="19.5" customHeight="1">
      <c r="A27" s="3524" t="s">
        <v>2624</v>
      </c>
      <c r="B27" s="3521" t="s">
        <v>2605</v>
      </c>
      <c r="C27" s="2840" t="s">
        <v>2445</v>
      </c>
      <c r="D27" s="2841"/>
      <c r="E27" s="2842">
        <v>1</v>
      </c>
      <c r="F27" s="2843" t="s">
        <v>2446</v>
      </c>
      <c r="G27" s="2843"/>
    </row>
    <row r="28" spans="1:13" ht="19.5" customHeight="1">
      <c r="A28" s="3525"/>
      <c r="B28" s="3522"/>
      <c r="C28" s="2844" t="s">
        <v>2447</v>
      </c>
      <c r="D28" s="2845"/>
      <c r="E28" s="2846">
        <v>1</v>
      </c>
      <c r="F28" s="2843" t="s">
        <v>2448</v>
      </c>
      <c r="G28" s="2843"/>
    </row>
    <row r="29" spans="1:13" ht="19.5" customHeight="1">
      <c r="A29" s="3525"/>
      <c r="B29" s="3522"/>
      <c r="C29" s="2844" t="s">
        <v>2449</v>
      </c>
      <c r="D29" s="2845"/>
      <c r="E29" s="2846">
        <v>0.8</v>
      </c>
      <c r="F29" s="2843" t="s">
        <v>2450</v>
      </c>
      <c r="G29" s="2843"/>
    </row>
    <row r="30" spans="1:13" ht="19.5" customHeight="1">
      <c r="A30" s="3525"/>
      <c r="B30" s="3522"/>
      <c r="C30" s="2844" t="s">
        <v>2451</v>
      </c>
      <c r="D30" s="2845"/>
      <c r="E30" s="2846">
        <v>0.8</v>
      </c>
      <c r="F30" s="2843" t="s">
        <v>2452</v>
      </c>
      <c r="G30" s="2843"/>
    </row>
    <row r="31" spans="1:13" ht="19.5" customHeight="1">
      <c r="A31" s="3525"/>
      <c r="B31" s="3522"/>
      <c r="C31" s="2844" t="s">
        <v>2453</v>
      </c>
      <c r="D31" s="2845"/>
      <c r="E31" s="2846">
        <v>0.8</v>
      </c>
      <c r="F31" s="2843" t="s">
        <v>2454</v>
      </c>
      <c r="G31" s="2843"/>
    </row>
    <row r="32" spans="1:13" ht="19.5" customHeight="1">
      <c r="A32" s="3525"/>
      <c r="B32" s="3522"/>
      <c r="C32" s="2844" t="s">
        <v>2455</v>
      </c>
      <c r="D32" s="2845"/>
      <c r="E32" s="2846">
        <v>0.7</v>
      </c>
      <c r="F32" s="2843" t="s">
        <v>2456</v>
      </c>
      <c r="G32" s="2843"/>
    </row>
    <row r="33" spans="1:7" ht="19.5" customHeight="1">
      <c r="A33" s="3525"/>
      <c r="B33" s="3522"/>
      <c r="C33" s="2844" t="s">
        <v>2457</v>
      </c>
      <c r="D33" s="2845"/>
      <c r="E33" s="2846">
        <v>0.8</v>
      </c>
      <c r="F33" s="2843" t="s">
        <v>2458</v>
      </c>
      <c r="G33" s="2843"/>
    </row>
    <row r="34" spans="1:7" ht="19.5" customHeight="1">
      <c r="A34" s="3525"/>
      <c r="B34" s="3522"/>
      <c r="C34" s="2844" t="s">
        <v>2459</v>
      </c>
      <c r="D34" s="2845"/>
      <c r="E34" s="2846">
        <v>0.6</v>
      </c>
      <c r="F34" s="2843" t="s">
        <v>2460</v>
      </c>
      <c r="G34" s="2843"/>
    </row>
    <row r="35" spans="1:7" ht="19.5" customHeight="1">
      <c r="A35" s="3525"/>
      <c r="B35" s="3522"/>
      <c r="C35" s="2844" t="s">
        <v>2461</v>
      </c>
      <c r="D35" s="2845"/>
      <c r="E35" s="2846">
        <v>0.2</v>
      </c>
      <c r="F35" s="2843" t="s">
        <v>2462</v>
      </c>
      <c r="G35" s="2843"/>
    </row>
    <row r="36" spans="1:7" ht="19.5" customHeight="1">
      <c r="A36" s="3525"/>
      <c r="B36" s="3522"/>
      <c r="C36" s="2844" t="s">
        <v>2463</v>
      </c>
      <c r="D36" s="2845"/>
      <c r="E36" s="2846">
        <v>0.2</v>
      </c>
      <c r="F36" s="2843" t="s">
        <v>2464</v>
      </c>
      <c r="G36" s="2843"/>
    </row>
    <row r="37" spans="1:7" ht="19.5" customHeight="1">
      <c r="A37" s="3525"/>
      <c r="B37" s="3527" t="s">
        <v>2625</v>
      </c>
      <c r="C37" s="2844" t="s">
        <v>2465</v>
      </c>
      <c r="D37" s="2845"/>
      <c r="E37" s="2846">
        <v>0.6</v>
      </c>
      <c r="F37" s="2843" t="s">
        <v>2466</v>
      </c>
      <c r="G37" s="2843"/>
    </row>
    <row r="38" spans="1:7" ht="19.5" customHeight="1">
      <c r="A38" s="3525"/>
      <c r="B38" s="3522"/>
      <c r="C38" s="2844" t="s">
        <v>2467</v>
      </c>
      <c r="D38" s="2845"/>
      <c r="E38" s="2846">
        <v>0.6</v>
      </c>
      <c r="F38" s="2843" t="s">
        <v>2468</v>
      </c>
      <c r="G38" s="2843"/>
    </row>
    <row r="39" spans="1:7" ht="19.5" customHeight="1" thickBot="1">
      <c r="A39" s="3526"/>
      <c r="B39" s="3523"/>
      <c r="C39" s="2847" t="s">
        <v>2469</v>
      </c>
      <c r="D39" s="2848"/>
      <c r="E39" s="2849">
        <v>0.6</v>
      </c>
      <c r="F39" s="2843" t="s">
        <v>2470</v>
      </c>
      <c r="G39" s="2843"/>
    </row>
    <row r="40" spans="1:7" ht="19.5" customHeight="1" thickBot="1">
      <c r="A40" s="2850" t="s">
        <v>2602</v>
      </c>
      <c r="B40" s="2851" t="s">
        <v>2602</v>
      </c>
      <c r="C40" s="2852" t="s">
        <v>2626</v>
      </c>
      <c r="D40" s="2853"/>
      <c r="E40" s="2854">
        <v>1</v>
      </c>
      <c r="F40" s="2843" t="s">
        <v>2471</v>
      </c>
      <c r="G40" s="2843"/>
    </row>
    <row r="41" spans="1:7" ht="19.5" customHeight="1">
      <c r="A41" s="3528" t="s">
        <v>2603</v>
      </c>
      <c r="B41" s="3521" t="s">
        <v>2627</v>
      </c>
      <c r="C41" s="2840" t="s">
        <v>2472</v>
      </c>
      <c r="D41" s="2841"/>
      <c r="E41" s="2842">
        <v>1</v>
      </c>
      <c r="F41" s="2843" t="s">
        <v>2473</v>
      </c>
      <c r="G41" s="2843"/>
    </row>
    <row r="42" spans="1:7" ht="19.5" customHeight="1">
      <c r="A42" s="3529"/>
      <c r="B42" s="3522"/>
      <c r="C42" s="2844" t="s">
        <v>2474</v>
      </c>
      <c r="D42" s="2845"/>
      <c r="E42" s="2846">
        <v>1</v>
      </c>
      <c r="F42" s="2843" t="s">
        <v>2475</v>
      </c>
      <c r="G42" s="2843"/>
    </row>
    <row r="43" spans="1:7" ht="19.5" customHeight="1">
      <c r="A43" s="3529"/>
      <c r="B43" s="3531"/>
      <c r="C43" s="2844" t="s">
        <v>2476</v>
      </c>
      <c r="D43" s="2845"/>
      <c r="E43" s="2846">
        <v>1.5</v>
      </c>
      <c r="F43" s="2843" t="s">
        <v>2477</v>
      </c>
      <c r="G43" s="2843"/>
    </row>
    <row r="44" spans="1:7" ht="19.5" customHeight="1">
      <c r="A44" s="3529"/>
      <c r="B44" s="2855" t="s">
        <v>2628</v>
      </c>
      <c r="C44" s="2844" t="s">
        <v>2629</v>
      </c>
      <c r="D44" s="2845"/>
      <c r="E44" s="2846">
        <v>2</v>
      </c>
      <c r="F44" s="2843" t="s">
        <v>2478</v>
      </c>
      <c r="G44" s="2843"/>
    </row>
    <row r="45" spans="1:7" ht="19.5" customHeight="1">
      <c r="A45" s="3529"/>
      <c r="B45" s="3527" t="s">
        <v>2630</v>
      </c>
      <c r="C45" s="2844" t="s">
        <v>2479</v>
      </c>
      <c r="D45" s="2845"/>
      <c r="E45" s="2846">
        <v>1</v>
      </c>
      <c r="F45" s="2843" t="s">
        <v>2480</v>
      </c>
      <c r="G45" s="2843"/>
    </row>
    <row r="46" spans="1:7" ht="19.5" customHeight="1">
      <c r="A46" s="3529"/>
      <c r="B46" s="3522"/>
      <c r="C46" s="2844" t="s">
        <v>2481</v>
      </c>
      <c r="D46" s="2845"/>
      <c r="E46" s="2846">
        <v>1</v>
      </c>
      <c r="F46" s="2843" t="s">
        <v>2482</v>
      </c>
      <c r="G46" s="2843"/>
    </row>
    <row r="47" spans="1:7" ht="19.5" customHeight="1">
      <c r="A47" s="3529"/>
      <c r="B47" s="3522"/>
      <c r="C47" s="2844" t="s">
        <v>2483</v>
      </c>
      <c r="D47" s="2845"/>
      <c r="E47" s="2846">
        <v>1</v>
      </c>
      <c r="F47" s="2843" t="s">
        <v>2484</v>
      </c>
      <c r="G47" s="2843"/>
    </row>
    <row r="48" spans="1:7" ht="19.5" customHeight="1">
      <c r="A48" s="3529"/>
      <c r="B48" s="3522"/>
      <c r="C48" s="2844" t="s">
        <v>2485</v>
      </c>
      <c r="D48" s="2845"/>
      <c r="E48" s="2846">
        <v>1</v>
      </c>
      <c r="F48" s="2843" t="s">
        <v>2486</v>
      </c>
      <c r="G48" s="2843"/>
    </row>
    <row r="49" spans="1:7" ht="19.5" customHeight="1">
      <c r="A49" s="3529"/>
      <c r="B49" s="3522"/>
      <c r="C49" s="2844" t="s">
        <v>2487</v>
      </c>
      <c r="D49" s="2845"/>
      <c r="E49" s="2846">
        <v>1</v>
      </c>
      <c r="F49" s="2843" t="s">
        <v>2488</v>
      </c>
      <c r="G49" s="2843"/>
    </row>
    <row r="50" spans="1:7" ht="19.5" customHeight="1">
      <c r="A50" s="3529"/>
      <c r="B50" s="3522"/>
      <c r="C50" s="2844" t="s">
        <v>2489</v>
      </c>
      <c r="D50" s="2845"/>
      <c r="E50" s="2846">
        <v>1</v>
      </c>
      <c r="F50" s="2843" t="s">
        <v>2490</v>
      </c>
      <c r="G50" s="2843"/>
    </row>
    <row r="51" spans="1:7" ht="19.5" customHeight="1" thickBot="1">
      <c r="A51" s="3530"/>
      <c r="B51" s="3523"/>
      <c r="C51" s="2847" t="s">
        <v>2491</v>
      </c>
      <c r="D51" s="2848"/>
      <c r="E51" s="2849">
        <v>1</v>
      </c>
      <c r="F51" s="2843" t="s">
        <v>2492</v>
      </c>
      <c r="G51" s="2843"/>
    </row>
    <row r="52" spans="1:7" ht="19.5" customHeight="1">
      <c r="A52" s="2856"/>
      <c r="B52" s="2856"/>
      <c r="C52" s="2856"/>
      <c r="D52" s="2856"/>
      <c r="E52" s="2856"/>
      <c r="F52" s="2856"/>
      <c r="G52" s="2856"/>
    </row>
    <row r="54" spans="1:7" ht="19.5" customHeight="1">
      <c r="A54" s="2857"/>
      <c r="B54" s="2829" t="s">
        <v>2631</v>
      </c>
      <c r="C54" s="2829" t="s">
        <v>2631</v>
      </c>
      <c r="D54" s="2829" t="s">
        <v>2631</v>
      </c>
      <c r="E54" s="2832" t="s">
        <v>2631</v>
      </c>
      <c r="F54" s="2832" t="s">
        <v>2632</v>
      </c>
      <c r="G54" s="2832" t="s">
        <v>2633</v>
      </c>
    </row>
    <row r="55" spans="1:7" ht="19.5" customHeight="1">
      <c r="A55" s="2858"/>
      <c r="B55" s="2832" t="s">
        <v>2600</v>
      </c>
      <c r="C55" s="2832" t="s">
        <v>2600</v>
      </c>
      <c r="D55" s="2832" t="s">
        <v>2600</v>
      </c>
      <c r="E55" s="2829" t="s">
        <v>2601</v>
      </c>
      <c r="F55" s="2829" t="s">
        <v>2603</v>
      </c>
      <c r="G55" s="2829" t="s">
        <v>2634</v>
      </c>
    </row>
    <row r="56" spans="1:7" ht="19.5" customHeight="1">
      <c r="A56" s="2859"/>
      <c r="B56" s="2829">
        <v>1</v>
      </c>
      <c r="C56" s="2829">
        <v>2</v>
      </c>
      <c r="D56" s="2829">
        <v>3</v>
      </c>
      <c r="E56" s="2860" t="s">
        <v>2635</v>
      </c>
      <c r="F56" s="2860" t="s">
        <v>2635</v>
      </c>
      <c r="G56" s="2860" t="s">
        <v>2635</v>
      </c>
    </row>
    <row r="57" spans="1:7" ht="19.5" customHeight="1">
      <c r="A57" s="2861" t="s">
        <v>2588</v>
      </c>
      <c r="B57" s="2829">
        <v>0.7</v>
      </c>
      <c r="C57" s="2829">
        <v>0.4</v>
      </c>
      <c r="D57" s="2829">
        <v>0.3</v>
      </c>
      <c r="E57" s="2860">
        <v>0.3</v>
      </c>
      <c r="F57" s="2829">
        <v>0.3</v>
      </c>
      <c r="G57" s="2829">
        <v>0.2</v>
      </c>
    </row>
    <row r="58" spans="1:7" ht="19.5" customHeight="1">
      <c r="A58" s="2861" t="s">
        <v>2589</v>
      </c>
      <c r="B58" s="2829">
        <v>0.7</v>
      </c>
      <c r="C58" s="2829">
        <v>0.4</v>
      </c>
      <c r="D58" s="2829">
        <v>0.3</v>
      </c>
      <c r="E58" s="2829">
        <v>0.3</v>
      </c>
      <c r="F58" s="2829">
        <v>0.3</v>
      </c>
      <c r="G58" s="2829">
        <v>0.2</v>
      </c>
    </row>
    <row r="59" spans="1:7" ht="19.5" customHeight="1">
      <c r="A59" s="2861" t="s">
        <v>2590</v>
      </c>
      <c r="B59" s="2829">
        <v>0.6</v>
      </c>
      <c r="C59" s="2829">
        <v>0.3</v>
      </c>
      <c r="D59" s="2829">
        <v>0.25</v>
      </c>
      <c r="E59" s="2829">
        <v>0.25</v>
      </c>
      <c r="F59" s="2829">
        <v>0.25</v>
      </c>
      <c r="G59" s="2829">
        <v>0.15</v>
      </c>
    </row>
    <row r="60" spans="1:7" ht="19.5" customHeight="1">
      <c r="A60" s="2861" t="s">
        <v>2591</v>
      </c>
      <c r="B60" s="2829">
        <v>0.6</v>
      </c>
      <c r="C60" s="2829">
        <v>0.3</v>
      </c>
      <c r="D60" s="2829">
        <v>0.25</v>
      </c>
      <c r="E60" s="2829">
        <v>0.25</v>
      </c>
      <c r="F60" s="2829">
        <v>0.25</v>
      </c>
      <c r="G60" s="2829">
        <v>0.15</v>
      </c>
    </row>
    <row r="61" spans="1:7" ht="19.5" customHeight="1">
      <c r="A61" s="2861" t="s">
        <v>2592</v>
      </c>
      <c r="B61" s="2829">
        <v>0.6</v>
      </c>
      <c r="C61" s="2829">
        <v>0.3</v>
      </c>
      <c r="D61" s="2829">
        <v>0.25</v>
      </c>
      <c r="E61" s="2829">
        <v>0.25</v>
      </c>
      <c r="F61" s="2829">
        <v>0.25</v>
      </c>
      <c r="G61" s="2829">
        <v>0.15</v>
      </c>
    </row>
    <row r="62" spans="1:7" ht="19.5" customHeight="1">
      <c r="A62" s="2861" t="s">
        <v>2593</v>
      </c>
      <c r="B62" s="2829">
        <v>0.6</v>
      </c>
      <c r="C62" s="2829">
        <v>0.3</v>
      </c>
      <c r="D62" s="2829">
        <v>0.25</v>
      </c>
      <c r="E62" s="2829">
        <v>0.25</v>
      </c>
      <c r="F62" s="2829">
        <v>0.25</v>
      </c>
      <c r="G62" s="2829">
        <v>0.15</v>
      </c>
    </row>
    <row r="63" spans="1:7" ht="19.5" customHeight="1">
      <c r="A63" s="2861" t="s">
        <v>2594</v>
      </c>
      <c r="B63" s="2829">
        <v>0.6</v>
      </c>
      <c r="C63" s="2829">
        <v>0.3</v>
      </c>
      <c r="D63" s="2829">
        <v>0.25</v>
      </c>
      <c r="E63" s="2829">
        <v>0.25</v>
      </c>
      <c r="F63" s="2829">
        <v>0.25</v>
      </c>
      <c r="G63" s="2829">
        <v>0.15</v>
      </c>
    </row>
    <row r="64" spans="1:7" ht="19.5" customHeight="1">
      <c r="A64" s="2861" t="s">
        <v>2595</v>
      </c>
      <c r="B64" s="2829">
        <v>0.5</v>
      </c>
      <c r="C64" s="2829">
        <v>0.2</v>
      </c>
      <c r="D64" s="2829">
        <v>0.2</v>
      </c>
      <c r="E64" s="2829">
        <v>0.2</v>
      </c>
      <c r="F64" s="2829">
        <v>0.2</v>
      </c>
      <c r="G64" s="2829">
        <v>0.1</v>
      </c>
    </row>
    <row r="65" spans="1:7" ht="19.5" customHeight="1">
      <c r="A65" s="2861" t="s">
        <v>2596</v>
      </c>
      <c r="B65" s="2829">
        <v>0.5</v>
      </c>
      <c r="C65" s="2829">
        <v>0.2</v>
      </c>
      <c r="D65" s="2829">
        <v>0.2</v>
      </c>
      <c r="E65" s="2829">
        <v>0.2</v>
      </c>
      <c r="F65" s="2829">
        <v>0.2</v>
      </c>
      <c r="G65" s="2829">
        <v>0.1</v>
      </c>
    </row>
    <row r="66" spans="1:7" ht="19.5" customHeight="1">
      <c r="A66" s="2861" t="s">
        <v>2597</v>
      </c>
      <c r="B66" s="2829">
        <v>0.5</v>
      </c>
      <c r="C66" s="2829">
        <v>0.2</v>
      </c>
      <c r="D66" s="2829">
        <v>0.2</v>
      </c>
      <c r="E66" s="2829">
        <v>0.2</v>
      </c>
      <c r="F66" s="2829">
        <v>0.2</v>
      </c>
      <c r="G66" s="2829">
        <v>0.1</v>
      </c>
    </row>
    <row r="67" spans="1:7" ht="19.5" customHeight="1">
      <c r="A67" s="2861" t="s">
        <v>2598</v>
      </c>
      <c r="B67" s="2829">
        <v>0.5</v>
      </c>
      <c r="C67" s="2829">
        <v>0.2</v>
      </c>
      <c r="D67" s="2829">
        <v>0.2</v>
      </c>
      <c r="E67" s="2829">
        <v>0.2</v>
      </c>
      <c r="F67" s="2829">
        <v>0.2</v>
      </c>
      <c r="G67" s="2829">
        <v>0.1</v>
      </c>
    </row>
    <row r="68" spans="1:7" ht="19.5" customHeight="1">
      <c r="A68" s="2861" t="s">
        <v>2599</v>
      </c>
      <c r="B68" s="2829">
        <v>0.5</v>
      </c>
      <c r="C68" s="2829">
        <v>0.2</v>
      </c>
      <c r="D68" s="2829">
        <v>0.2</v>
      </c>
      <c r="E68" s="2829">
        <v>0.2</v>
      </c>
      <c r="F68" s="2829">
        <v>0.2</v>
      </c>
      <c r="G68" s="2829">
        <v>0.1</v>
      </c>
    </row>
    <row r="70" spans="1:7" ht="19.5" customHeight="1">
      <c r="A70" s="2843"/>
      <c r="B70" s="2862"/>
      <c r="C70" s="2862"/>
      <c r="D70" s="2862" t="s">
        <v>2636</v>
      </c>
      <c r="E70" s="2862"/>
      <c r="F70" s="2862"/>
    </row>
    <row r="71" spans="1:7" ht="19.5" customHeight="1">
      <c r="A71" s="2855" t="s">
        <v>2637</v>
      </c>
      <c r="B71" s="2855" t="s">
        <v>2638</v>
      </c>
      <c r="C71" s="2855" t="s">
        <v>2639</v>
      </c>
      <c r="D71" s="2855" t="s">
        <v>2640</v>
      </c>
      <c r="E71" s="2855" t="s">
        <v>2641</v>
      </c>
      <c r="F71" s="2855" t="s">
        <v>2642</v>
      </c>
    </row>
    <row r="72" spans="1:7" ht="14.4">
      <c r="A72" s="2855"/>
      <c r="B72" s="2855"/>
      <c r="C72" s="2855" t="s">
        <v>2643</v>
      </c>
      <c r="D72" s="2855"/>
      <c r="E72" s="2855" t="s">
        <v>2614</v>
      </c>
      <c r="F72" s="2855" t="s">
        <v>2614</v>
      </c>
    </row>
    <row r="73" spans="1:7" ht="14.4">
      <c r="A73" s="2855">
        <v>1</v>
      </c>
      <c r="B73" s="3527" t="s">
        <v>2644</v>
      </c>
      <c r="C73" s="2829" t="s">
        <v>2645</v>
      </c>
      <c r="D73" s="2829" t="s">
        <v>2646</v>
      </c>
      <c r="E73" s="2855">
        <v>0.2</v>
      </c>
      <c r="F73" s="2855">
        <v>25</v>
      </c>
    </row>
    <row r="74" spans="1:7" ht="24">
      <c r="A74" s="2855">
        <v>2</v>
      </c>
      <c r="B74" s="3522"/>
      <c r="C74" s="2829" t="s">
        <v>2647</v>
      </c>
      <c r="D74" s="2829" t="s">
        <v>2648</v>
      </c>
      <c r="E74" s="2855">
        <v>0.2</v>
      </c>
      <c r="F74" s="2855">
        <v>25</v>
      </c>
    </row>
    <row r="75" spans="1:7" ht="24">
      <c r="A75" s="2855">
        <v>3</v>
      </c>
      <c r="B75" s="3522"/>
      <c r="C75" s="2829" t="s">
        <v>2649</v>
      </c>
      <c r="D75" s="2829" t="s">
        <v>2650</v>
      </c>
      <c r="E75" s="2855">
        <v>0.2</v>
      </c>
      <c r="F75" s="2855">
        <v>25</v>
      </c>
    </row>
    <row r="76" spans="1:7" ht="14.4">
      <c r="A76" s="2855">
        <v>4</v>
      </c>
      <c r="B76" s="3522"/>
      <c r="C76" s="2829" t="s">
        <v>2651</v>
      </c>
      <c r="D76" s="2829" t="s">
        <v>2652</v>
      </c>
      <c r="E76" s="2855">
        <v>0.15</v>
      </c>
      <c r="F76" s="2855">
        <v>20</v>
      </c>
    </row>
    <row r="77" spans="1:7" ht="24">
      <c r="A77" s="2855">
        <v>5</v>
      </c>
      <c r="B77" s="3522"/>
      <c r="C77" s="2829" t="s">
        <v>2653</v>
      </c>
      <c r="D77" s="2829" t="s">
        <v>2654</v>
      </c>
      <c r="E77" s="2855">
        <v>0.15</v>
      </c>
      <c r="F77" s="2855">
        <v>20</v>
      </c>
    </row>
    <row r="78" spans="1:7" ht="24">
      <c r="A78" s="2855">
        <v>6</v>
      </c>
      <c r="B78" s="3522"/>
      <c r="C78" s="2829" t="s">
        <v>2655</v>
      </c>
      <c r="D78" s="2829" t="s">
        <v>2656</v>
      </c>
      <c r="E78" s="2855">
        <v>0.15</v>
      </c>
      <c r="F78" s="2855">
        <v>20</v>
      </c>
    </row>
    <row r="79" spans="1:7" ht="24">
      <c r="A79" s="2855">
        <v>7</v>
      </c>
      <c r="B79" s="3522"/>
      <c r="C79" s="2829" t="s">
        <v>2657</v>
      </c>
      <c r="D79" s="2829" t="s">
        <v>2658</v>
      </c>
      <c r="E79" s="2855">
        <v>0.15</v>
      </c>
      <c r="F79" s="2855">
        <v>20</v>
      </c>
    </row>
    <row r="80" spans="1:7" ht="24">
      <c r="A80" s="2855">
        <v>8</v>
      </c>
      <c r="B80" s="3522"/>
      <c r="C80" s="2829" t="s">
        <v>2659</v>
      </c>
      <c r="D80" s="2829" t="s">
        <v>2660</v>
      </c>
      <c r="E80" s="2855">
        <v>0.1</v>
      </c>
      <c r="F80" s="2855">
        <v>15</v>
      </c>
    </row>
    <row r="81" spans="1:6" ht="24">
      <c r="A81" s="2855">
        <v>9</v>
      </c>
      <c r="B81" s="3522"/>
      <c r="C81" s="2829" t="s">
        <v>2661</v>
      </c>
      <c r="D81" s="2829" t="s">
        <v>2662</v>
      </c>
      <c r="E81" s="2855">
        <v>0.1</v>
      </c>
      <c r="F81" s="2855">
        <v>15</v>
      </c>
    </row>
    <row r="82" spans="1:6" ht="24">
      <c r="A82" s="2855">
        <v>10</v>
      </c>
      <c r="B82" s="3522"/>
      <c r="C82" s="2829" t="s">
        <v>2663</v>
      </c>
      <c r="D82" s="2829" t="s">
        <v>2664</v>
      </c>
      <c r="E82" s="2855">
        <v>0.1</v>
      </c>
      <c r="F82" s="2855">
        <v>15</v>
      </c>
    </row>
    <row r="83" spans="1:6" ht="24">
      <c r="A83" s="2855">
        <v>11</v>
      </c>
      <c r="B83" s="3522"/>
      <c r="C83" s="2829" t="s">
        <v>2665</v>
      </c>
      <c r="D83" s="2829" t="s">
        <v>2666</v>
      </c>
      <c r="E83" s="2855">
        <v>0.1</v>
      </c>
      <c r="F83" s="2855">
        <v>15</v>
      </c>
    </row>
    <row r="84" spans="1:6" ht="24">
      <c r="A84" s="2855">
        <v>12</v>
      </c>
      <c r="B84" s="3522"/>
      <c r="C84" s="2829" t="s">
        <v>2667</v>
      </c>
      <c r="D84" s="2829" t="s">
        <v>2668</v>
      </c>
      <c r="E84" s="2855">
        <v>0.1</v>
      </c>
      <c r="F84" s="2855">
        <v>15</v>
      </c>
    </row>
    <row r="85" spans="1:6" ht="24">
      <c r="A85" s="2855">
        <v>13</v>
      </c>
      <c r="B85" s="3522"/>
      <c r="C85" s="2829" t="s">
        <v>2669</v>
      </c>
      <c r="D85" s="2829" t="s">
        <v>2670</v>
      </c>
      <c r="E85" s="2855">
        <v>0.1</v>
      </c>
      <c r="F85" s="2855">
        <v>15</v>
      </c>
    </row>
    <row r="86" spans="1:6" ht="24">
      <c r="A86" s="2855">
        <v>14</v>
      </c>
      <c r="B86" s="3522"/>
      <c r="C86" s="2829" t="s">
        <v>2671</v>
      </c>
      <c r="D86" s="2829" t="s">
        <v>2672</v>
      </c>
      <c r="E86" s="2855">
        <v>0.1</v>
      </c>
      <c r="F86" s="2855">
        <v>15</v>
      </c>
    </row>
    <row r="87" spans="1:6" ht="24">
      <c r="A87" s="2855">
        <v>15</v>
      </c>
      <c r="B87" s="3522"/>
      <c r="C87" s="2829" t="s">
        <v>2673</v>
      </c>
      <c r="D87" s="2829" t="s">
        <v>2674</v>
      </c>
      <c r="E87" s="2855">
        <v>0.1</v>
      </c>
      <c r="F87" s="2855">
        <v>15</v>
      </c>
    </row>
    <row r="88" spans="1:6" ht="24">
      <c r="A88" s="2855">
        <v>16</v>
      </c>
      <c r="B88" s="3522"/>
      <c r="C88" s="2829" t="s">
        <v>2675</v>
      </c>
      <c r="D88" s="2829" t="s">
        <v>2676</v>
      </c>
      <c r="E88" s="2855">
        <v>0.1</v>
      </c>
      <c r="F88" s="2855">
        <v>15</v>
      </c>
    </row>
    <row r="89" spans="1:6" ht="24">
      <c r="A89" s="2855">
        <v>17</v>
      </c>
      <c r="B89" s="3531"/>
      <c r="C89" s="2829" t="s">
        <v>2677</v>
      </c>
      <c r="D89" s="2829" t="s">
        <v>2678</v>
      </c>
      <c r="E89" s="2855">
        <v>0.1</v>
      </c>
      <c r="F89" s="2855">
        <v>15</v>
      </c>
    </row>
    <row r="90" spans="1:6" ht="14.4">
      <c r="A90" s="2855">
        <v>18</v>
      </c>
      <c r="B90" s="3527" t="s">
        <v>2679</v>
      </c>
      <c r="C90" s="2829" t="s">
        <v>2680</v>
      </c>
      <c r="D90" s="2829" t="s">
        <v>2681</v>
      </c>
      <c r="E90" s="2855">
        <v>0.2</v>
      </c>
      <c r="F90" s="2855">
        <v>25</v>
      </c>
    </row>
    <row r="91" spans="1:6" ht="24">
      <c r="A91" s="2855">
        <v>19</v>
      </c>
      <c r="B91" s="3522"/>
      <c r="C91" s="2829" t="s">
        <v>2682</v>
      </c>
      <c r="D91" s="2829" t="s">
        <v>2683</v>
      </c>
      <c r="E91" s="2855">
        <v>0.2</v>
      </c>
      <c r="F91" s="2855">
        <v>25</v>
      </c>
    </row>
    <row r="92" spans="1:6" ht="14.4">
      <c r="A92" s="2855">
        <v>20</v>
      </c>
      <c r="B92" s="3522"/>
      <c r="C92" s="2829" t="s">
        <v>2684</v>
      </c>
      <c r="D92" s="2829" t="s">
        <v>2685</v>
      </c>
      <c r="E92" s="2855">
        <v>0.15</v>
      </c>
      <c r="F92" s="2855">
        <v>20</v>
      </c>
    </row>
    <row r="93" spans="1:6" ht="24">
      <c r="A93" s="2855">
        <v>21</v>
      </c>
      <c r="B93" s="3522"/>
      <c r="C93" s="2829" t="s">
        <v>2686</v>
      </c>
      <c r="D93" s="2829" t="s">
        <v>2687</v>
      </c>
      <c r="E93" s="2855">
        <v>0.15</v>
      </c>
      <c r="F93" s="2855">
        <v>20</v>
      </c>
    </row>
    <row r="94" spans="1:6" ht="24">
      <c r="A94" s="2855">
        <v>22</v>
      </c>
      <c r="B94" s="3522"/>
      <c r="C94" s="2829" t="s">
        <v>2688</v>
      </c>
      <c r="D94" s="2829" t="s">
        <v>2689</v>
      </c>
      <c r="E94" s="2855">
        <v>0.15</v>
      </c>
      <c r="F94" s="2855">
        <v>20</v>
      </c>
    </row>
    <row r="95" spans="1:6" ht="36">
      <c r="A95" s="2855">
        <v>23</v>
      </c>
      <c r="B95" s="3522"/>
      <c r="C95" s="2829" t="s">
        <v>2690</v>
      </c>
      <c r="D95" s="2829" t="s">
        <v>2691</v>
      </c>
      <c r="E95" s="2855">
        <v>0.15</v>
      </c>
      <c r="F95" s="2855">
        <v>20</v>
      </c>
    </row>
    <row r="96" spans="1:6" ht="24">
      <c r="A96" s="2855">
        <v>24</v>
      </c>
      <c r="B96" s="3522"/>
      <c r="C96" s="2829" t="s">
        <v>2692</v>
      </c>
      <c r="D96" s="2829" t="s">
        <v>2693</v>
      </c>
      <c r="E96" s="2855">
        <v>0.1</v>
      </c>
      <c r="F96" s="2855">
        <v>15</v>
      </c>
    </row>
    <row r="97" spans="1:6" ht="24">
      <c r="A97" s="2855">
        <v>25</v>
      </c>
      <c r="B97" s="3522"/>
      <c r="C97" s="2829" t="s">
        <v>2694</v>
      </c>
      <c r="D97" s="2829" t="s">
        <v>2695</v>
      </c>
      <c r="E97" s="2855">
        <v>0.1</v>
      </c>
      <c r="F97" s="2855">
        <v>15</v>
      </c>
    </row>
    <row r="98" spans="1:6" ht="24">
      <c r="A98" s="2855">
        <v>26</v>
      </c>
      <c r="B98" s="3522"/>
      <c r="C98" s="2829" t="s">
        <v>2696</v>
      </c>
      <c r="D98" s="2829" t="s">
        <v>2697</v>
      </c>
      <c r="E98" s="2855">
        <v>0.1</v>
      </c>
      <c r="F98" s="2855">
        <v>15</v>
      </c>
    </row>
    <row r="99" spans="1:6" ht="24">
      <c r="A99" s="2855">
        <v>27</v>
      </c>
      <c r="B99" s="3522"/>
      <c r="C99" s="2829" t="s">
        <v>2698</v>
      </c>
      <c r="D99" s="2829" t="s">
        <v>2699</v>
      </c>
      <c r="E99" s="2855">
        <v>0.1</v>
      </c>
      <c r="F99" s="2855">
        <v>15</v>
      </c>
    </row>
    <row r="100" spans="1:6" ht="24">
      <c r="A100" s="2855">
        <v>28</v>
      </c>
      <c r="B100" s="3522"/>
      <c r="C100" s="2829" t="s">
        <v>2700</v>
      </c>
      <c r="D100" s="2829" t="s">
        <v>2701</v>
      </c>
      <c r="E100" s="2855">
        <v>0.1</v>
      </c>
      <c r="F100" s="2855">
        <v>15</v>
      </c>
    </row>
    <row r="101" spans="1:6" ht="24">
      <c r="A101" s="2855">
        <v>29</v>
      </c>
      <c r="B101" s="3522"/>
      <c r="C101" s="2829" t="s">
        <v>2702</v>
      </c>
      <c r="D101" s="2829" t="s">
        <v>2703</v>
      </c>
      <c r="E101" s="2855">
        <v>0.1</v>
      </c>
      <c r="F101" s="2855">
        <v>15</v>
      </c>
    </row>
    <row r="102" spans="1:6" ht="24">
      <c r="A102" s="2855">
        <v>30</v>
      </c>
      <c r="B102" s="3522"/>
      <c r="C102" s="2829" t="s">
        <v>2704</v>
      </c>
      <c r="D102" s="2829" t="s">
        <v>2705</v>
      </c>
      <c r="E102" s="2855">
        <v>0.1</v>
      </c>
      <c r="F102" s="2855">
        <v>15</v>
      </c>
    </row>
    <row r="103" spans="1:6" ht="24">
      <c r="A103" s="2855">
        <v>31</v>
      </c>
      <c r="B103" s="3522"/>
      <c r="C103" s="2829" t="s">
        <v>2706</v>
      </c>
      <c r="D103" s="2829" t="s">
        <v>2707</v>
      </c>
      <c r="E103" s="2855">
        <v>0.1</v>
      </c>
      <c r="F103" s="2855">
        <v>15</v>
      </c>
    </row>
    <row r="104" spans="1:6" ht="24">
      <c r="A104" s="2855">
        <v>32</v>
      </c>
      <c r="B104" s="3522"/>
      <c r="C104" s="2829" t="s">
        <v>2708</v>
      </c>
      <c r="D104" s="2829" t="s">
        <v>2709</v>
      </c>
      <c r="E104" s="2855">
        <v>0.1</v>
      </c>
      <c r="F104" s="2855">
        <v>15</v>
      </c>
    </row>
    <row r="105" spans="1:6" ht="24">
      <c r="A105" s="2855">
        <v>33</v>
      </c>
      <c r="B105" s="3522"/>
      <c r="C105" s="2829" t="s">
        <v>2710</v>
      </c>
      <c r="D105" s="2829" t="s">
        <v>2711</v>
      </c>
      <c r="E105" s="2855">
        <v>0.1</v>
      </c>
      <c r="F105" s="2855">
        <v>15</v>
      </c>
    </row>
    <row r="106" spans="1:6" ht="24">
      <c r="A106" s="2855">
        <v>34</v>
      </c>
      <c r="B106" s="3531"/>
      <c r="C106" s="2829" t="s">
        <v>2712</v>
      </c>
      <c r="D106" s="2829" t="s">
        <v>2713</v>
      </c>
      <c r="E106" s="2855">
        <v>0.1</v>
      </c>
      <c r="F106" s="2855">
        <v>15</v>
      </c>
    </row>
    <row r="107" spans="1:6" ht="36">
      <c r="A107" s="2855">
        <v>35</v>
      </c>
      <c r="B107" s="3527" t="s">
        <v>2714</v>
      </c>
      <c r="C107" s="2855" t="s">
        <v>2715</v>
      </c>
      <c r="D107" s="2829" t="s">
        <v>2716</v>
      </c>
      <c r="E107" s="2855">
        <v>0.15</v>
      </c>
      <c r="F107" s="2855">
        <v>20</v>
      </c>
    </row>
    <row r="108" spans="1:6" ht="24">
      <c r="A108" s="2855">
        <v>36</v>
      </c>
      <c r="B108" s="3522"/>
      <c r="C108" s="2855" t="s">
        <v>2717</v>
      </c>
      <c r="D108" s="2829" t="s">
        <v>2718</v>
      </c>
      <c r="E108" s="2855">
        <v>0.15</v>
      </c>
      <c r="F108" s="2855">
        <v>20</v>
      </c>
    </row>
    <row r="109" spans="1:6" ht="24">
      <c r="A109" s="2855">
        <v>37</v>
      </c>
      <c r="B109" s="3522"/>
      <c r="C109" s="2855" t="s">
        <v>2719</v>
      </c>
      <c r="D109" s="2829" t="s">
        <v>2720</v>
      </c>
      <c r="E109" s="2855">
        <v>0.15</v>
      </c>
      <c r="F109" s="2855">
        <v>20</v>
      </c>
    </row>
    <row r="110" spans="1:6" ht="24">
      <c r="A110" s="2855">
        <v>38</v>
      </c>
      <c r="B110" s="3522"/>
      <c r="C110" s="2855" t="s">
        <v>2721</v>
      </c>
      <c r="D110" s="2829" t="s">
        <v>2722</v>
      </c>
      <c r="E110" s="2855">
        <v>0.1</v>
      </c>
      <c r="F110" s="2855">
        <v>15</v>
      </c>
    </row>
    <row r="111" spans="1:6" ht="24">
      <c r="A111" s="2855">
        <v>39</v>
      </c>
      <c r="B111" s="3522"/>
      <c r="C111" s="2855" t="s">
        <v>2723</v>
      </c>
      <c r="D111" s="2829" t="s">
        <v>2724</v>
      </c>
      <c r="E111" s="2855">
        <v>0.1</v>
      </c>
      <c r="F111" s="2855">
        <v>15</v>
      </c>
    </row>
    <row r="112" spans="1:6" ht="24">
      <c r="A112" s="2855">
        <v>40</v>
      </c>
      <c r="B112" s="3531"/>
      <c r="C112" s="2855" t="s">
        <v>2725</v>
      </c>
      <c r="D112" s="2829" t="s">
        <v>2726</v>
      </c>
      <c r="E112" s="2855">
        <v>0.1</v>
      </c>
      <c r="F112" s="2855">
        <v>15</v>
      </c>
    </row>
    <row r="113" spans="1:6" ht="24">
      <c r="A113" s="2855">
        <v>41</v>
      </c>
      <c r="B113" s="3532" t="s">
        <v>2727</v>
      </c>
      <c r="C113" s="2855" t="s">
        <v>2728</v>
      </c>
      <c r="D113" s="2829" t="s">
        <v>2729</v>
      </c>
      <c r="E113" s="2855">
        <v>0.1</v>
      </c>
      <c r="F113" s="2855">
        <v>15</v>
      </c>
    </row>
    <row r="114" spans="1:6" ht="24">
      <c r="A114" s="2855">
        <v>42</v>
      </c>
      <c r="B114" s="3532"/>
      <c r="C114" s="2855" t="s">
        <v>2730</v>
      </c>
      <c r="D114" s="2829" t="s">
        <v>2731</v>
      </c>
      <c r="E114" s="2855">
        <v>0.1</v>
      </c>
      <c r="F114" s="2855">
        <v>15</v>
      </c>
    </row>
    <row r="115" spans="1:6" ht="24">
      <c r="A115" s="2855">
        <v>43</v>
      </c>
      <c r="B115" s="3532"/>
      <c r="C115" s="2855" t="s">
        <v>2732</v>
      </c>
      <c r="D115" s="2829" t="s">
        <v>2733</v>
      </c>
      <c r="E115" s="2855">
        <v>0.1</v>
      </c>
      <c r="F115" s="2855">
        <v>15</v>
      </c>
    </row>
    <row r="116" spans="1:6" ht="24">
      <c r="A116" s="2855">
        <v>44</v>
      </c>
      <c r="B116" s="3527" t="s">
        <v>2734</v>
      </c>
      <c r="C116" s="2855" t="s">
        <v>2735</v>
      </c>
      <c r="D116" s="2829" t="s">
        <v>2736</v>
      </c>
      <c r="E116" s="2855">
        <v>0.1</v>
      </c>
      <c r="F116" s="2855">
        <v>15</v>
      </c>
    </row>
    <row r="117" spans="1:6" ht="24">
      <c r="A117" s="2855">
        <v>45</v>
      </c>
      <c r="B117" s="3531"/>
      <c r="C117" s="2829" t="s">
        <v>2737</v>
      </c>
      <c r="D117" s="2829" t="s">
        <v>2738</v>
      </c>
      <c r="E117" s="2855">
        <v>0.1</v>
      </c>
      <c r="F117" s="2855">
        <v>15</v>
      </c>
    </row>
    <row r="118" spans="1:6" ht="24">
      <c r="A118" s="2855">
        <v>46</v>
      </c>
      <c r="B118" s="3527" t="s">
        <v>2739</v>
      </c>
      <c r="C118" s="2855" t="s">
        <v>2740</v>
      </c>
      <c r="D118" s="2829" t="s">
        <v>2741</v>
      </c>
      <c r="E118" s="2855">
        <v>0.1</v>
      </c>
      <c r="F118" s="2855">
        <v>15</v>
      </c>
    </row>
    <row r="119" spans="1:6" ht="24">
      <c r="A119" s="2855">
        <v>47</v>
      </c>
      <c r="B119" s="3531"/>
      <c r="C119" s="2855" t="s">
        <v>2742</v>
      </c>
      <c r="D119" s="2829" t="s">
        <v>2743</v>
      </c>
      <c r="E119" s="2855">
        <v>0.1</v>
      </c>
      <c r="F119" s="2855">
        <v>15</v>
      </c>
    </row>
    <row r="120" spans="1:6" ht="24">
      <c r="A120" s="2855">
        <v>48</v>
      </c>
      <c r="B120" s="3527" t="s">
        <v>2744</v>
      </c>
      <c r="C120" s="2855" t="s">
        <v>2745</v>
      </c>
      <c r="D120" s="2829" t="s">
        <v>2746</v>
      </c>
      <c r="E120" s="2855">
        <v>0.1</v>
      </c>
      <c r="F120" s="2855">
        <v>15</v>
      </c>
    </row>
    <row r="121" spans="1:6" ht="24">
      <c r="A121" s="2855">
        <v>49</v>
      </c>
      <c r="B121" s="3531"/>
      <c r="C121" s="2855" t="s">
        <v>2747</v>
      </c>
      <c r="D121" s="2829" t="s">
        <v>2748</v>
      </c>
      <c r="E121" s="2855">
        <v>0.1</v>
      </c>
      <c r="F121" s="2855">
        <v>15</v>
      </c>
    </row>
    <row r="122" spans="1:6" ht="24">
      <c r="A122" s="2855">
        <v>50</v>
      </c>
      <c r="B122" s="3532" t="s">
        <v>2749</v>
      </c>
      <c r="C122" s="2855" t="s">
        <v>2750</v>
      </c>
      <c r="D122" s="2829" t="s">
        <v>2751</v>
      </c>
      <c r="E122" s="2855">
        <v>0.1</v>
      </c>
      <c r="F122" s="2855">
        <v>15</v>
      </c>
    </row>
    <row r="123" spans="1:6" ht="24">
      <c r="A123" s="2855">
        <v>51</v>
      </c>
      <c r="B123" s="3532"/>
      <c r="C123" s="2855" t="s">
        <v>2752</v>
      </c>
      <c r="D123" s="2829" t="s">
        <v>2753</v>
      </c>
      <c r="E123" s="2855">
        <v>0.1</v>
      </c>
      <c r="F123" s="2855">
        <v>15</v>
      </c>
    </row>
    <row r="124" spans="1:6" ht="24">
      <c r="A124" s="2855">
        <v>52</v>
      </c>
      <c r="B124" s="3532" t="s">
        <v>2754</v>
      </c>
      <c r="C124" s="2855" t="s">
        <v>2755</v>
      </c>
      <c r="D124" s="2829" t="s">
        <v>2756</v>
      </c>
      <c r="E124" s="2855">
        <v>0.1</v>
      </c>
      <c r="F124" s="2855">
        <v>15</v>
      </c>
    </row>
    <row r="125" spans="1:6" ht="24">
      <c r="A125" s="2855">
        <v>53</v>
      </c>
      <c r="B125" s="3532"/>
      <c r="C125" s="2855" t="s">
        <v>2757</v>
      </c>
      <c r="D125" s="2829" t="s">
        <v>2758</v>
      </c>
      <c r="E125" s="2855">
        <v>0.1</v>
      </c>
      <c r="F125" s="2855">
        <v>15</v>
      </c>
    </row>
    <row r="126" spans="1:6" ht="24">
      <c r="A126" s="2855">
        <v>54</v>
      </c>
      <c r="B126" s="2855" t="s">
        <v>2759</v>
      </c>
      <c r="C126" s="2855" t="s">
        <v>2760</v>
      </c>
      <c r="D126" s="2829" t="s">
        <v>2761</v>
      </c>
      <c r="E126" s="2855">
        <v>0.1</v>
      </c>
      <c r="F126" s="2855">
        <v>15</v>
      </c>
    </row>
    <row r="127" spans="1:6" ht="24">
      <c r="A127" s="2855">
        <v>55</v>
      </c>
      <c r="B127" s="3532" t="s">
        <v>2762</v>
      </c>
      <c r="C127" s="2855" t="s">
        <v>2763</v>
      </c>
      <c r="D127" s="2829" t="s">
        <v>2764</v>
      </c>
      <c r="E127" s="2855">
        <v>0.1</v>
      </c>
      <c r="F127" s="2855">
        <v>15</v>
      </c>
    </row>
    <row r="128" spans="1:6" ht="24">
      <c r="A128" s="2855">
        <v>56</v>
      </c>
      <c r="B128" s="3532"/>
      <c r="C128" s="2855" t="s">
        <v>2765</v>
      </c>
      <c r="D128" s="2829" t="s">
        <v>2766</v>
      </c>
      <c r="E128" s="2855">
        <v>0.1</v>
      </c>
      <c r="F128" s="2855">
        <v>15</v>
      </c>
    </row>
    <row r="129" spans="1:6" ht="24">
      <c r="A129" s="2855">
        <v>57</v>
      </c>
      <c r="B129" s="3532"/>
      <c r="C129" s="2855" t="s">
        <v>2767</v>
      </c>
      <c r="D129" s="2829" t="s">
        <v>2768</v>
      </c>
      <c r="E129" s="2855">
        <v>0.1</v>
      </c>
      <c r="F129" s="2855">
        <v>15</v>
      </c>
    </row>
    <row r="130" spans="1:6" ht="24">
      <c r="A130" s="2855">
        <v>58</v>
      </c>
      <c r="B130" s="3532" t="s">
        <v>2769</v>
      </c>
      <c r="C130" s="2855" t="s">
        <v>2770</v>
      </c>
      <c r="D130" s="2829" t="s">
        <v>2771</v>
      </c>
      <c r="E130" s="2855">
        <v>0.1</v>
      </c>
      <c r="F130" s="2855">
        <v>15</v>
      </c>
    </row>
    <row r="131" spans="1:6" ht="24">
      <c r="A131" s="2855">
        <v>59</v>
      </c>
      <c r="B131" s="3532"/>
      <c r="C131" s="2855" t="s">
        <v>2772</v>
      </c>
      <c r="D131" s="2829" t="s">
        <v>2773</v>
      </c>
      <c r="E131" s="2855">
        <v>0.1</v>
      </c>
      <c r="F131" s="2855">
        <v>15</v>
      </c>
    </row>
    <row r="132" spans="1:6" ht="24">
      <c r="A132" s="2855">
        <v>60</v>
      </c>
      <c r="B132" s="3527" t="s">
        <v>2774</v>
      </c>
      <c r="C132" s="2855" t="s">
        <v>2775</v>
      </c>
      <c r="D132" s="2829" t="s">
        <v>2776</v>
      </c>
      <c r="E132" s="2855">
        <v>0.1</v>
      </c>
      <c r="F132" s="2855">
        <v>15</v>
      </c>
    </row>
    <row r="133" spans="1:6" ht="24">
      <c r="A133" s="2855">
        <v>61</v>
      </c>
      <c r="B133" s="3531"/>
      <c r="C133" s="2855" t="s">
        <v>2777</v>
      </c>
      <c r="D133" s="2829" t="s">
        <v>2778</v>
      </c>
      <c r="E133" s="2855">
        <v>0.1</v>
      </c>
      <c r="F133" s="2855">
        <v>15</v>
      </c>
    </row>
    <row r="134" spans="1:6" ht="24">
      <c r="A134" s="2855">
        <v>62</v>
      </c>
      <c r="B134" s="2855" t="s">
        <v>2779</v>
      </c>
      <c r="C134" s="2855" t="s">
        <v>2780</v>
      </c>
      <c r="D134" s="2829" t="s">
        <v>2781</v>
      </c>
      <c r="E134" s="2855">
        <v>0.1</v>
      </c>
      <c r="F134" s="2855">
        <v>15</v>
      </c>
    </row>
    <row r="135" spans="1:6" ht="24">
      <c r="A135" s="2855">
        <v>63</v>
      </c>
      <c r="B135" s="3532" t="s">
        <v>2782</v>
      </c>
      <c r="C135" s="2855" t="s">
        <v>2783</v>
      </c>
      <c r="D135" s="2829" t="s">
        <v>2784</v>
      </c>
      <c r="E135" s="2855">
        <v>0.1</v>
      </c>
      <c r="F135" s="2855">
        <v>15</v>
      </c>
    </row>
    <row r="136" spans="1:6" ht="24">
      <c r="A136" s="2855">
        <v>64</v>
      </c>
      <c r="B136" s="3532"/>
      <c r="C136" s="2855" t="s">
        <v>2785</v>
      </c>
      <c r="D136" s="2829" t="s">
        <v>2786</v>
      </c>
      <c r="E136" s="2855">
        <v>0.1</v>
      </c>
      <c r="F136" s="2855">
        <v>15</v>
      </c>
    </row>
    <row r="137" spans="1:6" ht="24">
      <c r="A137" s="2855">
        <v>65</v>
      </c>
      <c r="B137" s="2855" t="s">
        <v>2787</v>
      </c>
      <c r="C137" s="2855" t="s">
        <v>2788</v>
      </c>
      <c r="D137" s="2829" t="s">
        <v>2789</v>
      </c>
      <c r="E137" s="2855">
        <v>0.1</v>
      </c>
      <c r="F137" s="2855">
        <v>15</v>
      </c>
    </row>
    <row r="138" spans="1:6" ht="14.4">
      <c r="A138" s="2855"/>
      <c r="B138" s="2855"/>
      <c r="C138" s="2855"/>
      <c r="D138" s="2855"/>
      <c r="E138" s="2855" t="s">
        <v>2790</v>
      </c>
      <c r="F138" s="2855"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2791</v>
      </c>
      <c r="B1" s="2863"/>
      <c r="C1" s="2863"/>
      <c r="D1" s="2863"/>
      <c r="E1" s="2863"/>
      <c r="F1" s="2863"/>
      <c r="G1" s="2863"/>
      <c r="H1" s="2863"/>
      <c r="I1" s="2863"/>
      <c r="J1" s="2863"/>
      <c r="K1" s="2863"/>
      <c r="L1" s="2863"/>
      <c r="M1" s="2863"/>
      <c r="N1" s="706"/>
    </row>
    <row r="2" spans="1:20">
      <c r="A2" s="2864" t="s">
        <v>2792</v>
      </c>
      <c r="B2" s="2865" t="s">
        <v>2588</v>
      </c>
      <c r="C2" s="2865" t="s">
        <v>2589</v>
      </c>
      <c r="D2" s="2865" t="s">
        <v>2590</v>
      </c>
      <c r="E2" s="2865" t="s">
        <v>2591</v>
      </c>
      <c r="F2" s="2865" t="s">
        <v>2592</v>
      </c>
      <c r="G2" s="2865" t="s">
        <v>2593</v>
      </c>
      <c r="H2" s="2866" t="s">
        <v>2594</v>
      </c>
      <c r="I2" s="2866" t="s">
        <v>2595</v>
      </c>
      <c r="J2" s="2867" t="s">
        <v>2596</v>
      </c>
      <c r="K2" s="2867" t="s">
        <v>2597</v>
      </c>
      <c r="L2" s="2867" t="s">
        <v>2598</v>
      </c>
      <c r="M2" s="2868" t="s">
        <v>2599</v>
      </c>
      <c r="Q2" s="2878" t="s">
        <v>2797</v>
      </c>
      <c r="R2" s="2878" t="s">
        <v>2798</v>
      </c>
      <c r="S2" s="2878" t="s">
        <v>2799</v>
      </c>
      <c r="T2" s="2878" t="s">
        <v>2800</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2793</v>
      </c>
      <c r="B93" s="2863"/>
      <c r="C93" s="2863"/>
      <c r="D93" s="2863"/>
      <c r="E93" s="2863"/>
      <c r="F93" s="2863"/>
      <c r="G93" s="2863"/>
      <c r="H93" s="2863"/>
      <c r="I93" s="2863"/>
      <c r="J93" s="2863"/>
      <c r="K93" s="2863"/>
      <c r="L93" s="2863"/>
      <c r="M93" s="2863"/>
    </row>
    <row r="94" spans="1:20">
      <c r="A94" s="2864" t="s">
        <v>2792</v>
      </c>
      <c r="B94" s="2865" t="s">
        <v>2588</v>
      </c>
      <c r="C94" s="2865" t="s">
        <v>2589</v>
      </c>
      <c r="D94" s="2865" t="s">
        <v>2590</v>
      </c>
      <c r="E94" s="2865" t="s">
        <v>2591</v>
      </c>
      <c r="F94" s="2865" t="s">
        <v>2592</v>
      </c>
      <c r="G94" s="2865" t="s">
        <v>2593</v>
      </c>
      <c r="H94" s="2866" t="s">
        <v>2594</v>
      </c>
      <c r="I94" s="2866" t="s">
        <v>2595</v>
      </c>
      <c r="J94" s="2867" t="s">
        <v>2596</v>
      </c>
      <c r="K94" s="2867" t="s">
        <v>2597</v>
      </c>
      <c r="L94" s="2867" t="s">
        <v>2598</v>
      </c>
      <c r="M94" s="2868" t="s">
        <v>2599</v>
      </c>
      <c r="N94">
        <f>SUMPRODUCT((A95:A184=ROUNDDOWN(基准地价修正!G3,1))*(B94:M94=基准地价修正!G2)*(B95:M184))</f>
        <v>0</v>
      </c>
      <c r="Q94" s="2878" t="s">
        <v>2797</v>
      </c>
      <c r="R94" s="2878" t="s">
        <v>2798</v>
      </c>
      <c r="S94" s="2878" t="s">
        <v>2799</v>
      </c>
      <c r="T94" s="2878" t="s">
        <v>2800</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2794</v>
      </c>
      <c r="B185" s="2863"/>
      <c r="C185" s="2863"/>
      <c r="D185" s="2863"/>
      <c r="E185" s="2863"/>
      <c r="F185" s="2863"/>
      <c r="G185" s="2863"/>
      <c r="H185" s="2863"/>
      <c r="I185" s="2863"/>
      <c r="J185" s="2863"/>
      <c r="K185" s="2863"/>
      <c r="L185" s="2863"/>
      <c r="M185" s="2863"/>
    </row>
    <row r="186" spans="1:20">
      <c r="A186" s="2864" t="s">
        <v>2792</v>
      </c>
      <c r="B186" s="2865" t="s">
        <v>2588</v>
      </c>
      <c r="C186" s="2865" t="s">
        <v>2589</v>
      </c>
      <c r="D186" s="2865" t="s">
        <v>2590</v>
      </c>
      <c r="E186" s="2865" t="s">
        <v>2591</v>
      </c>
      <c r="F186" s="2865" t="s">
        <v>2592</v>
      </c>
      <c r="G186" s="2865" t="s">
        <v>2593</v>
      </c>
      <c r="H186" s="2866" t="s">
        <v>2594</v>
      </c>
      <c r="I186" s="2866" t="s">
        <v>2595</v>
      </c>
      <c r="J186" s="2867" t="s">
        <v>2596</v>
      </c>
      <c r="K186" s="2867" t="s">
        <v>2597</v>
      </c>
      <c r="L186" s="2867" t="s">
        <v>2598</v>
      </c>
      <c r="M186" s="2868" t="s">
        <v>2599</v>
      </c>
      <c r="Q186" s="2878" t="s">
        <v>2797</v>
      </c>
      <c r="R186" s="2878" t="s">
        <v>2798</v>
      </c>
      <c r="S186" s="2878" t="s">
        <v>2799</v>
      </c>
      <c r="T186" s="2878" t="s">
        <v>2800</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2795</v>
      </c>
      <c r="B277" s="2863"/>
      <c r="C277" s="2863"/>
      <c r="D277" s="2863"/>
      <c r="E277" s="2863"/>
      <c r="F277" s="2863"/>
      <c r="G277" s="2863"/>
      <c r="H277" s="2863"/>
      <c r="I277" s="2863"/>
      <c r="J277" s="2863"/>
      <c r="K277" s="2863"/>
      <c r="L277" s="2863"/>
      <c r="M277" s="2863"/>
    </row>
    <row r="278" spans="1:21">
      <c r="A278" s="2864" t="s">
        <v>2792</v>
      </c>
      <c r="B278" s="2865" t="s">
        <v>2588</v>
      </c>
      <c r="C278" s="2865" t="s">
        <v>2589</v>
      </c>
      <c r="D278" s="2865" t="s">
        <v>2590</v>
      </c>
      <c r="E278" s="2865" t="s">
        <v>2591</v>
      </c>
      <c r="F278" s="2865" t="s">
        <v>2592</v>
      </c>
      <c r="G278" s="2865" t="s">
        <v>2593</v>
      </c>
      <c r="H278" s="2866" t="s">
        <v>2594</v>
      </c>
      <c r="I278" s="2866" t="s">
        <v>2595</v>
      </c>
      <c r="J278" s="2867" t="s">
        <v>2596</v>
      </c>
      <c r="K278" s="2867" t="s">
        <v>2597</v>
      </c>
      <c r="L278" s="2867" t="s">
        <v>2598</v>
      </c>
      <c r="M278" s="2868" t="s">
        <v>2599</v>
      </c>
      <c r="Q278" s="2878" t="s">
        <v>2797</v>
      </c>
      <c r="R278" s="2878" t="s">
        <v>2798</v>
      </c>
      <c r="S278" s="2878" t="s">
        <v>2801</v>
      </c>
      <c r="T278" s="2878" t="s">
        <v>2802</v>
      </c>
      <c r="U278" s="2878" t="s">
        <v>2800</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2796</v>
      </c>
      <c r="B369" s="2876"/>
      <c r="C369" s="2876"/>
      <c r="D369" s="2876"/>
      <c r="E369" s="2876"/>
      <c r="F369" s="2876"/>
      <c r="G369" s="2876"/>
      <c r="H369" s="2876"/>
      <c r="I369" s="2876"/>
      <c r="J369" s="2876"/>
      <c r="K369" s="2876"/>
      <c r="L369" s="2876"/>
      <c r="M369" s="2876"/>
    </row>
    <row r="370" spans="1:20">
      <c r="A370" s="2864" t="s">
        <v>2792</v>
      </c>
      <c r="B370" s="2865" t="s">
        <v>2588</v>
      </c>
      <c r="C370" s="2865" t="s">
        <v>2589</v>
      </c>
      <c r="D370" s="2865" t="s">
        <v>2590</v>
      </c>
      <c r="E370" s="2865" t="s">
        <v>2591</v>
      </c>
      <c r="F370" s="2865" t="s">
        <v>2592</v>
      </c>
      <c r="G370" s="2865" t="s">
        <v>2593</v>
      </c>
      <c r="H370" s="2866" t="s">
        <v>2594</v>
      </c>
      <c r="I370" s="2866" t="s">
        <v>2595</v>
      </c>
      <c r="J370" s="2867" t="s">
        <v>2596</v>
      </c>
      <c r="K370" s="2867" t="s">
        <v>2597</v>
      </c>
      <c r="L370" s="2867" t="s">
        <v>2598</v>
      </c>
      <c r="M370" s="2868" t="s">
        <v>2599</v>
      </c>
      <c r="N370">
        <f>SUMPRODUCT((A371:A460=ROUNDDOWN(基准地价修正!G3,1))*(B370:M370=基准地价修正!G2)*(B371:M460))</f>
        <v>0</v>
      </c>
      <c r="Q370" s="2878" t="s">
        <v>2797</v>
      </c>
      <c r="R370" s="2878" t="s">
        <v>2798</v>
      </c>
      <c r="S370" s="2878" t="s">
        <v>2799</v>
      </c>
      <c r="T370" s="2878" t="s">
        <v>2800</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7"/>
      <c r="C2" s="3217"/>
      <c r="D2" s="3217"/>
      <c r="E2" s="3217"/>
    </row>
    <row r="3" spans="1:5" ht="17.399999999999999">
      <c r="A3" s="3218" t="str">
        <f>IF(项目基本情况!B9="房地产市场价值","估价结果一览表（市场价值不需“结果表-1”）","估价结果一览表")</f>
        <v>估价结果一览表</v>
      </c>
      <c r="B3" s="3218"/>
      <c r="C3" s="3218"/>
      <c r="D3" s="3218"/>
      <c r="E3" s="3218"/>
    </row>
    <row r="4" spans="1:5" ht="18" thickBot="1">
      <c r="A4" s="1390"/>
      <c r="B4" s="3216" t="s">
        <v>917</v>
      </c>
      <c r="C4" s="3216"/>
      <c r="D4" s="3216"/>
      <c r="E4" s="1390"/>
    </row>
    <row r="5" spans="1:5" ht="16.2" thickTop="1">
      <c r="B5" s="3214" t="s">
        <v>909</v>
      </c>
      <c r="C5" s="1391" t="s">
        <v>910</v>
      </c>
      <c r="D5" s="796">
        <f ca="1">结果表!H101</f>
        <v>3034</v>
      </c>
    </row>
    <row r="6" spans="1:5" ht="15.6">
      <c r="B6" s="3214"/>
      <c r="C6" s="1391" t="s">
        <v>911</v>
      </c>
      <c r="D6" s="796" t="str">
        <f ca="1">NUMBERSTRING(INT(D5*10000),2)&amp;"元整"</f>
        <v>叁仟零叁拾肆万元整</v>
      </c>
    </row>
    <row r="7" spans="1:5" ht="15.6">
      <c r="B7" s="3219"/>
      <c r="C7" s="1392" t="s">
        <v>912</v>
      </c>
      <c r="D7" s="797">
        <f ca="1">结果表!H102</f>
        <v>166165</v>
      </c>
    </row>
    <row r="8" spans="1:5" ht="15.6">
      <c r="B8" s="3220" t="str">
        <f>结果表!E103</f>
        <v>2.估价师知悉的法定优先受偿款</v>
      </c>
      <c r="C8" s="1393" t="s">
        <v>913</v>
      </c>
      <c r="D8" s="797">
        <f>结果表!H103</f>
        <v>0</v>
      </c>
    </row>
    <row r="9" spans="1:5" ht="15.6">
      <c r="B9" s="3222"/>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213" t="str">
        <f>结果表!E107</f>
        <v>3.房地产抵押价值</v>
      </c>
      <c r="C13" s="1396" t="s">
        <v>910</v>
      </c>
      <c r="D13" s="799">
        <f ca="1">结果表!H107</f>
        <v>3034</v>
      </c>
    </row>
    <row r="14" spans="1:5" ht="15.6">
      <c r="B14" s="3214"/>
      <c r="C14" s="1391" t="s">
        <v>911</v>
      </c>
      <c r="D14" s="796" t="str">
        <f ca="1">NUMBERSTRING(INT(D13*10000),2)&amp;"元整"</f>
        <v>叁仟零叁拾肆万元整</v>
      </c>
    </row>
    <row r="15" spans="1:5" ht="15.6">
      <c r="B15" s="3219"/>
      <c r="C15" s="1392" t="s">
        <v>921</v>
      </c>
      <c r="D15" s="805">
        <f ca="1">结果表!H108</f>
        <v>166165</v>
      </c>
    </row>
    <row r="16" spans="1:5" ht="15.6">
      <c r="B16" s="3220" t="str">
        <f>结果表!E109</f>
        <v>——</v>
      </c>
      <c r="C16" s="1396" t="s">
        <v>922</v>
      </c>
      <c r="D16" s="1397" t="str">
        <f>结果表!H109</f>
        <v>——</v>
      </c>
    </row>
    <row r="17" spans="1:5" ht="15.6">
      <c r="B17" s="3221"/>
      <c r="C17" s="1391" t="s">
        <v>923</v>
      </c>
      <c r="D17" s="796" t="e">
        <f>NUMBERSTRING(INT(D16*10000),2)&amp;"元整"</f>
        <v>#VALUE!</v>
      </c>
    </row>
    <row r="18" spans="1:5" ht="15.6">
      <c r="B18" s="3222"/>
      <c r="C18" s="1392" t="s">
        <v>912</v>
      </c>
      <c r="D18" s="805" t="str">
        <f>结果表!H110</f>
        <v>——</v>
      </c>
    </row>
    <row r="19" spans="1:5" ht="15.6">
      <c r="B19" s="3213" t="str">
        <f>结果表!E111</f>
        <v>4.抵押净值</v>
      </c>
      <c r="C19" s="1396" t="s">
        <v>910</v>
      </c>
      <c r="D19" s="797">
        <f ca="1">结果表!H111</f>
        <v>1425</v>
      </c>
    </row>
    <row r="20" spans="1:5" ht="15.6">
      <c r="B20" s="3214"/>
      <c r="C20" s="1391" t="s">
        <v>923</v>
      </c>
      <c r="D20" s="796" t="str">
        <f ca="1">NUMBERSTRING(INT(D19*10000),2)&amp;"元整"</f>
        <v>壹仟肆佰贰拾伍万元整</v>
      </c>
    </row>
    <row r="21" spans="1:5" ht="16.2" thickBot="1">
      <c r="B21" s="3215"/>
      <c r="C21" s="1398" t="s">
        <v>921</v>
      </c>
      <c r="D21" s="806">
        <f ca="1">结果表!H112</f>
        <v>78044</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31521</v>
      </c>
      <c r="C2" s="2" t="s">
        <v>106</v>
      </c>
      <c r="D2" s="191"/>
      <c r="E2" s="191"/>
      <c r="F2" s="191"/>
      <c r="G2" s="191"/>
    </row>
    <row r="3" spans="1:7" s="192" customFormat="1" ht="18" customHeight="1" thickBot="1">
      <c r="A3" s="195" t="s">
        <v>58</v>
      </c>
      <c r="B3" s="196">
        <f ca="1">ROUND(B2*10000/'数据-汇总表'!E3,0)</f>
        <v>1726327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3</v>
      </c>
      <c r="D9" s="794">
        <f>'数据-汇总表'!E5</f>
        <v>182.59</v>
      </c>
      <c r="E9" s="217">
        <f>'数据-取费表'!B27</f>
        <v>160</v>
      </c>
      <c r="F9" s="213"/>
      <c r="G9" s="218"/>
    </row>
    <row r="10" spans="1:7" s="206" customFormat="1" ht="13.5" customHeight="1">
      <c r="A10" s="732" t="s">
        <v>356</v>
      </c>
      <c r="B10" s="216" t="s">
        <v>67</v>
      </c>
      <c r="C10" s="217">
        <f>ROUND(D10*E10/10000,0)</f>
        <v>0</v>
      </c>
      <c r="D10" s="794">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4</v>
      </c>
      <c r="D19" s="204">
        <f>'数据-汇总表'!E3</f>
        <v>182.59</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0.03</v>
      </c>
      <c r="D21" s="228" t="s">
        <v>99</v>
      </c>
      <c r="E21" s="224"/>
      <c r="F21" s="225">
        <f>'数据-取费表'!B38</f>
        <v>0.03</v>
      </c>
      <c r="G21" s="226" t="s">
        <v>79</v>
      </c>
    </row>
    <row r="22" spans="1:7" s="206" customFormat="1" ht="13.5" customHeight="1">
      <c r="A22" s="730" t="s">
        <v>341</v>
      </c>
      <c r="B22" s="202" t="s">
        <v>80</v>
      </c>
      <c r="C22" s="1040">
        <f ca="1">ROUND(SUM(C23:C25),0)</f>
        <v>1930</v>
      </c>
      <c r="D22" s="227">
        <f ca="1">C26</f>
        <v>1.4E-3</v>
      </c>
      <c r="E22" s="228" t="s">
        <v>99</v>
      </c>
      <c r="F22" s="229">
        <f ca="1">'数据-取费表'!B40</f>
        <v>0.03</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1911</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19</v>
      </c>
      <c r="D25" s="230"/>
      <c r="E25" s="233"/>
      <c r="F25" s="231"/>
      <c r="G25" s="234" t="s">
        <v>83</v>
      </c>
    </row>
    <row r="26" spans="1:7" s="206" customFormat="1">
      <c r="A26" s="733" t="s">
        <v>350</v>
      </c>
      <c r="B26" s="207" t="s">
        <v>422</v>
      </c>
      <c r="C26" s="230">
        <f ca="1">ROUND(IF('数据-取费表'!B22&lt;=1,F21*F22*'数据-取费表'!B23/2,F21*(POWER((1+F22),'数据-取费表'!B23/2)-1)),4)</f>
        <v>1.4E-3</v>
      </c>
      <c r="D26" s="230"/>
      <c r="E26" s="233"/>
      <c r="F26" s="231"/>
      <c r="G26" s="235"/>
    </row>
    <row r="27" spans="1:7" s="206" customFormat="1" ht="26.4">
      <c r="A27" s="730" t="s">
        <v>342</v>
      </c>
      <c r="B27" s="236" t="s">
        <v>85</v>
      </c>
      <c r="C27" s="237">
        <f>C28</f>
        <v>5257</v>
      </c>
      <c r="D27" s="227">
        <f>C29</f>
        <v>7.4999999999999997E-3</v>
      </c>
      <c r="E27" s="228" t="s">
        <v>99</v>
      </c>
      <c r="F27" s="238">
        <f>'数据-取费表'!Q16</f>
        <v>0.25</v>
      </c>
      <c r="G27" s="239" t="s">
        <v>431</v>
      </c>
    </row>
    <row r="28" spans="1:7" s="206" customFormat="1" ht="13.5" customHeight="1">
      <c r="A28" s="733" t="s">
        <v>349</v>
      </c>
      <c r="B28" s="240" t="s">
        <v>424</v>
      </c>
      <c r="C28" s="241">
        <f>ROUND((C5+C19+C20)*F27*'数据-取费表'!B21/'数据-取费表'!B20,0)</f>
        <v>5257</v>
      </c>
      <c r="D28" s="227"/>
      <c r="E28" s="228"/>
      <c r="F28" s="238"/>
      <c r="G28" s="239"/>
    </row>
    <row r="29" spans="1:7" s="206" customFormat="1" ht="13.5" customHeight="1">
      <c r="A29" s="733" t="s">
        <v>347</v>
      </c>
      <c r="B29" s="240" t="s">
        <v>425</v>
      </c>
      <c r="C29" s="230">
        <f>ROUND(C21*F27*'数据-取费表'!B21/'数据-取费表'!B20,4)</f>
        <v>7.4999999999999997E-3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31080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348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292</v>
      </c>
      <c r="D34" s="209"/>
      <c r="E34" s="212"/>
      <c r="F34" s="249">
        <f>IF('数据-取费表'!B24=0,1,'数据-取费表'!N16)</f>
        <v>1</v>
      </c>
      <c r="G34" s="211" t="s">
        <v>89</v>
      </c>
    </row>
    <row r="35" spans="1:7" ht="13.5" customHeight="1">
      <c r="A35" s="733" t="s">
        <v>351</v>
      </c>
      <c r="B35" s="207" t="s">
        <v>33</v>
      </c>
      <c r="C35" s="212">
        <f>ROUND(C34*F35,0)</f>
        <v>23</v>
      </c>
      <c r="D35" s="212"/>
      <c r="E35" s="212"/>
      <c r="F35" s="251">
        <f>'数据-取费表'!B33</f>
        <v>0.08</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23</v>
      </c>
      <c r="D36" s="212"/>
      <c r="E36" s="212"/>
      <c r="F36" s="251">
        <f>'数据-取费表'!B34</f>
        <v>0.08</v>
      </c>
      <c r="G36" s="252" t="s">
        <v>35</v>
      </c>
    </row>
    <row r="37" spans="1:7" s="250" customFormat="1" ht="13.5" customHeight="1">
      <c r="A37" s="733" t="s">
        <v>353</v>
      </c>
      <c r="B37" s="207" t="s">
        <v>91</v>
      </c>
      <c r="C37" s="241">
        <f>ROUND(E37*D37*F34/10000,0)</f>
        <v>4</v>
      </c>
      <c r="D37" s="209">
        <f>'数据-汇总表'!E3</f>
        <v>182.59</v>
      </c>
      <c r="E37" s="241">
        <f>'数据-取费表'!B35</f>
        <v>200</v>
      </c>
      <c r="F37" s="251"/>
      <c r="G37" s="253" t="s">
        <v>92</v>
      </c>
    </row>
    <row r="38" spans="1:7" ht="13.5" customHeight="1">
      <c r="A38" s="733" t="s">
        <v>354</v>
      </c>
      <c r="B38" s="207" t="s">
        <v>36</v>
      </c>
      <c r="C38" s="212">
        <f>ROUND(C34*F38,0)</f>
        <v>6</v>
      </c>
      <c r="D38" s="212"/>
      <c r="E38" s="212"/>
      <c r="F38" s="251">
        <f>'数据-取费表'!B36</f>
        <v>0.02</v>
      </c>
      <c r="G38" s="211" t="s">
        <v>90</v>
      </c>
    </row>
    <row r="39" spans="1:7" s="206" customFormat="1" ht="13.5" customHeight="1">
      <c r="A39" s="730" t="s">
        <v>338</v>
      </c>
      <c r="B39" s="202" t="s">
        <v>77</v>
      </c>
      <c r="C39" s="224">
        <f>ROUND(C33*F20,0)</f>
        <v>7</v>
      </c>
      <c r="D39" s="224"/>
      <c r="E39" s="224"/>
      <c r="F39" s="225"/>
      <c r="G39" s="1003" t="s">
        <v>433</v>
      </c>
    </row>
    <row r="40" spans="1:7" s="206" customFormat="1" ht="13.5" customHeight="1">
      <c r="A40" s="730" t="s">
        <v>339</v>
      </c>
      <c r="B40" s="202" t="s">
        <v>78</v>
      </c>
      <c r="C40" s="254">
        <f>F21</f>
        <v>0.03</v>
      </c>
      <c r="D40" s="228" t="s">
        <v>102</v>
      </c>
      <c r="E40" s="224"/>
      <c r="F40" s="225"/>
      <c r="G40" s="226" t="s">
        <v>93</v>
      </c>
    </row>
    <row r="41" spans="1:7" s="206" customFormat="1" ht="13.5" customHeight="1">
      <c r="A41" s="730" t="s">
        <v>340</v>
      </c>
      <c r="B41" s="202" t="s">
        <v>80</v>
      </c>
      <c r="C41" s="224">
        <f ca="1">ROUND(SUM(C42:C43),0)</f>
        <v>16</v>
      </c>
      <c r="D41" s="227">
        <f ca="1">C44</f>
        <v>1.4E-3</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16</v>
      </c>
      <c r="D42" s="230"/>
      <c r="E42" s="230"/>
      <c r="F42" s="231"/>
      <c r="G42" s="3396" t="s">
        <v>94</v>
      </c>
    </row>
    <row r="43" spans="1:7" ht="13.5" customHeight="1">
      <c r="A43" s="733" t="s">
        <v>347</v>
      </c>
      <c r="B43" s="207" t="s">
        <v>426</v>
      </c>
      <c r="C43" s="230">
        <f ca="1">ROUND(IF('数据-取费表'!B22&lt;=1,C39*F22*'数据-取费表'!B21/2,C39*(POWER((1+F22),'数据-取费表'!B21/2)-1)),0)</f>
        <v>0</v>
      </c>
      <c r="D43" s="230"/>
      <c r="E43" s="230"/>
      <c r="F43" s="231"/>
      <c r="G43" s="3397"/>
    </row>
    <row r="44" spans="1:7" ht="13.5" customHeight="1">
      <c r="A44" s="733" t="s">
        <v>348</v>
      </c>
      <c r="B44" s="207" t="s">
        <v>428</v>
      </c>
      <c r="C44" s="230">
        <f ca="1">ROUND(IF('数据-取费表'!B22&lt;=1,C40*F22*'数据-取费表'!B21/2,C40*(POWER((1+F22),'数据-取费表'!B21/2)-1)),4)</f>
        <v>1.4E-3</v>
      </c>
      <c r="D44" s="230"/>
      <c r="E44" s="230"/>
      <c r="F44" s="231"/>
      <c r="G44" s="3398"/>
    </row>
    <row r="45" spans="1:7" s="206" customFormat="1" ht="13.5" customHeight="1">
      <c r="A45" s="730" t="s">
        <v>341</v>
      </c>
      <c r="B45" s="236" t="s">
        <v>85</v>
      </c>
      <c r="C45" s="237">
        <f>C46</f>
        <v>89</v>
      </c>
      <c r="D45" s="227">
        <f>C47</f>
        <v>7.4999999999999997E-3</v>
      </c>
      <c r="E45" s="228" t="s">
        <v>102</v>
      </c>
      <c r="F45" s="238"/>
      <c r="G45" s="239" t="s">
        <v>434</v>
      </c>
    </row>
    <row r="46" spans="1:7" s="206" customFormat="1" ht="13.5" customHeight="1">
      <c r="A46" s="733" t="s">
        <v>349</v>
      </c>
      <c r="B46" s="240" t="s">
        <v>427</v>
      </c>
      <c r="C46" s="241">
        <f>ROUND((C33+C39)*F27,0)</f>
        <v>89</v>
      </c>
      <c r="D46" s="255"/>
      <c r="E46" s="228"/>
      <c r="F46" s="238"/>
      <c r="G46" s="239"/>
    </row>
    <row r="47" spans="1:7" s="206" customFormat="1" ht="13.5" customHeight="1">
      <c r="A47" s="733" t="s">
        <v>347</v>
      </c>
      <c r="B47" s="240" t="s">
        <v>429</v>
      </c>
      <c r="C47" s="230">
        <f>ROUND(C40*F27,4)</f>
        <v>7.4999999999999997E-3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507</v>
      </c>
      <c r="D49" s="224"/>
      <c r="E49" s="224"/>
      <c r="F49" s="256"/>
      <c r="G49" s="226" t="s">
        <v>435</v>
      </c>
    </row>
    <row r="50" spans="1:7" s="250" customFormat="1" ht="24">
      <c r="A50" s="730" t="s">
        <v>344</v>
      </c>
      <c r="B50" s="202" t="s">
        <v>97</v>
      </c>
      <c r="C50" s="224"/>
      <c r="D50" s="224"/>
      <c r="E50" s="224"/>
      <c r="F50" s="256">
        <f>IF('数据-取费表'!B24=0,'数据-取费表'!N16,1)</f>
        <v>0.87</v>
      </c>
      <c r="G50" s="239" t="s">
        <v>98</v>
      </c>
    </row>
    <row r="51" spans="1:7" ht="16.5" customHeight="1">
      <c r="A51" s="730" t="s">
        <v>345</v>
      </c>
      <c r="B51" s="202" t="s">
        <v>105</v>
      </c>
      <c r="C51" s="224">
        <f ca="1">ROUND(C49*F50,0)</f>
        <v>441</v>
      </c>
      <c r="D51" s="224"/>
      <c r="E51" s="224"/>
      <c r="F51" s="256"/>
      <c r="G51" s="226" t="s">
        <v>37</v>
      </c>
    </row>
    <row r="52" spans="1:7" s="200" customFormat="1" ht="16.8" thickBot="1">
      <c r="A52" s="257" t="s">
        <v>38</v>
      </c>
      <c r="B52" s="258"/>
      <c r="C52" s="259">
        <f ca="1">C31+C51</f>
        <v>31521</v>
      </c>
      <c r="D52" s="258"/>
      <c r="E52" s="258"/>
      <c r="F52" s="258"/>
      <c r="G52" s="260"/>
    </row>
    <row r="55" spans="1:7" ht="15">
      <c r="B55" s="262" t="s">
        <v>39</v>
      </c>
      <c r="C55" s="263"/>
    </row>
    <row r="56" spans="1:7">
      <c r="B56" s="265" t="s">
        <v>40</v>
      </c>
      <c r="C56" s="266">
        <f ca="1">ROUND(C51/C52,3)</f>
        <v>1.4E-2</v>
      </c>
    </row>
    <row r="57" spans="1:7">
      <c r="B57" s="265" t="s">
        <v>41</v>
      </c>
      <c r="C57" s="267">
        <f ca="1">1-C56</f>
        <v>0.98599999999999999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33" t="s">
        <v>3174</v>
      </c>
      <c r="B1" s="3533"/>
    </row>
    <row r="2" spans="1:7" ht="15" thickBot="1">
      <c r="A2" s="2966"/>
      <c r="B2" s="2966"/>
    </row>
    <row r="3" spans="1:7" ht="15" thickBot="1">
      <c r="A3" s="2966"/>
      <c r="B3" s="2966"/>
      <c r="C3" s="2967" t="s">
        <v>2804</v>
      </c>
      <c r="D3" s="2967" t="s">
        <v>2860</v>
      </c>
      <c r="E3" s="2967" t="s">
        <v>2806</v>
      </c>
      <c r="F3" s="2967" t="s">
        <v>2861</v>
      </c>
      <c r="G3" s="2967" t="s">
        <v>2624</v>
      </c>
    </row>
    <row r="4" spans="1:7" ht="15" thickBot="1">
      <c r="A4" s="2968" t="s">
        <v>2859</v>
      </c>
      <c r="B4" s="2969" t="s">
        <v>2865</v>
      </c>
      <c r="C4" s="2967"/>
      <c r="D4" s="2967"/>
      <c r="E4" s="2967"/>
      <c r="F4" s="2967"/>
      <c r="G4" s="2967"/>
    </row>
    <row r="5" spans="1:7">
      <c r="A5" s="2970" t="s">
        <v>2833</v>
      </c>
      <c r="B5" s="2971" t="s">
        <v>2847</v>
      </c>
      <c r="C5" s="2972">
        <v>9.8000000000000004E-2</v>
      </c>
      <c r="D5" s="2972">
        <v>8.6999999999999994E-2</v>
      </c>
      <c r="E5" s="2972">
        <v>8.6999999999999994E-2</v>
      </c>
      <c r="F5" s="2972">
        <v>9.8000000000000004E-2</v>
      </c>
      <c r="G5" s="2973">
        <v>9.5000000000000001E-2</v>
      </c>
    </row>
    <row r="6" spans="1:7">
      <c r="A6" s="2974" t="s">
        <v>144</v>
      </c>
      <c r="B6" s="2975" t="s">
        <v>2862</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2848</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2898</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2916</v>
      </c>
      <c r="C29" s="2984"/>
      <c r="D29" s="2980">
        <v>5.1999999999999998E-2</v>
      </c>
      <c r="E29" s="2980">
        <v>7.0000000000000007E-2</v>
      </c>
      <c r="F29" s="2984"/>
      <c r="G29" s="2982">
        <v>7.0999999999999994E-2</v>
      </c>
    </row>
    <row r="30" spans="1:7">
      <c r="A30" s="2985" t="s">
        <v>296</v>
      </c>
      <c r="B30" s="2971" t="s">
        <v>2849</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2835</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2919</v>
      </c>
      <c r="C50" s="2976">
        <v>9.8000000000000004E-2</v>
      </c>
      <c r="D50" s="2976">
        <v>7.2999999999999995E-2</v>
      </c>
      <c r="E50" s="2976">
        <v>7.0999999999999994E-2</v>
      </c>
      <c r="F50" s="2987"/>
      <c r="G50" s="2977">
        <v>7.2999999999999995E-2</v>
      </c>
    </row>
    <row r="51" spans="1:7">
      <c r="A51" s="2986" t="s">
        <v>296</v>
      </c>
      <c r="B51" s="2975" t="s">
        <v>2921</v>
      </c>
      <c r="C51" s="2976">
        <v>9.9000000000000005E-2</v>
      </c>
      <c r="D51" s="2976">
        <v>8.5000000000000006E-2</v>
      </c>
      <c r="E51" s="2976">
        <v>6.3E-2</v>
      </c>
      <c r="F51" s="2987"/>
      <c r="G51" s="2977">
        <v>9.6000000000000002E-2</v>
      </c>
    </row>
    <row r="52" spans="1:7">
      <c r="A52" s="2986" t="s">
        <v>296</v>
      </c>
      <c r="B52" s="2975" t="s">
        <v>2925</v>
      </c>
      <c r="C52" s="2976">
        <v>7.3999999999999996E-2</v>
      </c>
      <c r="D52" s="2976">
        <v>9.6000000000000002E-2</v>
      </c>
      <c r="E52" s="2976">
        <v>0.05</v>
      </c>
      <c r="F52" s="2987"/>
      <c r="G52" s="2977">
        <v>9.8000000000000004E-2</v>
      </c>
    </row>
    <row r="53" spans="1:7">
      <c r="A53" s="2986" t="s">
        <v>296</v>
      </c>
      <c r="B53" s="2975" t="s">
        <v>2930</v>
      </c>
      <c r="C53" s="2976">
        <v>8.5999999999999993E-2</v>
      </c>
      <c r="D53" s="2987"/>
      <c r="E53" s="2976">
        <v>9.1999999999999998E-2</v>
      </c>
      <c r="F53" s="2987"/>
      <c r="G53" s="2988"/>
    </row>
    <row r="54" spans="1:7" ht="15" thickBot="1">
      <c r="A54" s="2989" t="s">
        <v>296</v>
      </c>
      <c r="B54" s="2979" t="s">
        <v>2933</v>
      </c>
      <c r="C54" s="2980">
        <v>9.6000000000000002E-2</v>
      </c>
      <c r="D54" s="2981"/>
      <c r="E54" s="2990"/>
      <c r="F54" s="2981"/>
      <c r="G54" s="2991"/>
    </row>
    <row r="55" spans="1:7">
      <c r="A55" s="2985" t="s">
        <v>110</v>
      </c>
      <c r="B55" s="2971" t="s">
        <v>2850</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2931</v>
      </c>
      <c r="C78" s="2976">
        <v>0.1</v>
      </c>
      <c r="D78" s="2976">
        <v>8.5000000000000006E-2</v>
      </c>
      <c r="E78" s="2976">
        <v>9.6000000000000002E-2</v>
      </c>
      <c r="F78" s="2987"/>
      <c r="G78" s="2977">
        <v>9.6000000000000002E-2</v>
      </c>
    </row>
    <row r="79" spans="1:7">
      <c r="A79" s="2986" t="s">
        <v>110</v>
      </c>
      <c r="B79" s="2975" t="s">
        <v>2934</v>
      </c>
      <c r="C79" s="2976">
        <v>0.05</v>
      </c>
      <c r="D79" s="2976">
        <v>9.6000000000000002E-2</v>
      </c>
      <c r="E79" s="2976">
        <v>9.5000000000000001E-2</v>
      </c>
      <c r="F79" s="2987"/>
      <c r="G79" s="2977">
        <v>9.8000000000000004E-2</v>
      </c>
    </row>
    <row r="80" spans="1:7">
      <c r="A80" s="2986" t="s">
        <v>110</v>
      </c>
      <c r="B80" s="2975" t="s">
        <v>2938</v>
      </c>
      <c r="C80" s="2976">
        <v>8.5999999999999993E-2</v>
      </c>
      <c r="D80" s="2992"/>
      <c r="E80" s="2976">
        <v>0.1</v>
      </c>
      <c r="F80" s="2987"/>
      <c r="G80" s="2988"/>
    </row>
    <row r="81" spans="1:7">
      <c r="A81" s="2986" t="s">
        <v>110</v>
      </c>
      <c r="B81" s="2975" t="s">
        <v>2943</v>
      </c>
      <c r="C81" s="2976">
        <v>9.6000000000000002E-2</v>
      </c>
      <c r="D81" s="2987"/>
      <c r="E81" s="2976">
        <v>9.8000000000000004E-2</v>
      </c>
      <c r="F81" s="2987"/>
      <c r="G81" s="2988"/>
    </row>
    <row r="82" spans="1:7">
      <c r="A82" s="2986" t="s">
        <v>110</v>
      </c>
      <c r="B82" s="2975" t="s">
        <v>2950</v>
      </c>
      <c r="C82" s="2992"/>
      <c r="D82" s="2987"/>
      <c r="E82" s="2976">
        <v>7.6999999999999999E-2</v>
      </c>
      <c r="F82" s="2987"/>
      <c r="G82" s="2988"/>
    </row>
    <row r="83" spans="1:7">
      <c r="A83" s="2986" t="s">
        <v>110</v>
      </c>
      <c r="B83" s="2975" t="s">
        <v>2956</v>
      </c>
      <c r="C83" s="2987"/>
      <c r="D83" s="2987"/>
      <c r="E83" s="2987"/>
      <c r="F83" s="2976">
        <v>0.1</v>
      </c>
      <c r="G83" s="2993"/>
    </row>
    <row r="84" spans="1:7">
      <c r="A84" s="2986" t="s">
        <v>110</v>
      </c>
      <c r="B84" s="2975" t="s">
        <v>2963</v>
      </c>
      <c r="C84" s="2987"/>
      <c r="D84" s="2987"/>
      <c r="E84" s="2987"/>
      <c r="F84" s="2976">
        <v>0.1</v>
      </c>
      <c r="G84" s="2993"/>
    </row>
    <row r="85" spans="1:7">
      <c r="A85" s="2986" t="s">
        <v>110</v>
      </c>
      <c r="B85" s="2975" t="s">
        <v>2970</v>
      </c>
      <c r="C85" s="2987"/>
      <c r="D85" s="2987"/>
      <c r="E85" s="2987"/>
      <c r="F85" s="2976">
        <v>0.1</v>
      </c>
      <c r="G85" s="2993"/>
    </row>
    <row r="86" spans="1:7" ht="15" thickBot="1">
      <c r="A86" s="2989" t="s">
        <v>110</v>
      </c>
      <c r="B86" s="2979" t="s">
        <v>2975</v>
      </c>
      <c r="C86" s="2980">
        <v>9.8000000000000004E-2</v>
      </c>
      <c r="D86" s="2980">
        <v>9.8000000000000004E-2</v>
      </c>
      <c r="E86" s="2980">
        <v>9.6000000000000002E-2</v>
      </c>
      <c r="F86" s="2990"/>
      <c r="G86" s="2982">
        <v>0.1</v>
      </c>
    </row>
    <row r="87" spans="1:7">
      <c r="A87" s="2985" t="s">
        <v>303</v>
      </c>
      <c r="B87" s="2971" t="s">
        <v>2851</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2944</v>
      </c>
      <c r="C113" s="2976">
        <v>0.1</v>
      </c>
      <c r="D113" s="2976">
        <v>0.1</v>
      </c>
      <c r="E113" s="2987"/>
      <c r="F113" s="2987"/>
      <c r="G113" s="2977">
        <v>0.1</v>
      </c>
    </row>
    <row r="114" spans="1:7">
      <c r="A114" s="2986" t="s">
        <v>303</v>
      </c>
      <c r="B114" s="2975" t="s">
        <v>2951</v>
      </c>
      <c r="C114" s="2976">
        <v>9.7000000000000003E-2</v>
      </c>
      <c r="D114" s="2976">
        <v>9.7000000000000003E-2</v>
      </c>
      <c r="E114" s="2987"/>
      <c r="F114" s="2987"/>
      <c r="G114" s="2977">
        <v>9.9000000000000005E-2</v>
      </c>
    </row>
    <row r="115" spans="1:7">
      <c r="A115" s="2986" t="s">
        <v>303</v>
      </c>
      <c r="B115" s="2975" t="s">
        <v>2957</v>
      </c>
      <c r="C115" s="2976">
        <v>0.1</v>
      </c>
      <c r="D115" s="2976">
        <v>0.1</v>
      </c>
      <c r="E115" s="2987"/>
      <c r="F115" s="2987"/>
      <c r="G115" s="2977">
        <v>0.1</v>
      </c>
    </row>
    <row r="116" spans="1:7">
      <c r="A116" s="2986" t="s">
        <v>303</v>
      </c>
      <c r="B116" s="2975" t="s">
        <v>2964</v>
      </c>
      <c r="C116" s="2976">
        <v>0.1</v>
      </c>
      <c r="D116" s="2976">
        <v>0.1</v>
      </c>
      <c r="E116" s="2987"/>
      <c r="F116" s="2987"/>
      <c r="G116" s="2977">
        <v>0.1</v>
      </c>
    </row>
    <row r="117" spans="1:7">
      <c r="A117" s="2986" t="s">
        <v>303</v>
      </c>
      <c r="B117" s="2975" t="s">
        <v>2971</v>
      </c>
      <c r="C117" s="2976">
        <v>9.7000000000000003E-2</v>
      </c>
      <c r="D117" s="2976">
        <v>9.7000000000000003E-2</v>
      </c>
      <c r="E117" s="2987"/>
      <c r="F117" s="2987"/>
      <c r="G117" s="2977">
        <v>9.7000000000000003E-2</v>
      </c>
    </row>
    <row r="118" spans="1:7">
      <c r="A118" s="2986" t="s">
        <v>303</v>
      </c>
      <c r="B118" s="2975" t="s">
        <v>2976</v>
      </c>
      <c r="C118" s="2976">
        <v>0.1</v>
      </c>
      <c r="D118" s="2976">
        <v>0.1</v>
      </c>
      <c r="E118" s="2987"/>
      <c r="F118" s="2987"/>
      <c r="G118" s="2977">
        <v>0.1</v>
      </c>
    </row>
    <row r="119" spans="1:7">
      <c r="A119" s="2986" t="s">
        <v>303</v>
      </c>
      <c r="B119" s="2975" t="s">
        <v>2980</v>
      </c>
      <c r="C119" s="2976">
        <v>5.0999999999999997E-2</v>
      </c>
      <c r="D119" s="2976">
        <v>5.1999999999999998E-2</v>
      </c>
      <c r="E119" s="2987"/>
      <c r="F119" s="2992"/>
      <c r="G119" s="2977">
        <v>0.06</v>
      </c>
    </row>
    <row r="120" spans="1:7">
      <c r="A120" s="2986" t="s">
        <v>303</v>
      </c>
      <c r="B120" s="2975" t="s">
        <v>2984</v>
      </c>
      <c r="C120" s="2987"/>
      <c r="D120" s="2987"/>
      <c r="E120" s="2987"/>
      <c r="F120" s="2976">
        <v>0.1</v>
      </c>
      <c r="G120" s="2993"/>
    </row>
    <row r="121" spans="1:7">
      <c r="A121" s="2986" t="s">
        <v>303</v>
      </c>
      <c r="B121" s="2975" t="s">
        <v>2989</v>
      </c>
      <c r="C121" s="2987"/>
      <c r="D121" s="2987"/>
      <c r="E121" s="2987"/>
      <c r="F121" s="2976">
        <v>0.1</v>
      </c>
      <c r="G121" s="2993"/>
    </row>
    <row r="122" spans="1:7">
      <c r="A122" s="2986" t="s">
        <v>303</v>
      </c>
      <c r="B122" s="2975" t="s">
        <v>2994</v>
      </c>
      <c r="C122" s="2976">
        <v>0.1</v>
      </c>
      <c r="D122" s="2976">
        <v>0.1</v>
      </c>
      <c r="E122" s="2976">
        <v>9.8000000000000004E-2</v>
      </c>
      <c r="F122" s="2976">
        <v>0.1</v>
      </c>
      <c r="G122" s="2977">
        <v>0.1</v>
      </c>
    </row>
    <row r="123" spans="1:7">
      <c r="A123" s="2986" t="s">
        <v>303</v>
      </c>
      <c r="B123" s="2975" t="s">
        <v>2999</v>
      </c>
      <c r="C123" s="2976">
        <v>0.1</v>
      </c>
      <c r="D123" s="2976">
        <v>0.1</v>
      </c>
      <c r="E123" s="2976">
        <v>9.8000000000000004E-2</v>
      </c>
      <c r="F123" s="2976">
        <v>0.1</v>
      </c>
      <c r="G123" s="2977">
        <v>0.1</v>
      </c>
    </row>
    <row r="124" spans="1:7">
      <c r="A124" s="2986" t="s">
        <v>303</v>
      </c>
      <c r="B124" s="2975" t="s">
        <v>3004</v>
      </c>
      <c r="C124" s="2976">
        <v>0.1</v>
      </c>
      <c r="D124" s="2976">
        <v>0.1</v>
      </c>
      <c r="E124" s="2976">
        <v>9.8000000000000004E-2</v>
      </c>
      <c r="F124" s="2992"/>
      <c r="G124" s="2977">
        <v>0.1</v>
      </c>
    </row>
    <row r="125" spans="1:7">
      <c r="A125" s="2986" t="s">
        <v>303</v>
      </c>
      <c r="B125" s="2975" t="s">
        <v>3009</v>
      </c>
      <c r="C125" s="2976">
        <v>9.8000000000000004E-2</v>
      </c>
      <c r="D125" s="2976">
        <v>9.8000000000000004E-2</v>
      </c>
      <c r="E125" s="2976">
        <v>9.6000000000000002E-2</v>
      </c>
      <c r="F125" s="2992"/>
      <c r="G125" s="2977">
        <v>0.1</v>
      </c>
    </row>
    <row r="126" spans="1:7" ht="15" thickBot="1">
      <c r="A126" s="2989" t="s">
        <v>303</v>
      </c>
      <c r="B126" s="2979" t="s">
        <v>3175</v>
      </c>
      <c r="C126" s="2980">
        <v>0.1</v>
      </c>
      <c r="D126" s="2980">
        <v>0.1</v>
      </c>
      <c r="E126" s="2980">
        <v>9.8000000000000004E-2</v>
      </c>
      <c r="F126" s="2980">
        <v>0.1</v>
      </c>
      <c r="G126" s="2982">
        <v>0.1</v>
      </c>
    </row>
    <row r="127" spans="1:7">
      <c r="A127" s="2985" t="s">
        <v>29</v>
      </c>
      <c r="B127" s="2971" t="s">
        <v>2852</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2922</v>
      </c>
      <c r="C148" s="2976">
        <v>0.13</v>
      </c>
      <c r="D148" s="2976">
        <v>0.13</v>
      </c>
      <c r="E148" s="2976">
        <v>0.13</v>
      </c>
      <c r="F148" s="2987"/>
      <c r="G148" s="2977">
        <v>0.13</v>
      </c>
    </row>
    <row r="149" spans="1:7">
      <c r="A149" s="2986" t="s">
        <v>29</v>
      </c>
      <c r="B149" s="2975" t="s">
        <v>2926</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2945</v>
      </c>
      <c r="C153" s="2976">
        <v>0.13</v>
      </c>
      <c r="D153" s="2976">
        <v>0.13</v>
      </c>
      <c r="E153" s="2976">
        <v>0.13</v>
      </c>
      <c r="F153" s="2976">
        <v>0.13</v>
      </c>
      <c r="G153" s="2977">
        <v>0.13</v>
      </c>
    </row>
    <row r="154" spans="1:7">
      <c r="A154" s="2986" t="s">
        <v>29</v>
      </c>
      <c r="B154" s="2975" t="s">
        <v>2952</v>
      </c>
      <c r="C154" s="2976">
        <v>0.121</v>
      </c>
      <c r="D154" s="2976">
        <v>0.121</v>
      </c>
      <c r="E154" s="2976">
        <v>0.105</v>
      </c>
      <c r="F154" s="2976">
        <v>0.121</v>
      </c>
      <c r="G154" s="2977">
        <v>0.123</v>
      </c>
    </row>
    <row r="155" spans="1:7">
      <c r="A155" s="2986" t="s">
        <v>29</v>
      </c>
      <c r="B155" s="2975" t="s">
        <v>2958</v>
      </c>
      <c r="C155" s="2976">
        <v>0.1</v>
      </c>
      <c r="D155" s="2976">
        <v>0.1</v>
      </c>
      <c r="E155" s="2976">
        <v>0.1</v>
      </c>
      <c r="F155" s="2976">
        <v>0.1</v>
      </c>
      <c r="G155" s="2977">
        <v>0.1</v>
      </c>
    </row>
    <row r="156" spans="1:7">
      <c r="A156" s="2986" t="s">
        <v>29</v>
      </c>
      <c r="B156" s="2975" t="s">
        <v>2965</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2985</v>
      </c>
      <c r="C160" s="2976">
        <v>0.13</v>
      </c>
      <c r="D160" s="2976">
        <v>0.13</v>
      </c>
      <c r="E160" s="2976">
        <v>0.124</v>
      </c>
      <c r="F160" s="2976">
        <v>0.126</v>
      </c>
      <c r="G160" s="2977">
        <v>0.13</v>
      </c>
    </row>
    <row r="161" spans="1:7">
      <c r="A161" s="2986" t="s">
        <v>29</v>
      </c>
      <c r="B161" s="2975" t="s">
        <v>2990</v>
      </c>
      <c r="C161" s="2976">
        <v>0.13</v>
      </c>
      <c r="D161" s="2976">
        <v>0.13</v>
      </c>
      <c r="E161" s="2976">
        <v>0.124</v>
      </c>
      <c r="F161" s="2976">
        <v>0.127</v>
      </c>
      <c r="G161" s="2977">
        <v>0.13</v>
      </c>
    </row>
    <row r="162" spans="1:7">
      <c r="A162" s="2986" t="s">
        <v>29</v>
      </c>
      <c r="B162" s="2975" t="s">
        <v>2995</v>
      </c>
      <c r="C162" s="2976">
        <v>0.1</v>
      </c>
      <c r="D162" s="2976">
        <v>0.1</v>
      </c>
      <c r="E162" s="2976">
        <v>0.1</v>
      </c>
      <c r="F162" s="2976">
        <v>0.121</v>
      </c>
      <c r="G162" s="2977">
        <v>0.105</v>
      </c>
    </row>
    <row r="163" spans="1:7">
      <c r="A163" s="2986" t="s">
        <v>29</v>
      </c>
      <c r="B163" s="2975" t="s">
        <v>3000</v>
      </c>
      <c r="C163" s="2976">
        <v>0.1</v>
      </c>
      <c r="D163" s="2976">
        <v>0.1</v>
      </c>
      <c r="E163" s="2976">
        <v>0.1</v>
      </c>
      <c r="F163" s="2976">
        <v>0.1</v>
      </c>
      <c r="G163" s="2977">
        <v>0.1</v>
      </c>
    </row>
    <row r="164" spans="1:7">
      <c r="A164" s="2986" t="s">
        <v>29</v>
      </c>
      <c r="B164" s="2975" t="s">
        <v>3005</v>
      </c>
      <c r="C164" s="2992"/>
      <c r="D164" s="2992"/>
      <c r="E164" s="2992"/>
      <c r="F164" s="2976">
        <v>0.1</v>
      </c>
      <c r="G164" s="2988"/>
    </row>
    <row r="165" spans="1:7">
      <c r="A165" s="2986" t="s">
        <v>29</v>
      </c>
      <c r="B165" s="2975" t="s">
        <v>3176</v>
      </c>
      <c r="C165" s="2976">
        <v>0.126</v>
      </c>
      <c r="D165" s="2976">
        <v>0.126</v>
      </c>
      <c r="E165" s="2976">
        <v>0.11899999999999999</v>
      </c>
      <c r="F165" s="2976">
        <v>0.13</v>
      </c>
      <c r="G165" s="2977">
        <v>0.128</v>
      </c>
    </row>
    <row r="166" spans="1:7">
      <c r="A166" s="2986" t="s">
        <v>29</v>
      </c>
      <c r="B166" s="2975" t="s">
        <v>3015</v>
      </c>
      <c r="C166" s="2976">
        <v>0.129</v>
      </c>
      <c r="D166" s="2976">
        <v>0.129</v>
      </c>
      <c r="E166" s="2976">
        <v>0.123</v>
      </c>
      <c r="F166" s="2976">
        <v>0.128</v>
      </c>
      <c r="G166" s="2977">
        <v>0.13</v>
      </c>
    </row>
    <row r="167" spans="1:7">
      <c r="A167" s="2986" t="s">
        <v>29</v>
      </c>
      <c r="B167" s="2975" t="s">
        <v>3019</v>
      </c>
      <c r="C167" s="2976">
        <v>0.125</v>
      </c>
      <c r="D167" s="2976">
        <v>0.125</v>
      </c>
      <c r="E167" s="2976">
        <v>0.11700000000000001</v>
      </c>
      <c r="F167" s="2976">
        <v>0.13</v>
      </c>
      <c r="G167" s="2977">
        <v>0.126</v>
      </c>
    </row>
    <row r="168" spans="1:7">
      <c r="A168" s="2986" t="s">
        <v>29</v>
      </c>
      <c r="B168" s="2975" t="s">
        <v>3024</v>
      </c>
      <c r="C168" s="2976">
        <v>0.128</v>
      </c>
      <c r="D168" s="2976">
        <v>0.128</v>
      </c>
      <c r="E168" s="2976">
        <v>0.123</v>
      </c>
      <c r="F168" s="2987"/>
      <c r="G168" s="2977">
        <v>0.13</v>
      </c>
    </row>
    <row r="169" spans="1:7">
      <c r="A169" s="2986" t="s">
        <v>29</v>
      </c>
      <c r="B169" s="2975" t="s">
        <v>3177</v>
      </c>
      <c r="C169" s="2992"/>
      <c r="D169" s="2992"/>
      <c r="E169" s="2992"/>
      <c r="F169" s="2976">
        <v>0.05</v>
      </c>
      <c r="G169" s="2988"/>
    </row>
    <row r="170" spans="1:7">
      <c r="A170" s="2986" t="s">
        <v>29</v>
      </c>
      <c r="B170" s="2975" t="s">
        <v>3178</v>
      </c>
      <c r="C170" s="2992"/>
      <c r="D170" s="2992"/>
      <c r="E170" s="2992"/>
      <c r="F170" s="2976">
        <v>0.05</v>
      </c>
      <c r="G170" s="2988"/>
    </row>
    <row r="171" spans="1:7">
      <c r="A171" s="2986" t="s">
        <v>29</v>
      </c>
      <c r="B171" s="2975" t="s">
        <v>3179</v>
      </c>
      <c r="C171" s="2992"/>
      <c r="D171" s="2992"/>
      <c r="E171" s="2992"/>
      <c r="F171" s="2976">
        <v>0.05</v>
      </c>
      <c r="G171" s="2993"/>
    </row>
    <row r="172" spans="1:7">
      <c r="A172" s="2986" t="s">
        <v>29</v>
      </c>
      <c r="B172" s="2975" t="s">
        <v>3180</v>
      </c>
      <c r="C172" s="2992"/>
      <c r="D172" s="2992"/>
      <c r="E172" s="2992"/>
      <c r="F172" s="2976">
        <v>0.05</v>
      </c>
      <c r="G172" s="2993"/>
    </row>
    <row r="173" spans="1:7">
      <c r="A173" s="2986" t="s">
        <v>29</v>
      </c>
      <c r="B173" s="2975" t="s">
        <v>3181</v>
      </c>
      <c r="C173" s="2992"/>
      <c r="D173" s="2992"/>
      <c r="E173" s="2992"/>
      <c r="F173" s="2976">
        <v>0.05</v>
      </c>
      <c r="G173" s="2988"/>
    </row>
    <row r="174" spans="1:7">
      <c r="A174" s="2986" t="s">
        <v>29</v>
      </c>
      <c r="B174" s="2975" t="s">
        <v>3182</v>
      </c>
      <c r="C174" s="2992"/>
      <c r="D174" s="2992"/>
      <c r="E174" s="2992"/>
      <c r="F174" s="2976">
        <v>0.05</v>
      </c>
      <c r="G174" s="2988"/>
    </row>
    <row r="175" spans="1:7">
      <c r="A175" s="2986" t="s">
        <v>29</v>
      </c>
      <c r="B175" s="2975" t="s">
        <v>3183</v>
      </c>
      <c r="C175" s="2992"/>
      <c r="D175" s="2992"/>
      <c r="E175" s="2992"/>
      <c r="F175" s="2976">
        <v>0.05</v>
      </c>
      <c r="G175" s="2988"/>
    </row>
    <row r="176" spans="1:7">
      <c r="A176" s="2986" t="s">
        <v>29</v>
      </c>
      <c r="B176" s="2975" t="s">
        <v>3184</v>
      </c>
      <c r="C176" s="2992"/>
      <c r="D176" s="2992"/>
      <c r="E176" s="2992"/>
      <c r="F176" s="2976">
        <v>0.05</v>
      </c>
      <c r="G176" s="2988"/>
    </row>
    <row r="177" spans="1:7">
      <c r="A177" s="2986" t="s">
        <v>29</v>
      </c>
      <c r="B177" s="2975" t="s">
        <v>3185</v>
      </c>
      <c r="C177" s="2987"/>
      <c r="D177" s="2987"/>
      <c r="E177" s="2987"/>
      <c r="F177" s="2976">
        <v>0.05</v>
      </c>
      <c r="G177" s="2993"/>
    </row>
    <row r="178" spans="1:7">
      <c r="A178" s="2986" t="s">
        <v>29</v>
      </c>
      <c r="B178" s="2975" t="s">
        <v>3186</v>
      </c>
      <c r="C178" s="2987"/>
      <c r="D178" s="2987"/>
      <c r="E178" s="2987"/>
      <c r="F178" s="2976">
        <v>0.05</v>
      </c>
      <c r="G178" s="2993"/>
    </row>
    <row r="179" spans="1:7">
      <c r="A179" s="2986" t="s">
        <v>29</v>
      </c>
      <c r="B179" s="2975" t="s">
        <v>3187</v>
      </c>
      <c r="C179" s="2987"/>
      <c r="D179" s="2987"/>
      <c r="E179" s="2987"/>
      <c r="F179" s="2976">
        <v>0.05</v>
      </c>
      <c r="G179" s="2993"/>
    </row>
    <row r="180" spans="1:7">
      <c r="A180" s="2986" t="s">
        <v>29</v>
      </c>
      <c r="B180" s="2975" t="s">
        <v>3188</v>
      </c>
      <c r="C180" s="2987"/>
      <c r="D180" s="2987"/>
      <c r="E180" s="2987"/>
      <c r="F180" s="2976">
        <v>0.05</v>
      </c>
      <c r="G180" s="2993"/>
    </row>
    <row r="181" spans="1:7">
      <c r="A181" s="2986" t="s">
        <v>29</v>
      </c>
      <c r="B181" s="2975" t="s">
        <v>3189</v>
      </c>
      <c r="C181" s="2987"/>
      <c r="D181" s="2987"/>
      <c r="E181" s="2987"/>
      <c r="F181" s="2976">
        <v>0.05</v>
      </c>
      <c r="G181" s="2993"/>
    </row>
    <row r="182" spans="1:7">
      <c r="A182" s="2986" t="s">
        <v>29</v>
      </c>
      <c r="B182" s="2975" t="s">
        <v>3190</v>
      </c>
      <c r="C182" s="2987"/>
      <c r="D182" s="2987"/>
      <c r="E182" s="2987"/>
      <c r="F182" s="2976">
        <v>0.05</v>
      </c>
      <c r="G182" s="2993"/>
    </row>
    <row r="183" spans="1:7">
      <c r="A183" s="2986" t="s">
        <v>29</v>
      </c>
      <c r="B183" s="2975" t="s">
        <v>3191</v>
      </c>
      <c r="C183" s="2987"/>
      <c r="D183" s="2987"/>
      <c r="E183" s="2987"/>
      <c r="F183" s="2976">
        <v>0.05</v>
      </c>
      <c r="G183" s="2993"/>
    </row>
    <row r="184" spans="1:7">
      <c r="A184" s="2986" t="s">
        <v>29</v>
      </c>
      <c r="B184" s="2975" t="s">
        <v>3192</v>
      </c>
      <c r="C184" s="2987"/>
      <c r="D184" s="2987"/>
      <c r="E184" s="2987"/>
      <c r="F184" s="2976">
        <v>0.05</v>
      </c>
      <c r="G184" s="2993"/>
    </row>
    <row r="185" spans="1:7">
      <c r="A185" s="2986" t="s">
        <v>29</v>
      </c>
      <c r="B185" s="2975" t="s">
        <v>3193</v>
      </c>
      <c r="C185" s="2987"/>
      <c r="D185" s="2987"/>
      <c r="E185" s="2987"/>
      <c r="F185" s="2976">
        <v>0.05</v>
      </c>
      <c r="G185" s="2993"/>
    </row>
    <row r="186" spans="1:7">
      <c r="A186" s="2986" t="s">
        <v>29</v>
      </c>
      <c r="B186" s="2975" t="s">
        <v>3194</v>
      </c>
      <c r="C186" s="2987"/>
      <c r="D186" s="2987"/>
      <c r="E186" s="2987"/>
      <c r="F186" s="2976">
        <v>0.05</v>
      </c>
      <c r="G186" s="2993"/>
    </row>
    <row r="187" spans="1:7">
      <c r="A187" s="2986" t="s">
        <v>29</v>
      </c>
      <c r="B187" s="2975" t="s">
        <v>3195</v>
      </c>
      <c r="C187" s="2987"/>
      <c r="D187" s="2987"/>
      <c r="E187" s="2987"/>
      <c r="F187" s="2976">
        <v>0.05</v>
      </c>
      <c r="G187" s="2993"/>
    </row>
    <row r="188" spans="1:7">
      <c r="A188" s="2986" t="s">
        <v>29</v>
      </c>
      <c r="B188" s="2975" t="s">
        <v>3196</v>
      </c>
      <c r="C188" s="2987"/>
      <c r="D188" s="2987"/>
      <c r="E188" s="2987"/>
      <c r="F188" s="2976">
        <v>0.05</v>
      </c>
      <c r="G188" s="2993"/>
    </row>
    <row r="189" spans="1:7" ht="15" thickBot="1">
      <c r="A189" s="2989" t="s">
        <v>29</v>
      </c>
      <c r="B189" s="2979" t="s">
        <v>3197</v>
      </c>
      <c r="C189" s="2981"/>
      <c r="D189" s="2981"/>
      <c r="E189" s="2981"/>
      <c r="F189" s="2980">
        <v>0.05</v>
      </c>
      <c r="G189" s="2994"/>
    </row>
    <row r="190" spans="1:7">
      <c r="A190" s="2985" t="s">
        <v>304</v>
      </c>
      <c r="B190" s="2971" t="s">
        <v>2853</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2889</v>
      </c>
      <c r="C199" s="2976">
        <v>0.13</v>
      </c>
      <c r="D199" s="2976">
        <v>0.13</v>
      </c>
      <c r="E199" s="2976">
        <v>0.13</v>
      </c>
      <c r="F199" s="2976">
        <v>0.13</v>
      </c>
      <c r="G199" s="2977">
        <v>0.13</v>
      </c>
    </row>
    <row r="200" spans="1:7">
      <c r="A200" s="2986" t="s">
        <v>304</v>
      </c>
      <c r="B200" s="2975" t="s">
        <v>2892</v>
      </c>
      <c r="C200" s="2992"/>
      <c r="D200" s="2992"/>
      <c r="E200" s="2992"/>
      <c r="F200" s="2976">
        <v>0.13</v>
      </c>
      <c r="G200" s="2988"/>
    </row>
    <row r="201" spans="1:7">
      <c r="A201" s="2986" t="s">
        <v>304</v>
      </c>
      <c r="B201" s="2975" t="s">
        <v>2897</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2900</v>
      </c>
      <c r="C203" s="2976">
        <v>0.129</v>
      </c>
      <c r="D203" s="2976">
        <v>0.129</v>
      </c>
      <c r="E203" s="2976">
        <v>0.13</v>
      </c>
      <c r="F203" s="2976">
        <v>0.13</v>
      </c>
      <c r="G203" s="2977">
        <v>0.13</v>
      </c>
    </row>
    <row r="204" spans="1:7">
      <c r="A204" s="2986" t="s">
        <v>304</v>
      </c>
      <c r="B204" s="2975" t="s">
        <v>2903</v>
      </c>
      <c r="C204" s="2976">
        <v>0.129</v>
      </c>
      <c r="D204" s="2976">
        <v>0.129</v>
      </c>
      <c r="E204" s="2976">
        <v>0.123</v>
      </c>
      <c r="F204" s="2976">
        <v>0.13</v>
      </c>
      <c r="G204" s="2977">
        <v>0.13</v>
      </c>
    </row>
    <row r="205" spans="1:7">
      <c r="A205" s="2986" t="s">
        <v>304</v>
      </c>
      <c r="B205" s="2975" t="s">
        <v>2905</v>
      </c>
      <c r="C205" s="2976">
        <v>0.13</v>
      </c>
      <c r="D205" s="2976">
        <v>0.13</v>
      </c>
      <c r="E205" s="2976">
        <v>0.13</v>
      </c>
      <c r="F205" s="2976">
        <v>0.13</v>
      </c>
      <c r="G205" s="2977">
        <v>0.13</v>
      </c>
    </row>
    <row r="206" spans="1:7">
      <c r="A206" s="2986" t="s">
        <v>304</v>
      </c>
      <c r="B206" s="2975" t="s">
        <v>2908</v>
      </c>
      <c r="C206" s="2976">
        <v>0.13</v>
      </c>
      <c r="D206" s="2976">
        <v>0.13</v>
      </c>
      <c r="E206" s="2976">
        <v>0.13</v>
      </c>
      <c r="F206" s="2976">
        <v>0.128</v>
      </c>
      <c r="G206" s="2977">
        <v>0.13</v>
      </c>
    </row>
    <row r="207" spans="1:7">
      <c r="A207" s="2986" t="s">
        <v>304</v>
      </c>
      <c r="B207" s="2975" t="s">
        <v>2910</v>
      </c>
      <c r="C207" s="2976">
        <v>0.13</v>
      </c>
      <c r="D207" s="2976">
        <v>0.13</v>
      </c>
      <c r="E207" s="2976">
        <v>0.13</v>
      </c>
      <c r="F207" s="2976">
        <v>0.13</v>
      </c>
      <c r="G207" s="2977">
        <v>0.13</v>
      </c>
    </row>
    <row r="208" spans="1:7">
      <c r="A208" s="2986" t="s">
        <v>304</v>
      </c>
      <c r="B208" s="2975" t="s">
        <v>2913</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2920</v>
      </c>
      <c r="C210" s="2976">
        <v>0.121</v>
      </c>
      <c r="D210" s="2976">
        <v>0.121</v>
      </c>
      <c r="E210" s="2976">
        <v>0.125</v>
      </c>
      <c r="F210" s="2976">
        <v>0.13</v>
      </c>
      <c r="G210" s="2977">
        <v>0.123</v>
      </c>
    </row>
    <row r="211" spans="1:7">
      <c r="A211" s="2986" t="s">
        <v>304</v>
      </c>
      <c r="B211" s="2975" t="s">
        <v>2923</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2935</v>
      </c>
      <c r="C214" s="2976">
        <v>0.128</v>
      </c>
      <c r="D214" s="2976">
        <v>0.128</v>
      </c>
      <c r="E214" s="2976">
        <v>0.13</v>
      </c>
      <c r="F214" s="2976">
        <v>0.13</v>
      </c>
      <c r="G214" s="2977">
        <v>0.13</v>
      </c>
    </row>
    <row r="215" spans="1:7">
      <c r="A215" s="2986" t="s">
        <v>304</v>
      </c>
      <c r="B215" s="2975" t="s">
        <v>2939</v>
      </c>
      <c r="C215" s="2976">
        <v>0.13</v>
      </c>
      <c r="D215" s="2976">
        <v>0.13</v>
      </c>
      <c r="E215" s="2976">
        <v>0.13</v>
      </c>
      <c r="F215" s="2976">
        <v>0.129</v>
      </c>
      <c r="G215" s="2977">
        <v>0.13</v>
      </c>
    </row>
    <row r="216" spans="1:7">
      <c r="A216" s="2986" t="s">
        <v>304</v>
      </c>
      <c r="B216" s="2975" t="s">
        <v>2946</v>
      </c>
      <c r="C216" s="2976">
        <v>0.13</v>
      </c>
      <c r="D216" s="2976">
        <v>0.13</v>
      </c>
      <c r="E216" s="2976">
        <v>0.13</v>
      </c>
      <c r="F216" s="2976">
        <v>0.13</v>
      </c>
      <c r="G216" s="2977">
        <v>0.13</v>
      </c>
    </row>
    <row r="217" spans="1:7">
      <c r="A217" s="2986" t="s">
        <v>304</v>
      </c>
      <c r="B217" s="2975" t="s">
        <v>2953</v>
      </c>
      <c r="C217" s="2976">
        <v>0.129</v>
      </c>
      <c r="D217" s="2976">
        <v>0.129</v>
      </c>
      <c r="E217" s="2976">
        <v>0.13</v>
      </c>
      <c r="F217" s="2976">
        <v>0.13</v>
      </c>
      <c r="G217" s="2977">
        <v>0.13</v>
      </c>
    </row>
    <row r="218" spans="1:7">
      <c r="A218" s="2986" t="s">
        <v>304</v>
      </c>
      <c r="B218" s="2975" t="s">
        <v>2959</v>
      </c>
      <c r="C218" s="2987"/>
      <c r="D218" s="2987"/>
      <c r="E218" s="2987"/>
      <c r="F218" s="2976">
        <v>0.05</v>
      </c>
      <c r="G218" s="2993"/>
    </row>
    <row r="219" spans="1:7">
      <c r="A219" s="2986" t="s">
        <v>304</v>
      </c>
      <c r="B219" s="2975" t="s">
        <v>2966</v>
      </c>
      <c r="C219" s="2987"/>
      <c r="D219" s="2987"/>
      <c r="E219" s="2987"/>
      <c r="F219" s="2976">
        <v>0.05</v>
      </c>
      <c r="G219" s="2993"/>
    </row>
    <row r="220" spans="1:7">
      <c r="A220" s="2986" t="s">
        <v>304</v>
      </c>
      <c r="B220" s="2975" t="s">
        <v>2972</v>
      </c>
      <c r="C220" s="2987"/>
      <c r="D220" s="2987"/>
      <c r="E220" s="2987"/>
      <c r="F220" s="2976">
        <v>0.05</v>
      </c>
      <c r="G220" s="2993"/>
    </row>
    <row r="221" spans="1:7">
      <c r="A221" s="2986" t="s">
        <v>304</v>
      </c>
      <c r="B221" s="2975" t="s">
        <v>2977</v>
      </c>
      <c r="C221" s="2987"/>
      <c r="D221" s="2987"/>
      <c r="E221" s="2987"/>
      <c r="F221" s="2976">
        <v>0.05</v>
      </c>
      <c r="G221" s="2993"/>
    </row>
    <row r="222" spans="1:7">
      <c r="A222" s="2986" t="s">
        <v>304</v>
      </c>
      <c r="B222" s="2975" t="s">
        <v>2981</v>
      </c>
      <c r="C222" s="2987"/>
      <c r="D222" s="2987"/>
      <c r="E222" s="2987"/>
      <c r="F222" s="2976">
        <v>0.05</v>
      </c>
      <c r="G222" s="2993"/>
    </row>
    <row r="223" spans="1:7">
      <c r="A223" s="2986" t="s">
        <v>304</v>
      </c>
      <c r="B223" s="2975" t="s">
        <v>2986</v>
      </c>
      <c r="C223" s="2987"/>
      <c r="D223" s="2987"/>
      <c r="E223" s="2987"/>
      <c r="F223" s="2976">
        <v>0.05</v>
      </c>
      <c r="G223" s="2993"/>
    </row>
    <row r="224" spans="1:7">
      <c r="A224" s="2986" t="s">
        <v>304</v>
      </c>
      <c r="B224" s="2975" t="s">
        <v>2991</v>
      </c>
      <c r="C224" s="2987"/>
      <c r="D224" s="2987"/>
      <c r="E224" s="2987"/>
      <c r="F224" s="2976">
        <v>0.05</v>
      </c>
      <c r="G224" s="2993"/>
    </row>
    <row r="225" spans="1:7">
      <c r="A225" s="2986" t="s">
        <v>304</v>
      </c>
      <c r="B225" s="2975" t="s">
        <v>2996</v>
      </c>
      <c r="C225" s="2987"/>
      <c r="D225" s="2987"/>
      <c r="E225" s="2987"/>
      <c r="F225" s="2976">
        <v>0.05</v>
      </c>
      <c r="G225" s="2993"/>
    </row>
    <row r="226" spans="1:7">
      <c r="A226" s="2986" t="s">
        <v>304</v>
      </c>
      <c r="B226" s="2975" t="s">
        <v>3198</v>
      </c>
      <c r="C226" s="2987"/>
      <c r="D226" s="2987"/>
      <c r="E226" s="2987"/>
      <c r="F226" s="2976">
        <v>0.05</v>
      </c>
      <c r="G226" s="2993"/>
    </row>
    <row r="227" spans="1:7">
      <c r="A227" s="2986" t="s">
        <v>304</v>
      </c>
      <c r="B227" s="2975" t="s">
        <v>3199</v>
      </c>
      <c r="C227" s="2987"/>
      <c r="D227" s="2987"/>
      <c r="E227" s="2987"/>
      <c r="F227" s="2976">
        <v>0.05</v>
      </c>
      <c r="G227" s="2993"/>
    </row>
    <row r="228" spans="1:7">
      <c r="A228" s="2986" t="s">
        <v>304</v>
      </c>
      <c r="B228" s="2975" t="s">
        <v>3200</v>
      </c>
      <c r="C228" s="2987"/>
      <c r="D228" s="2987"/>
      <c r="E228" s="2987"/>
      <c r="F228" s="2976">
        <v>0.05</v>
      </c>
      <c r="G228" s="2993"/>
    </row>
    <row r="229" spans="1:7">
      <c r="A229" s="2986" t="s">
        <v>304</v>
      </c>
      <c r="B229" s="2975" t="s">
        <v>3201</v>
      </c>
      <c r="C229" s="2987"/>
      <c r="D229" s="2987"/>
      <c r="E229" s="2987"/>
      <c r="F229" s="2976">
        <v>0.05</v>
      </c>
      <c r="G229" s="2993"/>
    </row>
    <row r="230" spans="1:7">
      <c r="A230" s="2986" t="s">
        <v>304</v>
      </c>
      <c r="B230" s="2975" t="s">
        <v>3202</v>
      </c>
      <c r="C230" s="2987"/>
      <c r="D230" s="2987"/>
      <c r="E230" s="2987"/>
      <c r="F230" s="2976">
        <v>0.05</v>
      </c>
      <c r="G230" s="2993"/>
    </row>
    <row r="231" spans="1:7">
      <c r="A231" s="2986" t="s">
        <v>304</v>
      </c>
      <c r="B231" s="2975" t="s">
        <v>3203</v>
      </c>
      <c r="C231" s="2987"/>
      <c r="D231" s="2987"/>
      <c r="E231" s="2987"/>
      <c r="F231" s="2976">
        <v>0.05</v>
      </c>
      <c r="G231" s="2993"/>
    </row>
    <row r="232" spans="1:7">
      <c r="A232" s="2986" t="s">
        <v>304</v>
      </c>
      <c r="B232" s="2975" t="s">
        <v>3204</v>
      </c>
      <c r="C232" s="2987"/>
      <c r="D232" s="2987"/>
      <c r="E232" s="2987"/>
      <c r="F232" s="2976">
        <v>0.05</v>
      </c>
      <c r="G232" s="2993"/>
    </row>
    <row r="233" spans="1:7" ht="15" thickBot="1">
      <c r="A233" s="2989" t="s">
        <v>304</v>
      </c>
      <c r="B233" s="2979" t="s">
        <v>3205</v>
      </c>
      <c r="C233" s="2981"/>
      <c r="D233" s="2981"/>
      <c r="E233" s="2981"/>
      <c r="F233" s="2980">
        <v>0.05</v>
      </c>
      <c r="G233" s="2994"/>
    </row>
    <row r="234" spans="1:7">
      <c r="A234" s="2985" t="s">
        <v>305</v>
      </c>
      <c r="B234" s="2971" t="s">
        <v>2854</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2874</v>
      </c>
      <c r="C238" s="2976">
        <v>0.14899999999999999</v>
      </c>
      <c r="D238" s="2976">
        <v>0.14899999999999999</v>
      </c>
      <c r="E238" s="2976">
        <v>0.15</v>
      </c>
      <c r="F238" s="2976">
        <v>0.15</v>
      </c>
      <c r="G238" s="2977">
        <v>0.15</v>
      </c>
    </row>
    <row r="239" spans="1:7">
      <c r="A239" s="2986" t="s">
        <v>305</v>
      </c>
      <c r="B239" s="2975" t="s">
        <v>2878</v>
      </c>
      <c r="C239" s="2976">
        <v>0.15</v>
      </c>
      <c r="D239" s="2976">
        <v>0.15</v>
      </c>
      <c r="E239" s="2976">
        <v>0.15</v>
      </c>
      <c r="F239" s="2976">
        <v>0.15</v>
      </c>
      <c r="G239" s="2977">
        <v>0.15</v>
      </c>
    </row>
    <row r="240" spans="1:7">
      <c r="A240" s="2986" t="s">
        <v>305</v>
      </c>
      <c r="B240" s="2975" t="s">
        <v>2883</v>
      </c>
      <c r="C240" s="2976">
        <v>0.15</v>
      </c>
      <c r="D240" s="2976">
        <v>0.15</v>
      </c>
      <c r="E240" s="2976">
        <v>0.15</v>
      </c>
      <c r="F240" s="2976">
        <v>0.15</v>
      </c>
      <c r="G240" s="2977">
        <v>0.15</v>
      </c>
    </row>
    <row r="241" spans="1:7">
      <c r="A241" s="2986" t="s">
        <v>305</v>
      </c>
      <c r="B241" s="2975" t="s">
        <v>2887</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2893</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2901</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2906</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2914</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2927</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2936</v>
      </c>
      <c r="C258" s="2976">
        <v>0.14299999999999999</v>
      </c>
      <c r="D258" s="2976">
        <v>0.14299999999999999</v>
      </c>
      <c r="E258" s="2976">
        <v>0.15</v>
      </c>
      <c r="F258" s="2976">
        <v>0.14799999999999999</v>
      </c>
      <c r="G258" s="2977">
        <v>0.14599999999999999</v>
      </c>
    </row>
    <row r="259" spans="1:7">
      <c r="A259" s="2986" t="s">
        <v>305</v>
      </c>
      <c r="B259" s="2975" t="s">
        <v>2940</v>
      </c>
      <c r="C259" s="2976">
        <v>0.14399999999999999</v>
      </c>
      <c r="D259" s="2976">
        <v>0.14399999999999999</v>
      </c>
      <c r="E259" s="2976">
        <v>0.14899999999999999</v>
      </c>
      <c r="F259" s="2976">
        <v>0.14699999999999999</v>
      </c>
      <c r="G259" s="2977">
        <v>0.14599999999999999</v>
      </c>
    </row>
    <row r="260" spans="1:7">
      <c r="A260" s="2986" t="s">
        <v>305</v>
      </c>
      <c r="B260" s="2975" t="s">
        <v>2947</v>
      </c>
      <c r="C260" s="2976">
        <v>0.109</v>
      </c>
      <c r="D260" s="2976">
        <v>0.111</v>
      </c>
      <c r="E260" s="2976">
        <v>0.13100000000000001</v>
      </c>
      <c r="F260" s="2976">
        <v>0.126</v>
      </c>
      <c r="G260" s="2977">
        <v>0.11899999999999999</v>
      </c>
    </row>
    <row r="261" spans="1:7">
      <c r="A261" s="2986" t="s">
        <v>305</v>
      </c>
      <c r="B261" s="2975" t="s">
        <v>2954</v>
      </c>
      <c r="C261" s="2976">
        <v>0.1</v>
      </c>
      <c r="D261" s="2976">
        <v>0.1</v>
      </c>
      <c r="E261" s="2976">
        <v>0.11799999999999999</v>
      </c>
      <c r="F261" s="2976">
        <v>0.108</v>
      </c>
      <c r="G261" s="2977">
        <v>0.107</v>
      </c>
    </row>
    <row r="262" spans="1:7">
      <c r="A262" s="2986" t="s">
        <v>305</v>
      </c>
      <c r="B262" s="2975" t="s">
        <v>2960</v>
      </c>
      <c r="C262" s="2976">
        <v>0.1</v>
      </c>
      <c r="D262" s="2976">
        <v>0.1</v>
      </c>
      <c r="E262" s="2976">
        <v>0.1</v>
      </c>
      <c r="F262" s="2976">
        <v>0.14099999999999999</v>
      </c>
      <c r="G262" s="2977">
        <v>0.1</v>
      </c>
    </row>
    <row r="263" spans="1:7">
      <c r="A263" s="2986" t="s">
        <v>305</v>
      </c>
      <c r="B263" s="2975" t="s">
        <v>2967</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2978</v>
      </c>
      <c r="C265" s="2987"/>
      <c r="D265" s="2987"/>
      <c r="E265" s="2987"/>
      <c r="F265" s="2976">
        <v>0.05</v>
      </c>
      <c r="G265" s="2993"/>
    </row>
    <row r="266" spans="1:7">
      <c r="A266" s="2986" t="s">
        <v>305</v>
      </c>
      <c r="B266" s="2975" t="s">
        <v>2982</v>
      </c>
      <c r="C266" s="2987"/>
      <c r="D266" s="2987"/>
      <c r="E266" s="2987"/>
      <c r="F266" s="2976">
        <v>0.05</v>
      </c>
      <c r="G266" s="2993"/>
    </row>
    <row r="267" spans="1:7">
      <c r="A267" s="2986" t="s">
        <v>305</v>
      </c>
      <c r="B267" s="2975" t="s">
        <v>2987</v>
      </c>
      <c r="C267" s="2987"/>
      <c r="D267" s="2987"/>
      <c r="E267" s="2987"/>
      <c r="F267" s="2976">
        <v>0.05</v>
      </c>
      <c r="G267" s="2993"/>
    </row>
    <row r="268" spans="1:7">
      <c r="A268" s="2986" t="s">
        <v>305</v>
      </c>
      <c r="B268" s="2975" t="s">
        <v>2992</v>
      </c>
      <c r="C268" s="2987"/>
      <c r="D268" s="2987"/>
      <c r="E268" s="2987"/>
      <c r="F268" s="2976">
        <v>0.05</v>
      </c>
      <c r="G268" s="2993"/>
    </row>
    <row r="269" spans="1:7">
      <c r="A269" s="2986" t="s">
        <v>305</v>
      </c>
      <c r="B269" s="2975" t="s">
        <v>2997</v>
      </c>
      <c r="C269" s="2987"/>
      <c r="D269" s="2987"/>
      <c r="E269" s="2987"/>
      <c r="F269" s="2976">
        <v>0.05</v>
      </c>
      <c r="G269" s="2993"/>
    </row>
    <row r="270" spans="1:7">
      <c r="A270" s="2986" t="s">
        <v>305</v>
      </c>
      <c r="B270" s="2975" t="s">
        <v>3002</v>
      </c>
      <c r="C270" s="2987"/>
      <c r="D270" s="2987"/>
      <c r="E270" s="2987"/>
      <c r="F270" s="2976">
        <v>0.05</v>
      </c>
      <c r="G270" s="2993"/>
    </row>
    <row r="271" spans="1:7">
      <c r="A271" s="2986" t="s">
        <v>305</v>
      </c>
      <c r="B271" s="2975" t="s">
        <v>3206</v>
      </c>
      <c r="C271" s="2987"/>
      <c r="D271" s="2987"/>
      <c r="E271" s="2987"/>
      <c r="F271" s="2976">
        <v>0.05</v>
      </c>
      <c r="G271" s="2993"/>
    </row>
    <row r="272" spans="1:7">
      <c r="A272" s="2986" t="s">
        <v>305</v>
      </c>
      <c r="B272" s="2975" t="s">
        <v>3207</v>
      </c>
      <c r="C272" s="2987"/>
      <c r="D272" s="2987"/>
      <c r="E272" s="2987"/>
      <c r="F272" s="2976">
        <v>0.05</v>
      </c>
      <c r="G272" s="2993"/>
    </row>
    <row r="273" spans="1:7">
      <c r="A273" s="2986" t="s">
        <v>305</v>
      </c>
      <c r="B273" s="2975" t="s">
        <v>3208</v>
      </c>
      <c r="C273" s="2987"/>
      <c r="D273" s="2987"/>
      <c r="E273" s="2987"/>
      <c r="F273" s="2976">
        <v>0.05</v>
      </c>
      <c r="G273" s="2993"/>
    </row>
    <row r="274" spans="1:7">
      <c r="A274" s="2986" t="s">
        <v>305</v>
      </c>
      <c r="B274" s="2975" t="s">
        <v>3209</v>
      </c>
      <c r="C274" s="2987"/>
      <c r="D274" s="2987"/>
      <c r="E274" s="2987"/>
      <c r="F274" s="2976">
        <v>0.05</v>
      </c>
      <c r="G274" s="2993"/>
    </row>
    <row r="275" spans="1:7">
      <c r="A275" s="2986" t="s">
        <v>305</v>
      </c>
      <c r="B275" s="2975" t="s">
        <v>3210</v>
      </c>
      <c r="C275" s="2987"/>
      <c r="D275" s="2987"/>
      <c r="E275" s="2987"/>
      <c r="F275" s="2976">
        <v>0.05</v>
      </c>
      <c r="G275" s="2993"/>
    </row>
    <row r="276" spans="1:7" ht="15" thickBot="1">
      <c r="A276" s="2989" t="s">
        <v>305</v>
      </c>
      <c r="B276" s="2979" t="s">
        <v>3211</v>
      </c>
      <c r="C276" s="2981"/>
      <c r="D276" s="2981"/>
      <c r="E276" s="2981"/>
      <c r="F276" s="2980">
        <v>0.05</v>
      </c>
      <c r="G276" s="2994"/>
    </row>
    <row r="277" spans="1:7">
      <c r="A277" s="2985" t="s">
        <v>306</v>
      </c>
      <c r="B277" s="2971" t="s">
        <v>2855</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2867</v>
      </c>
      <c r="C279" s="2976">
        <v>0.15</v>
      </c>
      <c r="D279" s="2976">
        <v>0.15</v>
      </c>
      <c r="E279" s="2976">
        <v>0.15</v>
      </c>
      <c r="F279" s="2976">
        <v>0.15</v>
      </c>
      <c r="G279" s="2977">
        <v>0.15</v>
      </c>
    </row>
    <row r="280" spans="1:7">
      <c r="A280" s="2986" t="s">
        <v>306</v>
      </c>
      <c r="B280" s="2975" t="s">
        <v>2871</v>
      </c>
      <c r="C280" s="2976">
        <v>0.15</v>
      </c>
      <c r="D280" s="2976">
        <v>0.15</v>
      </c>
      <c r="E280" s="2976">
        <v>0.15</v>
      </c>
      <c r="F280" s="2976">
        <v>0.15</v>
      </c>
      <c r="G280" s="2977">
        <v>0.15</v>
      </c>
    </row>
    <row r="281" spans="1:7">
      <c r="A281" s="2986" t="s">
        <v>306</v>
      </c>
      <c r="B281" s="2975" t="s">
        <v>2875</v>
      </c>
      <c r="C281" s="2976">
        <v>0.15</v>
      </c>
      <c r="D281" s="2976">
        <v>0.15</v>
      </c>
      <c r="E281" s="2976">
        <v>0.15</v>
      </c>
      <c r="F281" s="2976">
        <v>0.15</v>
      </c>
      <c r="G281" s="2977">
        <v>0.15</v>
      </c>
    </row>
    <row r="282" spans="1:7">
      <c r="A282" s="2986" t="s">
        <v>306</v>
      </c>
      <c r="B282" s="2975" t="s">
        <v>2879</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2894</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2899</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2909</v>
      </c>
      <c r="C293" s="2976">
        <v>0.15</v>
      </c>
      <c r="D293" s="2976">
        <v>0.15</v>
      </c>
      <c r="E293" s="2976">
        <v>0.15</v>
      </c>
      <c r="F293" s="2976">
        <v>0.14499999999999999</v>
      </c>
      <c r="G293" s="2977">
        <v>0.15</v>
      </c>
    </row>
    <row r="294" spans="1:7">
      <c r="A294" s="2986" t="s">
        <v>306</v>
      </c>
      <c r="B294" s="2975" t="s">
        <v>2911</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2928</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2941</v>
      </c>
      <c r="C302" s="2976">
        <v>0.15</v>
      </c>
      <c r="D302" s="2976">
        <v>0.15</v>
      </c>
      <c r="E302" s="2976">
        <v>0.15</v>
      </c>
      <c r="F302" s="2976">
        <v>0.14699999999999999</v>
      </c>
      <c r="G302" s="2977">
        <v>0.15</v>
      </c>
    </row>
    <row r="303" spans="1:7">
      <c r="A303" s="2986" t="s">
        <v>306</v>
      </c>
      <c r="B303" s="2975" t="s">
        <v>2948</v>
      </c>
      <c r="C303" s="2976">
        <v>0.15</v>
      </c>
      <c r="D303" s="2976">
        <v>0.15</v>
      </c>
      <c r="E303" s="2976">
        <v>0.15</v>
      </c>
      <c r="F303" s="2976">
        <v>0.14199999999999999</v>
      </c>
      <c r="G303" s="2977">
        <v>0.15</v>
      </c>
    </row>
    <row r="304" spans="1:7">
      <c r="A304" s="2986" t="s">
        <v>306</v>
      </c>
      <c r="B304" s="2975" t="s">
        <v>2955</v>
      </c>
      <c r="C304" s="2976">
        <v>0.15</v>
      </c>
      <c r="D304" s="2976">
        <v>0.15</v>
      </c>
      <c r="E304" s="2976">
        <v>0.15</v>
      </c>
      <c r="F304" s="2976">
        <v>0.14499999999999999</v>
      </c>
      <c r="G304" s="2977">
        <v>0.15</v>
      </c>
    </row>
    <row r="305" spans="1:7">
      <c r="A305" s="2986" t="s">
        <v>306</v>
      </c>
      <c r="B305" s="2975" t="s">
        <v>2961</v>
      </c>
      <c r="C305" s="2976">
        <v>0.15</v>
      </c>
      <c r="D305" s="2976">
        <v>0.15</v>
      </c>
      <c r="E305" s="2976">
        <v>0.15</v>
      </c>
      <c r="F305" s="2976">
        <v>0.111</v>
      </c>
      <c r="G305" s="2977">
        <v>0.15</v>
      </c>
    </row>
    <row r="306" spans="1:7">
      <c r="A306" s="2986" t="s">
        <v>306</v>
      </c>
      <c r="B306" s="2975" t="s">
        <v>2968</v>
      </c>
      <c r="C306" s="2976">
        <v>0.15</v>
      </c>
      <c r="D306" s="2976">
        <v>0.15</v>
      </c>
      <c r="E306" s="2976">
        <v>0.15</v>
      </c>
      <c r="F306" s="2976">
        <v>0.126</v>
      </c>
      <c r="G306" s="2977">
        <v>0.15</v>
      </c>
    </row>
    <row r="307" spans="1:7">
      <c r="A307" s="2986" t="s">
        <v>306</v>
      </c>
      <c r="B307" s="2975" t="s">
        <v>2973</v>
      </c>
      <c r="C307" s="2976">
        <v>0.15</v>
      </c>
      <c r="D307" s="2976">
        <v>0.15</v>
      </c>
      <c r="E307" s="2976">
        <v>0.15</v>
      </c>
      <c r="F307" s="2976">
        <v>0.12</v>
      </c>
      <c r="G307" s="2977">
        <v>0.15</v>
      </c>
    </row>
    <row r="308" spans="1:7">
      <c r="A308" s="2986" t="s">
        <v>306</v>
      </c>
      <c r="B308" s="2975" t="s">
        <v>2979</v>
      </c>
      <c r="C308" s="2976">
        <v>0.15</v>
      </c>
      <c r="D308" s="2976">
        <v>0.15</v>
      </c>
      <c r="E308" s="2976">
        <v>0.15</v>
      </c>
      <c r="F308" s="2976">
        <v>0.13</v>
      </c>
      <c r="G308" s="2977">
        <v>0.15</v>
      </c>
    </row>
    <row r="309" spans="1:7">
      <c r="A309" s="2986" t="s">
        <v>306</v>
      </c>
      <c r="B309" s="2975" t="s">
        <v>2983</v>
      </c>
      <c r="C309" s="2976">
        <v>0.15</v>
      </c>
      <c r="D309" s="2976">
        <v>0.15</v>
      </c>
      <c r="E309" s="2976">
        <v>0.15</v>
      </c>
      <c r="F309" s="2976">
        <v>0.14099999999999999</v>
      </c>
      <c r="G309" s="2977">
        <v>0.15</v>
      </c>
    </row>
    <row r="310" spans="1:7">
      <c r="A310" s="2986" t="s">
        <v>306</v>
      </c>
      <c r="B310" s="2975" t="s">
        <v>2988</v>
      </c>
      <c r="C310" s="2976">
        <v>0.15</v>
      </c>
      <c r="D310" s="2976">
        <v>0.15</v>
      </c>
      <c r="E310" s="2976">
        <v>0.15</v>
      </c>
      <c r="F310" s="2976">
        <v>0.15</v>
      </c>
      <c r="G310" s="2977">
        <v>0.15</v>
      </c>
    </row>
    <row r="311" spans="1:7">
      <c r="A311" s="2986" t="s">
        <v>306</v>
      </c>
      <c r="B311" s="2975" t="s">
        <v>2993</v>
      </c>
      <c r="C311" s="2976">
        <v>0.13200000000000001</v>
      </c>
      <c r="D311" s="2976">
        <v>0.13300000000000001</v>
      </c>
      <c r="E311" s="2976">
        <v>0.14499999999999999</v>
      </c>
      <c r="F311" s="2976">
        <v>0.14199999999999999</v>
      </c>
      <c r="G311" s="2977">
        <v>0.14000000000000001</v>
      </c>
    </row>
    <row r="312" spans="1:7">
      <c r="A312" s="2986" t="s">
        <v>306</v>
      </c>
      <c r="B312" s="2975" t="s">
        <v>2998</v>
      </c>
      <c r="C312" s="2976">
        <v>0.13800000000000001</v>
      </c>
      <c r="D312" s="2976">
        <v>0.14000000000000001</v>
      </c>
      <c r="E312" s="2976">
        <v>0.14599999999999999</v>
      </c>
      <c r="F312" s="2976">
        <v>0.14899999999999999</v>
      </c>
      <c r="G312" s="2977">
        <v>0.14199999999999999</v>
      </c>
    </row>
    <row r="313" spans="1:7">
      <c r="A313" s="2986" t="s">
        <v>306</v>
      </c>
      <c r="B313" s="2975" t="s">
        <v>3003</v>
      </c>
      <c r="C313" s="2976">
        <v>0.125</v>
      </c>
      <c r="D313" s="2976">
        <v>0.127</v>
      </c>
      <c r="E313" s="2976">
        <v>0.14399999999999999</v>
      </c>
      <c r="F313" s="2976">
        <v>0.115</v>
      </c>
      <c r="G313" s="2977">
        <v>0.13600000000000001</v>
      </c>
    </row>
    <row r="314" spans="1:7">
      <c r="A314" s="2986" t="s">
        <v>306</v>
      </c>
      <c r="B314" s="2975" t="s">
        <v>3212</v>
      </c>
      <c r="C314" s="2992"/>
      <c r="D314" s="2992"/>
      <c r="E314" s="2992"/>
      <c r="F314" s="2976">
        <v>0.05</v>
      </c>
      <c r="G314" s="2993"/>
    </row>
    <row r="315" spans="1:7">
      <c r="A315" s="2986" t="s">
        <v>306</v>
      </c>
      <c r="B315" s="2975" t="s">
        <v>3213</v>
      </c>
      <c r="C315" s="2992"/>
      <c r="D315" s="2992"/>
      <c r="E315" s="2992"/>
      <c r="F315" s="2976">
        <v>0.05</v>
      </c>
      <c r="G315" s="2993"/>
    </row>
    <row r="316" spans="1:7">
      <c r="A316" s="2986" t="s">
        <v>306</v>
      </c>
      <c r="B316" s="2975" t="s">
        <v>3214</v>
      </c>
      <c r="C316" s="2987"/>
      <c r="D316" s="2987"/>
      <c r="E316" s="2987"/>
      <c r="F316" s="2976">
        <v>0.05</v>
      </c>
      <c r="G316" s="2993"/>
    </row>
    <row r="317" spans="1:7">
      <c r="A317" s="2986" t="s">
        <v>306</v>
      </c>
      <c r="B317" s="2975" t="s">
        <v>3215</v>
      </c>
      <c r="C317" s="2987"/>
      <c r="D317" s="2987"/>
      <c r="E317" s="2987"/>
      <c r="F317" s="2976">
        <v>0.05</v>
      </c>
      <c r="G317" s="2993"/>
    </row>
    <row r="318" spans="1:7">
      <c r="A318" s="2986" t="s">
        <v>306</v>
      </c>
      <c r="B318" s="2975" t="s">
        <v>3216</v>
      </c>
      <c r="C318" s="2987"/>
      <c r="D318" s="2987"/>
      <c r="E318" s="2987"/>
      <c r="F318" s="2976">
        <v>0.05</v>
      </c>
      <c r="G318" s="2993"/>
    </row>
    <row r="319" spans="1:7">
      <c r="A319" s="2986" t="s">
        <v>306</v>
      </c>
      <c r="B319" s="2975" t="s">
        <v>3217</v>
      </c>
      <c r="C319" s="2987"/>
      <c r="D319" s="2987"/>
      <c r="E319" s="2987"/>
      <c r="F319" s="2976">
        <v>0.05</v>
      </c>
      <c r="G319" s="2993"/>
    </row>
    <row r="320" spans="1:7">
      <c r="A320" s="2986" t="s">
        <v>306</v>
      </c>
      <c r="B320" s="2975" t="s">
        <v>3218</v>
      </c>
      <c r="C320" s="2987"/>
      <c r="D320" s="2987"/>
      <c r="E320" s="2987"/>
      <c r="F320" s="2976">
        <v>0.05</v>
      </c>
      <c r="G320" s="2993"/>
    </row>
    <row r="321" spans="1:7">
      <c r="A321" s="2986" t="s">
        <v>306</v>
      </c>
      <c r="B321" s="2975" t="s">
        <v>3219</v>
      </c>
      <c r="C321" s="2987"/>
      <c r="D321" s="2987"/>
      <c r="E321" s="2987"/>
      <c r="F321" s="2976">
        <v>0.05</v>
      </c>
      <c r="G321" s="2993"/>
    </row>
    <row r="322" spans="1:7">
      <c r="A322" s="2986" t="s">
        <v>306</v>
      </c>
      <c r="B322" s="2975" t="s">
        <v>3220</v>
      </c>
      <c r="C322" s="2987"/>
      <c r="D322" s="2987"/>
      <c r="E322" s="2987"/>
      <c r="F322" s="2976">
        <v>0.05</v>
      </c>
      <c r="G322" s="2993"/>
    </row>
    <row r="323" spans="1:7">
      <c r="A323" s="2986" t="s">
        <v>306</v>
      </c>
      <c r="B323" s="2975" t="s">
        <v>3221</v>
      </c>
      <c r="C323" s="2987"/>
      <c r="D323" s="2987"/>
      <c r="E323" s="2987"/>
      <c r="F323" s="2976">
        <v>0.05</v>
      </c>
      <c r="G323" s="2993"/>
    </row>
    <row r="324" spans="1:7">
      <c r="A324" s="2986" t="s">
        <v>306</v>
      </c>
      <c r="B324" s="2975" t="s">
        <v>3222</v>
      </c>
      <c r="C324" s="2987"/>
      <c r="D324" s="2987"/>
      <c r="E324" s="2987"/>
      <c r="F324" s="2976">
        <v>0.05</v>
      </c>
      <c r="G324" s="2993"/>
    </row>
    <row r="325" spans="1:7">
      <c r="A325" s="2986" t="s">
        <v>306</v>
      </c>
      <c r="B325" s="2975" t="s">
        <v>3223</v>
      </c>
      <c r="C325" s="2987"/>
      <c r="D325" s="2987"/>
      <c r="E325" s="2987"/>
      <c r="F325" s="2976">
        <v>0.05</v>
      </c>
      <c r="G325" s="2993"/>
    </row>
    <row r="326" spans="1:7" ht="15" thickBot="1">
      <c r="A326" s="2989" t="s">
        <v>306</v>
      </c>
      <c r="B326" s="2979" t="s">
        <v>3224</v>
      </c>
      <c r="C326" s="2981"/>
      <c r="D326" s="2981"/>
      <c r="E326" s="2981"/>
      <c r="F326" s="2980">
        <v>0.05</v>
      </c>
      <c r="G326" s="2994"/>
    </row>
    <row r="327" spans="1:7">
      <c r="A327" s="2985" t="s">
        <v>307</v>
      </c>
      <c r="B327" s="2971" t="s">
        <v>2856</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2868</v>
      </c>
      <c r="C329" s="2976">
        <v>0.15</v>
      </c>
      <c r="D329" s="2976">
        <v>0.15</v>
      </c>
      <c r="E329" s="2976">
        <v>0.15</v>
      </c>
      <c r="F329" s="2976">
        <v>0.15</v>
      </c>
      <c r="G329" s="2977">
        <v>0.15</v>
      </c>
    </row>
    <row r="330" spans="1:7">
      <c r="A330" s="2986" t="s">
        <v>307</v>
      </c>
      <c r="B330" s="2975" t="s">
        <v>2872</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2880</v>
      </c>
      <c r="C332" s="2976">
        <v>0.15</v>
      </c>
      <c r="D332" s="2976">
        <v>0.15</v>
      </c>
      <c r="E332" s="2976">
        <v>0.15</v>
      </c>
      <c r="F332" s="2976">
        <v>0.15</v>
      </c>
      <c r="G332" s="2977">
        <v>0.15</v>
      </c>
    </row>
    <row r="333" spans="1:7">
      <c r="A333" s="2986" t="s">
        <v>307</v>
      </c>
      <c r="B333" s="2975" t="s">
        <v>2884</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2890</v>
      </c>
      <c r="C336" s="2976">
        <v>0.15</v>
      </c>
      <c r="D336" s="2976">
        <v>0.15</v>
      </c>
      <c r="E336" s="2976">
        <v>0.15</v>
      </c>
      <c r="F336" s="2976">
        <v>0.14199999999999999</v>
      </c>
      <c r="G336" s="2977">
        <v>0.15</v>
      </c>
    </row>
    <row r="337" spans="1:7">
      <c r="A337" s="2986" t="s">
        <v>307</v>
      </c>
      <c r="B337" s="2975" t="s">
        <v>2895</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2902</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2907</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2915</v>
      </c>
      <c r="C345" s="2976">
        <v>0.15</v>
      </c>
      <c r="D345" s="2976">
        <v>0.15</v>
      </c>
      <c r="E345" s="2976">
        <v>0.15</v>
      </c>
      <c r="F345" s="2976">
        <v>0.13800000000000001</v>
      </c>
      <c r="G345" s="2977">
        <v>0.15</v>
      </c>
    </row>
    <row r="346" spans="1:7">
      <c r="A346" s="2986" t="s">
        <v>307</v>
      </c>
      <c r="B346" s="2975" t="s">
        <v>2917</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2924</v>
      </c>
      <c r="C348" s="2976">
        <v>0.15</v>
      </c>
      <c r="D348" s="2976">
        <v>0.15</v>
      </c>
      <c r="E348" s="2976">
        <v>0.15</v>
      </c>
      <c r="F348" s="2976">
        <v>0.14399999999999999</v>
      </c>
      <c r="G348" s="2977">
        <v>0.15</v>
      </c>
    </row>
    <row r="349" spans="1:7">
      <c r="A349" s="2986" t="s">
        <v>307</v>
      </c>
      <c r="B349" s="2975" t="s">
        <v>2929</v>
      </c>
      <c r="C349" s="2976">
        <v>0.15</v>
      </c>
      <c r="D349" s="2976">
        <v>0.15</v>
      </c>
      <c r="E349" s="2976">
        <v>0.15</v>
      </c>
      <c r="F349" s="2976">
        <v>0.15</v>
      </c>
      <c r="G349" s="2977">
        <v>0.15</v>
      </c>
    </row>
    <row r="350" spans="1:7">
      <c r="A350" s="2986" t="s">
        <v>307</v>
      </c>
      <c r="B350" s="2975" t="s">
        <v>2932</v>
      </c>
      <c r="C350" s="2976">
        <v>0.15</v>
      </c>
      <c r="D350" s="2976">
        <v>0.15</v>
      </c>
      <c r="E350" s="2976">
        <v>0.15</v>
      </c>
      <c r="F350" s="2976">
        <v>0.14699999999999999</v>
      </c>
      <c r="G350" s="2977">
        <v>0.15</v>
      </c>
    </row>
    <row r="351" spans="1:7">
      <c r="A351" s="2986" t="s">
        <v>307</v>
      </c>
      <c r="B351" s="2975" t="s">
        <v>2937</v>
      </c>
      <c r="C351" s="2976">
        <v>0.15</v>
      </c>
      <c r="D351" s="2976">
        <v>0.15</v>
      </c>
      <c r="E351" s="2976">
        <v>0.15</v>
      </c>
      <c r="F351" s="2976">
        <v>0.13</v>
      </c>
      <c r="G351" s="2977">
        <v>0.15</v>
      </c>
    </row>
    <row r="352" spans="1:7">
      <c r="A352" s="2986" t="s">
        <v>307</v>
      </c>
      <c r="B352" s="2975" t="s">
        <v>2942</v>
      </c>
      <c r="C352" s="2976">
        <v>0.15</v>
      </c>
      <c r="D352" s="2976">
        <v>0.15</v>
      </c>
      <c r="E352" s="2976">
        <v>0.15</v>
      </c>
      <c r="F352" s="2976">
        <v>0.14599999999999999</v>
      </c>
      <c r="G352" s="2977">
        <v>0.15</v>
      </c>
    </row>
    <row r="353" spans="1:7">
      <c r="A353" s="2986" t="s">
        <v>307</v>
      </c>
      <c r="B353" s="2975" t="s">
        <v>2949</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2962</v>
      </c>
      <c r="C355" s="2976">
        <v>0.15</v>
      </c>
      <c r="D355" s="2976">
        <v>0.15</v>
      </c>
      <c r="E355" s="2976">
        <v>0.15</v>
      </c>
      <c r="F355" s="2976">
        <v>0.15</v>
      </c>
      <c r="G355" s="2977">
        <v>0.15</v>
      </c>
    </row>
    <row r="356" spans="1:7">
      <c r="A356" s="2986" t="s">
        <v>307</v>
      </c>
      <c r="B356" s="2975" t="s">
        <v>2969</v>
      </c>
      <c r="C356" s="2976">
        <v>0.15</v>
      </c>
      <c r="D356" s="2976">
        <v>0.15</v>
      </c>
      <c r="E356" s="2976">
        <v>0.15</v>
      </c>
      <c r="F356" s="2976">
        <v>0.15</v>
      </c>
      <c r="G356" s="2977">
        <v>0.15</v>
      </c>
    </row>
    <row r="357" spans="1:7" ht="15" thickBot="1">
      <c r="A357" s="2989" t="s">
        <v>307</v>
      </c>
      <c r="B357" s="2979" t="s">
        <v>2974</v>
      </c>
      <c r="C357" s="2980">
        <v>0.126</v>
      </c>
      <c r="D357" s="2980">
        <v>0.127</v>
      </c>
      <c r="E357" s="2980">
        <v>0.14299999999999999</v>
      </c>
      <c r="F357" s="2980">
        <v>0.125</v>
      </c>
      <c r="G357" s="2982">
        <v>0.129</v>
      </c>
    </row>
    <row r="358" spans="1:7">
      <c r="A358" s="2985" t="s">
        <v>2843</v>
      </c>
      <c r="B358" s="2971" t="s">
        <v>2857</v>
      </c>
      <c r="C358" s="2972">
        <v>0.15</v>
      </c>
      <c r="D358" s="2972">
        <v>0.15</v>
      </c>
      <c r="E358" s="2972">
        <v>0.15</v>
      </c>
      <c r="F358" s="2972">
        <v>0.15</v>
      </c>
      <c r="G358" s="2973">
        <v>0.15</v>
      </c>
    </row>
    <row r="359" spans="1:7">
      <c r="A359" s="2986" t="s">
        <v>2843</v>
      </c>
      <c r="B359" s="2975" t="s">
        <v>2863</v>
      </c>
      <c r="C359" s="2976">
        <v>0.1</v>
      </c>
      <c r="D359" s="2976">
        <v>0.1</v>
      </c>
      <c r="E359" s="2976">
        <v>0.1</v>
      </c>
      <c r="F359" s="2976">
        <v>0.1</v>
      </c>
      <c r="G359" s="2977">
        <v>0.1</v>
      </c>
    </row>
    <row r="360" spans="1:7">
      <c r="A360" s="2986" t="s">
        <v>2843</v>
      </c>
      <c r="B360" s="2975" t="s">
        <v>2869</v>
      </c>
      <c r="C360" s="2976">
        <v>0.15</v>
      </c>
      <c r="D360" s="2976">
        <v>0.15</v>
      </c>
      <c r="E360" s="2976">
        <v>0.15</v>
      </c>
      <c r="F360" s="2976">
        <v>0.14899999999999999</v>
      </c>
      <c r="G360" s="2977">
        <v>0.15</v>
      </c>
    </row>
    <row r="361" spans="1:7">
      <c r="A361" s="2986" t="s">
        <v>2843</v>
      </c>
      <c r="B361" s="2975" t="s">
        <v>153</v>
      </c>
      <c r="C361" s="2976">
        <v>0.15</v>
      </c>
      <c r="D361" s="2976">
        <v>0.15</v>
      </c>
      <c r="E361" s="2976">
        <v>0.15</v>
      </c>
      <c r="F361" s="2976">
        <v>0.115</v>
      </c>
      <c r="G361" s="2977">
        <v>0.15</v>
      </c>
    </row>
    <row r="362" spans="1:7">
      <c r="A362" s="2986" t="s">
        <v>2843</v>
      </c>
      <c r="B362" s="2975" t="s">
        <v>2876</v>
      </c>
      <c r="C362" s="2976">
        <v>0.15</v>
      </c>
      <c r="D362" s="2976">
        <v>0.15</v>
      </c>
      <c r="E362" s="2976">
        <v>0.15</v>
      </c>
      <c r="F362" s="2976">
        <v>0.106</v>
      </c>
      <c r="G362" s="2977">
        <v>0.15</v>
      </c>
    </row>
    <row r="363" spans="1:7">
      <c r="A363" s="2986" t="s">
        <v>2843</v>
      </c>
      <c r="B363" s="2975" t="s">
        <v>2881</v>
      </c>
      <c r="C363" s="2976">
        <v>0.15</v>
      </c>
      <c r="D363" s="2976">
        <v>0.15</v>
      </c>
      <c r="E363" s="2976">
        <v>0.15</v>
      </c>
      <c r="F363" s="2976">
        <v>0.14699999999999999</v>
      </c>
      <c r="G363" s="2977">
        <v>0.15</v>
      </c>
    </row>
    <row r="364" spans="1:7">
      <c r="A364" s="2986" t="s">
        <v>2843</v>
      </c>
      <c r="B364" s="2975" t="s">
        <v>2885</v>
      </c>
      <c r="C364" s="2976">
        <v>0.15</v>
      </c>
      <c r="D364" s="2976">
        <v>0.15</v>
      </c>
      <c r="E364" s="2976">
        <v>0.15</v>
      </c>
      <c r="F364" s="2976">
        <v>0.14799999999999999</v>
      </c>
      <c r="G364" s="2977">
        <v>0.15</v>
      </c>
    </row>
    <row r="365" spans="1:7">
      <c r="A365" s="2986" t="s">
        <v>2843</v>
      </c>
      <c r="B365" s="2975" t="s">
        <v>200</v>
      </c>
      <c r="C365" s="2976">
        <v>0.15</v>
      </c>
      <c r="D365" s="2976">
        <v>0.15</v>
      </c>
      <c r="E365" s="2976">
        <v>0.15</v>
      </c>
      <c r="F365" s="2976">
        <v>0.15</v>
      </c>
      <c r="G365" s="2977">
        <v>0.15</v>
      </c>
    </row>
    <row r="366" spans="1:7">
      <c r="A366" s="2986" t="s">
        <v>2843</v>
      </c>
      <c r="B366" s="2975" t="s">
        <v>2888</v>
      </c>
      <c r="C366" s="2976">
        <v>0.15</v>
      </c>
      <c r="D366" s="2976">
        <v>0.15</v>
      </c>
      <c r="E366" s="2976">
        <v>0.15</v>
      </c>
      <c r="F366" s="2976">
        <v>0.15</v>
      </c>
      <c r="G366" s="2977">
        <v>0.15</v>
      </c>
    </row>
    <row r="367" spans="1:7">
      <c r="A367" s="2986" t="s">
        <v>2843</v>
      </c>
      <c r="B367" s="2975" t="s">
        <v>2891</v>
      </c>
      <c r="C367" s="2976">
        <v>0.15</v>
      </c>
      <c r="D367" s="2976">
        <v>0.15</v>
      </c>
      <c r="E367" s="2976">
        <v>0.15</v>
      </c>
      <c r="F367" s="2976">
        <v>0.14699999999999999</v>
      </c>
      <c r="G367" s="2977">
        <v>0.15</v>
      </c>
    </row>
    <row r="368" spans="1:7">
      <c r="A368" s="2986" t="s">
        <v>2843</v>
      </c>
      <c r="B368" s="2975" t="s">
        <v>2896</v>
      </c>
      <c r="C368" s="2976">
        <v>0.15</v>
      </c>
      <c r="D368" s="2976">
        <v>0.15</v>
      </c>
      <c r="E368" s="2976">
        <v>0.15</v>
      </c>
      <c r="F368" s="2976">
        <v>0.13600000000000001</v>
      </c>
      <c r="G368" s="2977">
        <v>0.15</v>
      </c>
    </row>
    <row r="369" spans="1:7">
      <c r="A369" s="2986" t="s">
        <v>2843</v>
      </c>
      <c r="B369" s="2975" t="s">
        <v>214</v>
      </c>
      <c r="C369" s="2976">
        <v>0.15</v>
      </c>
      <c r="D369" s="2976">
        <v>0.15</v>
      </c>
      <c r="E369" s="2976">
        <v>0.15</v>
      </c>
      <c r="F369" s="2976">
        <v>0.14399999999999999</v>
      </c>
      <c r="G369" s="2977">
        <v>0.15</v>
      </c>
    </row>
    <row r="370" spans="1:7">
      <c r="A370" s="2986" t="s">
        <v>2843</v>
      </c>
      <c r="B370" s="2975" t="s">
        <v>221</v>
      </c>
      <c r="C370" s="2976">
        <v>0.15</v>
      </c>
      <c r="D370" s="2976">
        <v>0.15</v>
      </c>
      <c r="E370" s="2976">
        <v>0.15</v>
      </c>
      <c r="F370" s="2976">
        <v>0.14599999999999999</v>
      </c>
      <c r="G370" s="2977">
        <v>0.15</v>
      </c>
    </row>
    <row r="371" spans="1:7">
      <c r="A371" s="2986" t="s">
        <v>2843</v>
      </c>
      <c r="B371" s="2975" t="s">
        <v>229</v>
      </c>
      <c r="C371" s="2976">
        <v>0.15</v>
      </c>
      <c r="D371" s="2976">
        <v>0.15</v>
      </c>
      <c r="E371" s="2976">
        <v>0.15</v>
      </c>
      <c r="F371" s="2976">
        <v>0.12</v>
      </c>
      <c r="G371" s="2977">
        <v>0.15</v>
      </c>
    </row>
    <row r="372" spans="1:7">
      <c r="A372" s="2986" t="s">
        <v>2843</v>
      </c>
      <c r="B372" s="2975" t="s">
        <v>2904</v>
      </c>
      <c r="C372" s="2976">
        <v>0.15</v>
      </c>
      <c r="D372" s="2976">
        <v>0.15</v>
      </c>
      <c r="E372" s="2976">
        <v>0.15</v>
      </c>
      <c r="F372" s="2976">
        <v>0.14299999999999999</v>
      </c>
      <c r="G372" s="2977">
        <v>0.15</v>
      </c>
    </row>
    <row r="373" spans="1:7">
      <c r="A373" s="2986" t="s">
        <v>2843</v>
      </c>
      <c r="B373" s="2975" t="s">
        <v>258</v>
      </c>
      <c r="C373" s="2976">
        <v>0.15</v>
      </c>
      <c r="D373" s="2976">
        <v>0.15</v>
      </c>
      <c r="E373" s="2976">
        <v>0.15</v>
      </c>
      <c r="F373" s="2976">
        <v>0.14599999999999999</v>
      </c>
      <c r="G373" s="2977">
        <v>0.15</v>
      </c>
    </row>
    <row r="374" spans="1:7">
      <c r="A374" s="2986" t="s">
        <v>2843</v>
      </c>
      <c r="B374" s="2975" t="s">
        <v>266</v>
      </c>
      <c r="C374" s="2976">
        <v>0.15</v>
      </c>
      <c r="D374" s="2976">
        <v>0.15</v>
      </c>
      <c r="E374" s="2976">
        <v>0.15</v>
      </c>
      <c r="F374" s="2976">
        <v>0.14399999999999999</v>
      </c>
      <c r="G374" s="2977">
        <v>0.15</v>
      </c>
    </row>
    <row r="375" spans="1:7">
      <c r="A375" s="2986" t="s">
        <v>2843</v>
      </c>
      <c r="B375" s="2975" t="s">
        <v>2912</v>
      </c>
      <c r="C375" s="2976">
        <v>0.15</v>
      </c>
      <c r="D375" s="2976">
        <v>0.15</v>
      </c>
      <c r="E375" s="2976">
        <v>0.15</v>
      </c>
      <c r="F375" s="2976">
        <v>0.13</v>
      </c>
      <c r="G375" s="2977">
        <v>0.15</v>
      </c>
    </row>
    <row r="376" spans="1:7">
      <c r="A376" s="2986" t="s">
        <v>2843</v>
      </c>
      <c r="B376" s="2975" t="s">
        <v>277</v>
      </c>
      <c r="C376" s="2976">
        <v>0.15</v>
      </c>
      <c r="D376" s="2976">
        <v>0.15</v>
      </c>
      <c r="E376" s="2976">
        <v>0.15</v>
      </c>
      <c r="F376" s="2976">
        <v>0.14199999999999999</v>
      </c>
      <c r="G376" s="2977">
        <v>0.15</v>
      </c>
    </row>
    <row r="377" spans="1:7" ht="15" thickBot="1">
      <c r="A377" s="2989" t="s">
        <v>2843</v>
      </c>
      <c r="B377" s="2979" t="s">
        <v>2918</v>
      </c>
      <c r="C377" s="2980">
        <v>0.15</v>
      </c>
      <c r="D377" s="2980">
        <v>0.15</v>
      </c>
      <c r="E377" s="2980">
        <v>0.15</v>
      </c>
      <c r="F377" s="2980">
        <v>0.14000000000000001</v>
      </c>
      <c r="G377" s="2982">
        <v>0.15</v>
      </c>
    </row>
    <row r="378" spans="1:7">
      <c r="A378" s="2985" t="s">
        <v>2844</v>
      </c>
      <c r="B378" s="2971" t="s">
        <v>2858</v>
      </c>
      <c r="C378" s="2972">
        <v>0.15</v>
      </c>
      <c r="D378" s="2972">
        <v>0.15</v>
      </c>
      <c r="E378" s="2972">
        <v>0.15</v>
      </c>
      <c r="F378" s="2972">
        <v>0.107</v>
      </c>
      <c r="G378" s="2973">
        <v>0.15</v>
      </c>
    </row>
    <row r="379" spans="1:7">
      <c r="A379" s="2986" t="s">
        <v>2844</v>
      </c>
      <c r="B379" s="2975" t="s">
        <v>2864</v>
      </c>
      <c r="C379" s="2976">
        <v>0.15</v>
      </c>
      <c r="D379" s="2976">
        <v>0.15</v>
      </c>
      <c r="E379" s="2976">
        <v>0.15</v>
      </c>
      <c r="F379" s="2976">
        <v>0.115</v>
      </c>
      <c r="G379" s="2977">
        <v>0.14899999999999999</v>
      </c>
    </row>
    <row r="380" spans="1:7">
      <c r="A380" s="2986" t="s">
        <v>2844</v>
      </c>
      <c r="B380" s="2975" t="s">
        <v>2870</v>
      </c>
      <c r="C380" s="2976">
        <v>0.15</v>
      </c>
      <c r="D380" s="2976">
        <v>0.15</v>
      </c>
      <c r="E380" s="2976">
        <v>0.15</v>
      </c>
      <c r="F380" s="2976">
        <v>0.1</v>
      </c>
      <c r="G380" s="2977">
        <v>0.14799999999999999</v>
      </c>
    </row>
    <row r="381" spans="1:7">
      <c r="A381" s="2986" t="s">
        <v>2844</v>
      </c>
      <c r="B381" s="2975" t="s">
        <v>2873</v>
      </c>
      <c r="C381" s="2976">
        <v>0.15</v>
      </c>
      <c r="D381" s="2976">
        <v>0.15</v>
      </c>
      <c r="E381" s="2976">
        <v>0.15</v>
      </c>
      <c r="F381" s="2976">
        <v>0.126</v>
      </c>
      <c r="G381" s="2977">
        <v>0.15</v>
      </c>
    </row>
    <row r="382" spans="1:7">
      <c r="A382" s="2986" t="s">
        <v>2844</v>
      </c>
      <c r="B382" s="2975" t="s">
        <v>2877</v>
      </c>
      <c r="C382" s="2976">
        <v>0.15</v>
      </c>
      <c r="D382" s="2976">
        <v>0.15</v>
      </c>
      <c r="E382" s="2976">
        <v>0.15</v>
      </c>
      <c r="F382" s="2976">
        <v>0.15</v>
      </c>
      <c r="G382" s="2977">
        <v>0.15</v>
      </c>
    </row>
    <row r="383" spans="1:7">
      <c r="A383" s="2986" t="s">
        <v>2844</v>
      </c>
      <c r="B383" s="2975" t="s">
        <v>2882</v>
      </c>
      <c r="C383" s="2976">
        <v>0.15</v>
      </c>
      <c r="D383" s="2976">
        <v>0.15</v>
      </c>
      <c r="E383" s="2976">
        <v>0.15</v>
      </c>
      <c r="F383" s="2976">
        <v>0.14699999999999999</v>
      </c>
      <c r="G383" s="2977">
        <v>0.15</v>
      </c>
    </row>
    <row r="384" spans="1:7" ht="15" thickBot="1">
      <c r="A384" s="2996" t="s">
        <v>2844</v>
      </c>
      <c r="B384" s="2997" t="s">
        <v>2886</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34" t="s">
        <v>3225</v>
      </c>
      <c r="B1" s="3534"/>
      <c r="C1" s="3534"/>
      <c r="D1" s="3534"/>
      <c r="E1" s="3534"/>
      <c r="F1" s="3535"/>
    </row>
    <row r="2" spans="1:6">
      <c r="A2" s="3000" t="s">
        <v>3226</v>
      </c>
    </row>
    <row r="3" spans="1:6">
      <c r="A3" s="3000" t="s">
        <v>3227</v>
      </c>
      <c r="F3" s="3001" t="s">
        <v>3228</v>
      </c>
    </row>
    <row r="4" spans="1:6">
      <c r="A4" s="3002" t="s">
        <v>672</v>
      </c>
      <c r="B4" s="3002" t="s">
        <v>673</v>
      </c>
      <c r="C4" s="3002" t="s">
        <v>21</v>
      </c>
      <c r="D4" s="3002" t="s">
        <v>674</v>
      </c>
      <c r="E4" s="3002" t="s">
        <v>3</v>
      </c>
      <c r="F4" s="3002" t="s">
        <v>3229</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4A7B2-53AF-455A-888C-14712EA803E9}">
  <dimension ref="A1:AA101"/>
  <sheetViews>
    <sheetView workbookViewId="0">
      <pane xSplit="2" ySplit="1" topLeftCell="N14" activePane="bottomRight" state="frozen"/>
      <selection pane="topRight" activeCell="C1" sqref="C1"/>
      <selection pane="bottomLeft" activeCell="A2" sqref="A2"/>
      <selection pane="bottomRight" activeCell="Q31" sqref="Q31"/>
    </sheetView>
  </sheetViews>
  <sheetFormatPr defaultRowHeight="14.4"/>
  <cols>
    <col min="1" max="1" width="22.21875" style="1155" customWidth="1"/>
    <col min="2" max="2" width="22.21875" style="1155" hidden="1" customWidth="1"/>
    <col min="3" max="8" width="22.21875" style="1155" customWidth="1"/>
    <col min="9" max="9" width="22.21875" style="1155" hidden="1" customWidth="1"/>
    <col min="10" max="15" width="22.21875" style="1155" customWidth="1"/>
    <col min="16" max="16" width="22.21875" style="1155" hidden="1" customWidth="1"/>
    <col min="17" max="28" width="22.21875" style="1155" customWidth="1"/>
    <col min="29" max="16384" width="8.88671875" style="1155"/>
  </cols>
  <sheetData>
    <row r="1" spans="1:27">
      <c r="A1" s="1155" t="s">
        <v>3447</v>
      </c>
      <c r="B1" s="1155" t="s">
        <v>3448</v>
      </c>
      <c r="C1" s="1155" t="s">
        <v>3449</v>
      </c>
      <c r="D1" s="1155" t="s">
        <v>3450</v>
      </c>
      <c r="E1" s="1155" t="s">
        <v>3451</v>
      </c>
      <c r="F1" s="1155" t="s">
        <v>3452</v>
      </c>
      <c r="G1" s="1155" t="s">
        <v>3453</v>
      </c>
      <c r="H1" s="1155" t="s">
        <v>3454</v>
      </c>
      <c r="I1" s="1155" t="s">
        <v>3455</v>
      </c>
      <c r="J1" s="1155" t="s">
        <v>3456</v>
      </c>
      <c r="K1" s="1155" t="s">
        <v>3457</v>
      </c>
      <c r="L1" s="1155" t="s">
        <v>3458</v>
      </c>
      <c r="M1" s="1155" t="s">
        <v>3459</v>
      </c>
      <c r="N1" s="1155" t="s">
        <v>3460</v>
      </c>
      <c r="O1" s="1155" t="s">
        <v>3461</v>
      </c>
      <c r="P1" s="1155" t="s">
        <v>3462</v>
      </c>
      <c r="Q1" s="1155" t="s">
        <v>3463</v>
      </c>
      <c r="R1" s="1155" t="s">
        <v>3464</v>
      </c>
      <c r="S1" s="1155" t="s">
        <v>3465</v>
      </c>
      <c r="T1" s="1155" t="s">
        <v>3466</v>
      </c>
      <c r="U1" s="1155" t="s">
        <v>3467</v>
      </c>
      <c r="V1" s="1155" t="s">
        <v>3468</v>
      </c>
      <c r="W1" s="1155" t="s">
        <v>3469</v>
      </c>
      <c r="X1" s="1155" t="s">
        <v>3470</v>
      </c>
      <c r="Y1" s="1155" t="s">
        <v>3471</v>
      </c>
      <c r="Z1" s="1155" t="s">
        <v>3472</v>
      </c>
      <c r="AA1" s="1155" t="s">
        <v>3473</v>
      </c>
    </row>
    <row r="2" spans="1:27">
      <c r="A2" s="1155" t="s">
        <v>3727</v>
      </c>
      <c r="B2" s="1155" t="s">
        <v>3409</v>
      </c>
      <c r="C2" s="1155" t="s">
        <v>3728</v>
      </c>
      <c r="D2" s="1155">
        <v>28592.77</v>
      </c>
      <c r="E2" s="1155">
        <v>60044.82</v>
      </c>
      <c r="F2" s="1155" t="s">
        <v>3476</v>
      </c>
      <c r="G2" s="1155" t="s">
        <v>3729</v>
      </c>
      <c r="H2" s="1155" t="s">
        <v>3730</v>
      </c>
      <c r="I2" s="1155" t="s">
        <v>3479</v>
      </c>
      <c r="J2" s="1155" t="s">
        <v>3485</v>
      </c>
      <c r="K2" s="1155" t="s">
        <v>3731</v>
      </c>
      <c r="L2" s="1155" t="s">
        <v>3482</v>
      </c>
      <c r="M2" s="1155" t="s">
        <v>3732</v>
      </c>
      <c r="N2" s="1155">
        <v>331500</v>
      </c>
      <c r="O2" s="1155">
        <v>66300</v>
      </c>
      <c r="P2" s="1155" t="s">
        <v>3733</v>
      </c>
      <c r="Q2" s="1155">
        <v>336400</v>
      </c>
      <c r="R2" s="1155">
        <v>117652.12</v>
      </c>
      <c r="S2" s="1155">
        <v>7843.47</v>
      </c>
      <c r="T2" s="1155">
        <v>56025</v>
      </c>
      <c r="U2" s="1155" t="s">
        <v>3485</v>
      </c>
      <c r="V2" s="1155">
        <v>1.48</v>
      </c>
      <c r="W2" s="1155" t="s">
        <v>3485</v>
      </c>
      <c r="X2" s="1155" t="s">
        <v>3485</v>
      </c>
      <c r="Y2" s="1155" t="s">
        <v>3485</v>
      </c>
      <c r="Z2" s="1155" t="s">
        <v>3485</v>
      </c>
      <c r="AA2" s="1155" t="s">
        <v>3531</v>
      </c>
    </row>
    <row r="3" spans="1:27">
      <c r="A3" s="1155" t="s">
        <v>3734</v>
      </c>
      <c r="B3" s="1155" t="s">
        <v>3409</v>
      </c>
      <c r="C3" s="1155" t="s">
        <v>3735</v>
      </c>
      <c r="D3" s="1155">
        <v>24009.55</v>
      </c>
      <c r="E3" s="1155">
        <v>50420.06</v>
      </c>
      <c r="F3" s="1155" t="s">
        <v>3476</v>
      </c>
      <c r="G3" s="1155" t="s">
        <v>3729</v>
      </c>
      <c r="H3" s="1155" t="s">
        <v>3730</v>
      </c>
      <c r="I3" s="1155" t="s">
        <v>3479</v>
      </c>
      <c r="J3" s="1155" t="s">
        <v>3485</v>
      </c>
      <c r="K3" s="1155" t="s">
        <v>3731</v>
      </c>
      <c r="L3" s="1155" t="s">
        <v>3482</v>
      </c>
      <c r="M3" s="1155" t="s">
        <v>3736</v>
      </c>
      <c r="N3" s="1155">
        <v>273000</v>
      </c>
      <c r="O3" s="1155">
        <v>54600</v>
      </c>
      <c r="P3" s="1155" t="s">
        <v>3733</v>
      </c>
      <c r="Q3" s="1155">
        <v>277800</v>
      </c>
      <c r="R3" s="1155">
        <v>115703.96</v>
      </c>
      <c r="S3" s="1155">
        <v>7713.6</v>
      </c>
      <c r="T3" s="1155">
        <v>55097</v>
      </c>
      <c r="U3" s="1155" t="s">
        <v>3485</v>
      </c>
      <c r="V3" s="1155">
        <v>1.76</v>
      </c>
      <c r="W3" s="1155" t="s">
        <v>3485</v>
      </c>
      <c r="X3" s="1155" t="s">
        <v>3485</v>
      </c>
      <c r="Y3" s="1155" t="s">
        <v>3485</v>
      </c>
      <c r="Z3" s="1155" t="s">
        <v>3485</v>
      </c>
      <c r="AA3" s="1155" t="s">
        <v>3531</v>
      </c>
    </row>
    <row r="4" spans="1:27">
      <c r="A4" s="1155" t="s">
        <v>3737</v>
      </c>
      <c r="B4" s="1155" t="s">
        <v>3409</v>
      </c>
      <c r="C4" s="1155" t="s">
        <v>3738</v>
      </c>
      <c r="D4" s="1155">
        <v>40629.230000000003</v>
      </c>
      <c r="E4" s="1155">
        <v>57958.6</v>
      </c>
      <c r="F4" s="1155" t="s">
        <v>3476</v>
      </c>
      <c r="G4" s="1155" t="s">
        <v>3477</v>
      </c>
      <c r="H4" s="1155" t="s">
        <v>3739</v>
      </c>
      <c r="I4" s="1155" t="s">
        <v>3479</v>
      </c>
      <c r="J4" s="1155" t="s">
        <v>3485</v>
      </c>
      <c r="K4" s="1155" t="s">
        <v>3740</v>
      </c>
      <c r="L4" s="1155" t="s">
        <v>3482</v>
      </c>
      <c r="M4" s="1155" t="s">
        <v>3741</v>
      </c>
      <c r="N4" s="1155">
        <v>406000</v>
      </c>
      <c r="O4" s="1155">
        <v>81200</v>
      </c>
      <c r="P4" s="1155" t="s">
        <v>3742</v>
      </c>
      <c r="Q4" s="1155">
        <v>454500</v>
      </c>
      <c r="R4" s="1155">
        <v>111865.27</v>
      </c>
      <c r="S4" s="1155">
        <v>7457.68</v>
      </c>
      <c r="T4" s="1155">
        <v>78418</v>
      </c>
      <c r="U4" s="1155" t="s">
        <v>3485</v>
      </c>
      <c r="V4" s="1155">
        <v>11.95</v>
      </c>
      <c r="W4" s="1155" t="s">
        <v>3485</v>
      </c>
      <c r="X4" s="1155" t="s">
        <v>3485</v>
      </c>
      <c r="Y4" s="1155" t="s">
        <v>3485</v>
      </c>
      <c r="Z4" s="1155" t="s">
        <v>3485</v>
      </c>
      <c r="AA4" s="1155" t="s">
        <v>3486</v>
      </c>
    </row>
    <row r="5" spans="1:27">
      <c r="A5" s="1155" t="s">
        <v>3743</v>
      </c>
      <c r="B5" s="1155" t="s">
        <v>3409</v>
      </c>
      <c r="C5" s="1155" t="s">
        <v>3744</v>
      </c>
      <c r="D5" s="1155">
        <v>148302.26</v>
      </c>
      <c r="E5" s="1155">
        <v>282735.7</v>
      </c>
      <c r="F5" s="1155" t="s">
        <v>3497</v>
      </c>
      <c r="G5" s="1155" t="s">
        <v>3745</v>
      </c>
      <c r="H5" s="1155" t="s">
        <v>3746</v>
      </c>
      <c r="I5" s="1155" t="s">
        <v>3479</v>
      </c>
      <c r="J5" s="1155" t="s">
        <v>3485</v>
      </c>
      <c r="K5" s="1155" t="s">
        <v>3747</v>
      </c>
      <c r="L5" s="1155" t="s">
        <v>3482</v>
      </c>
      <c r="M5" s="1155" t="s">
        <v>3748</v>
      </c>
      <c r="N5" s="1155">
        <v>1260000</v>
      </c>
      <c r="O5" s="1155">
        <v>252000</v>
      </c>
      <c r="P5" s="1155" t="s">
        <v>3749</v>
      </c>
      <c r="Q5" s="1155">
        <v>1260000</v>
      </c>
      <c r="R5" s="1155">
        <v>84961.62</v>
      </c>
      <c r="S5" s="1155">
        <v>5664.11</v>
      </c>
      <c r="T5" s="1155">
        <v>44565</v>
      </c>
      <c r="U5" s="1155" t="s">
        <v>3485</v>
      </c>
      <c r="V5" s="1155">
        <v>0</v>
      </c>
      <c r="W5" s="1155" t="s">
        <v>3485</v>
      </c>
      <c r="X5" s="1155" t="s">
        <v>3485</v>
      </c>
      <c r="Y5" s="1155" t="s">
        <v>3485</v>
      </c>
      <c r="Z5" s="1155" t="s">
        <v>3485</v>
      </c>
      <c r="AA5" s="1155" t="s">
        <v>3486</v>
      </c>
    </row>
    <row r="6" spans="1:27">
      <c r="A6" s="1155" t="s">
        <v>3750</v>
      </c>
      <c r="B6" s="1155" t="s">
        <v>3409</v>
      </c>
      <c r="C6" s="1155" t="s">
        <v>3751</v>
      </c>
      <c r="D6" s="1155">
        <v>39737.800000000003</v>
      </c>
      <c r="E6" s="1155">
        <v>73299.740000000005</v>
      </c>
      <c r="F6" s="1155" t="s">
        <v>3476</v>
      </c>
      <c r="G6" s="1155" t="s">
        <v>3477</v>
      </c>
      <c r="H6" s="1155" t="s">
        <v>3752</v>
      </c>
      <c r="I6" s="1155" t="s">
        <v>3479</v>
      </c>
      <c r="J6" s="1155" t="s">
        <v>3485</v>
      </c>
      <c r="K6" s="1155" t="s">
        <v>3753</v>
      </c>
      <c r="L6" s="1155" t="s">
        <v>3482</v>
      </c>
      <c r="M6" s="1155" t="s">
        <v>3754</v>
      </c>
      <c r="N6" s="1155">
        <v>586400</v>
      </c>
      <c r="O6" s="1155">
        <v>117300</v>
      </c>
      <c r="P6" s="1155" t="s">
        <v>3755</v>
      </c>
      <c r="Q6" s="1155">
        <v>750200</v>
      </c>
      <c r="R6" s="1155">
        <v>188787.5</v>
      </c>
      <c r="S6" s="1155">
        <v>12585.83</v>
      </c>
      <c r="T6" s="1155">
        <v>102347</v>
      </c>
      <c r="U6" s="1155" t="s">
        <v>3485</v>
      </c>
      <c r="V6" s="1155">
        <v>27.93</v>
      </c>
      <c r="W6" s="1155" t="s">
        <v>3485</v>
      </c>
      <c r="X6" s="1155" t="s">
        <v>3485</v>
      </c>
      <c r="Y6" s="1155" t="s">
        <v>3485</v>
      </c>
      <c r="Z6" s="1155" t="s">
        <v>3485</v>
      </c>
      <c r="AA6" s="1155" t="s">
        <v>3531</v>
      </c>
    </row>
    <row r="7" spans="1:27">
      <c r="A7" s="1155" t="s">
        <v>3756</v>
      </c>
      <c r="B7" s="1155" t="s">
        <v>3409</v>
      </c>
      <c r="C7" s="1155" t="s">
        <v>3757</v>
      </c>
      <c r="D7" s="1155">
        <v>68996.22</v>
      </c>
      <c r="E7" s="1155">
        <v>172935.57</v>
      </c>
      <c r="F7" s="1155" t="s">
        <v>3497</v>
      </c>
      <c r="G7" s="1155" t="s">
        <v>3513</v>
      </c>
      <c r="H7" s="1155" t="s">
        <v>3758</v>
      </c>
      <c r="I7" s="1155" t="s">
        <v>3479</v>
      </c>
      <c r="J7" s="1155" t="s">
        <v>3485</v>
      </c>
      <c r="K7" s="1155" t="s">
        <v>3759</v>
      </c>
      <c r="L7" s="1155" t="s">
        <v>3482</v>
      </c>
      <c r="M7" s="1155" t="s">
        <v>3760</v>
      </c>
      <c r="N7" s="1155">
        <v>790000</v>
      </c>
      <c r="O7" s="1155">
        <v>158000</v>
      </c>
      <c r="P7" s="1155" t="s">
        <v>3761</v>
      </c>
      <c r="Q7" s="1155">
        <v>872950</v>
      </c>
      <c r="R7" s="1155">
        <v>126521.42</v>
      </c>
      <c r="S7" s="1155">
        <v>8434.76</v>
      </c>
      <c r="T7" s="1155">
        <v>50478</v>
      </c>
      <c r="U7" s="1155" t="s">
        <v>3485</v>
      </c>
      <c r="V7" s="1155">
        <v>10.5</v>
      </c>
      <c r="W7" s="1155" t="s">
        <v>3485</v>
      </c>
      <c r="X7" s="1155" t="s">
        <v>3485</v>
      </c>
      <c r="Y7" s="1155" t="s">
        <v>3485</v>
      </c>
      <c r="Z7" s="1155" t="s">
        <v>3485</v>
      </c>
      <c r="AA7" s="1155" t="s">
        <v>3531</v>
      </c>
    </row>
    <row r="8" spans="1:27">
      <c r="A8" s="1155" t="s">
        <v>3762</v>
      </c>
      <c r="B8" s="1155" t="s">
        <v>3409</v>
      </c>
      <c r="C8" s="1155" t="s">
        <v>3763</v>
      </c>
      <c r="D8" s="1155">
        <v>27422.21</v>
      </c>
      <c r="E8" s="1155">
        <v>69104</v>
      </c>
      <c r="F8" s="1155" t="s">
        <v>3476</v>
      </c>
      <c r="G8" s="1155" t="s">
        <v>3477</v>
      </c>
      <c r="H8" s="1155" t="s">
        <v>3764</v>
      </c>
      <c r="I8" s="1155" t="s">
        <v>3479</v>
      </c>
      <c r="J8" s="1155" t="s">
        <v>3485</v>
      </c>
      <c r="K8" s="1155" t="s">
        <v>3765</v>
      </c>
      <c r="L8" s="1155" t="s">
        <v>3482</v>
      </c>
      <c r="M8" s="1155" t="s">
        <v>3754</v>
      </c>
      <c r="N8" s="1155">
        <v>400800</v>
      </c>
      <c r="O8" s="1155">
        <v>80200</v>
      </c>
      <c r="P8" s="1155" t="s">
        <v>3766</v>
      </c>
      <c r="Q8" s="1155">
        <v>400800</v>
      </c>
      <c r="R8" s="1155">
        <v>146158.89000000001</v>
      </c>
      <c r="S8" s="1155">
        <v>9743.93</v>
      </c>
      <c r="T8" s="1155">
        <v>58000</v>
      </c>
      <c r="U8" s="1155" t="s">
        <v>3485</v>
      </c>
      <c r="V8" s="1155">
        <v>0</v>
      </c>
      <c r="W8" s="1155" t="s">
        <v>3485</v>
      </c>
      <c r="X8" s="1155" t="s">
        <v>3485</v>
      </c>
      <c r="Y8" s="1155" t="s">
        <v>3485</v>
      </c>
      <c r="Z8" s="1155" t="s">
        <v>3485</v>
      </c>
      <c r="AA8" s="1155" t="s">
        <v>3501</v>
      </c>
    </row>
    <row r="9" spans="1:27" s="3171" customFormat="1">
      <c r="A9" s="3171" t="s">
        <v>3767</v>
      </c>
      <c r="B9" s="3171" t="s">
        <v>3409</v>
      </c>
      <c r="C9" s="3171" t="s">
        <v>3768</v>
      </c>
      <c r="D9" s="3171">
        <v>42734.16</v>
      </c>
      <c r="E9" s="3171">
        <v>102561.97</v>
      </c>
      <c r="F9" s="3171" t="s">
        <v>3476</v>
      </c>
      <c r="G9" s="3171" t="s">
        <v>3477</v>
      </c>
      <c r="H9" s="3171" t="s">
        <v>3478</v>
      </c>
      <c r="I9" s="3171" t="s">
        <v>3479</v>
      </c>
      <c r="J9" s="3171" t="s">
        <v>3485</v>
      </c>
      <c r="K9" s="3171" t="s">
        <v>3769</v>
      </c>
      <c r="L9" s="3171" t="s">
        <v>3482</v>
      </c>
      <c r="M9" s="3171" t="s">
        <v>3770</v>
      </c>
      <c r="N9" s="3171">
        <v>780000</v>
      </c>
      <c r="O9" s="3171">
        <v>156000</v>
      </c>
      <c r="P9" s="3171" t="s">
        <v>3771</v>
      </c>
      <c r="Q9" s="3171">
        <v>915200</v>
      </c>
      <c r="R9" s="3171">
        <v>214161.22</v>
      </c>
      <c r="S9" s="3171">
        <v>14277.41</v>
      </c>
      <c r="T9" s="3171">
        <v>89234</v>
      </c>
      <c r="U9" s="3171" t="s">
        <v>3485</v>
      </c>
      <c r="V9" s="3171">
        <v>17.329999999999998</v>
      </c>
      <c r="W9" s="3171" t="s">
        <v>3485</v>
      </c>
      <c r="X9" s="3171" t="s">
        <v>3485</v>
      </c>
      <c r="Y9" s="3171" t="s">
        <v>3485</v>
      </c>
      <c r="Z9" s="3171" t="s">
        <v>3485</v>
      </c>
      <c r="AA9" s="3171" t="s">
        <v>3531</v>
      </c>
    </row>
    <row r="10" spans="1:27" s="3171" customFormat="1">
      <c r="A10" s="3172" t="s">
        <v>3964</v>
      </c>
      <c r="B10" s="3171" t="s">
        <v>3409</v>
      </c>
      <c r="C10" s="3171" t="s">
        <v>3772</v>
      </c>
      <c r="D10" s="3171">
        <v>39303.71</v>
      </c>
      <c r="E10" s="3171">
        <v>95114.98</v>
      </c>
      <c r="F10" s="3171" t="s">
        <v>3476</v>
      </c>
      <c r="G10" s="3171" t="s">
        <v>3477</v>
      </c>
      <c r="H10" s="3171" t="s">
        <v>3773</v>
      </c>
      <c r="I10" s="3171" t="s">
        <v>3479</v>
      </c>
      <c r="J10" s="3171" t="s">
        <v>3485</v>
      </c>
      <c r="K10" s="3171" t="s">
        <v>3769</v>
      </c>
      <c r="L10" s="3171" t="s">
        <v>3482</v>
      </c>
      <c r="M10" s="3171" t="s">
        <v>3774</v>
      </c>
      <c r="N10" s="3171">
        <v>723000</v>
      </c>
      <c r="O10" s="3171">
        <v>144600</v>
      </c>
      <c r="P10" s="3171" t="s">
        <v>3771</v>
      </c>
      <c r="Q10" s="3171">
        <v>904040</v>
      </c>
      <c r="R10" s="3171">
        <v>230013.9</v>
      </c>
      <c r="S10" s="3171">
        <v>15334.26</v>
      </c>
      <c r="T10" s="3171">
        <v>95047</v>
      </c>
      <c r="U10" s="3171" t="s">
        <v>3485</v>
      </c>
      <c r="V10" s="3171">
        <v>25.04</v>
      </c>
      <c r="W10" s="3171" t="s">
        <v>3485</v>
      </c>
      <c r="X10" s="3171" t="s">
        <v>3485</v>
      </c>
      <c r="Y10" s="3171" t="s">
        <v>3485</v>
      </c>
      <c r="Z10" s="3171" t="s">
        <v>3485</v>
      </c>
      <c r="AA10" s="3171" t="s">
        <v>3531</v>
      </c>
    </row>
    <row r="11" spans="1:27">
      <c r="A11" s="1155" t="s">
        <v>3775</v>
      </c>
      <c r="B11" s="1155" t="s">
        <v>3409</v>
      </c>
      <c r="C11" s="1155" t="s">
        <v>3776</v>
      </c>
      <c r="D11" s="1155">
        <v>63672.49</v>
      </c>
      <c r="E11" s="1155">
        <v>178283</v>
      </c>
      <c r="F11" s="1155" t="s">
        <v>3476</v>
      </c>
      <c r="G11" s="1155" t="s">
        <v>3477</v>
      </c>
      <c r="H11" s="1155" t="s">
        <v>3777</v>
      </c>
      <c r="I11" s="1155" t="s">
        <v>3479</v>
      </c>
      <c r="J11" s="1155" t="s">
        <v>3485</v>
      </c>
      <c r="K11" s="1155" t="s">
        <v>3778</v>
      </c>
      <c r="L11" s="1155" t="s">
        <v>3482</v>
      </c>
      <c r="M11" s="1155" t="s">
        <v>3754</v>
      </c>
      <c r="N11" s="1155">
        <v>1105400</v>
      </c>
      <c r="O11" s="1155">
        <v>221100</v>
      </c>
      <c r="P11" s="1155" t="s">
        <v>3779</v>
      </c>
      <c r="Q11" s="1155">
        <v>1105400</v>
      </c>
      <c r="R11" s="1155">
        <v>173607.16</v>
      </c>
      <c r="S11" s="1155">
        <v>11573.81</v>
      </c>
      <c r="T11" s="1155">
        <v>62003</v>
      </c>
      <c r="U11" s="1155" t="s">
        <v>3485</v>
      </c>
      <c r="V11" s="1155">
        <v>0</v>
      </c>
      <c r="W11" s="1155" t="s">
        <v>3485</v>
      </c>
      <c r="X11" s="1155" t="s">
        <v>3485</v>
      </c>
      <c r="Y11" s="1155" t="s">
        <v>3485</v>
      </c>
      <c r="Z11" s="1155" t="s">
        <v>3485</v>
      </c>
      <c r="AA11" s="1155" t="s">
        <v>3501</v>
      </c>
    </row>
    <row r="12" spans="1:27">
      <c r="A12" s="1155" t="s">
        <v>3780</v>
      </c>
      <c r="B12" s="1155" t="s">
        <v>3409</v>
      </c>
      <c r="C12" s="1155" t="s">
        <v>3781</v>
      </c>
      <c r="D12" s="1155">
        <v>30414.3</v>
      </c>
      <c r="E12" s="1155">
        <v>60828</v>
      </c>
      <c r="F12" s="1155" t="s">
        <v>3476</v>
      </c>
      <c r="G12" s="1155" t="s">
        <v>3477</v>
      </c>
      <c r="H12" s="1155" t="s">
        <v>3782</v>
      </c>
      <c r="I12" s="1155" t="s">
        <v>3479</v>
      </c>
      <c r="J12" s="1155" t="s">
        <v>3485</v>
      </c>
      <c r="K12" s="1155" t="s">
        <v>3783</v>
      </c>
      <c r="L12" s="1155" t="s">
        <v>3482</v>
      </c>
      <c r="M12" s="1155" t="s">
        <v>3784</v>
      </c>
      <c r="N12" s="1155">
        <v>243200</v>
      </c>
      <c r="O12" s="1155">
        <v>48700</v>
      </c>
      <c r="P12" s="1155" t="s">
        <v>3785</v>
      </c>
      <c r="Q12" s="1155">
        <v>243450</v>
      </c>
      <c r="R12" s="1155">
        <v>80044.58</v>
      </c>
      <c r="S12" s="1155">
        <v>5336.31</v>
      </c>
      <c r="T12" s="1155">
        <v>40023</v>
      </c>
      <c r="U12" s="1155" t="s">
        <v>3485</v>
      </c>
      <c r="V12" s="1155">
        <v>0.1</v>
      </c>
      <c r="W12" s="1155">
        <v>279680</v>
      </c>
      <c r="X12" s="1155" t="s">
        <v>3485</v>
      </c>
      <c r="Y12" s="1155" t="s">
        <v>3485</v>
      </c>
      <c r="Z12" s="1155">
        <v>45979</v>
      </c>
      <c r="AA12" s="1155" t="s">
        <v>3531</v>
      </c>
    </row>
    <row r="13" spans="1:27">
      <c r="A13" s="1155" t="s">
        <v>3786</v>
      </c>
      <c r="B13" s="1155" t="s">
        <v>3409</v>
      </c>
      <c r="C13" s="1155" t="s">
        <v>3787</v>
      </c>
      <c r="D13" s="1155">
        <v>146982.88</v>
      </c>
      <c r="E13" s="1155">
        <v>394008.7</v>
      </c>
      <c r="F13" s="1155" t="s">
        <v>3497</v>
      </c>
      <c r="G13" s="1155" t="s">
        <v>3788</v>
      </c>
      <c r="H13" s="1155" t="s">
        <v>3789</v>
      </c>
      <c r="I13" s="1155" t="s">
        <v>3479</v>
      </c>
      <c r="J13" s="1155" t="s">
        <v>3485</v>
      </c>
      <c r="K13" s="1155" t="s">
        <v>3783</v>
      </c>
      <c r="L13" s="1155" t="s">
        <v>3482</v>
      </c>
      <c r="M13" s="1155" t="s">
        <v>3601</v>
      </c>
      <c r="N13" s="1155">
        <v>1530000</v>
      </c>
      <c r="O13" s="1155">
        <v>306000</v>
      </c>
      <c r="P13" s="1155" t="s">
        <v>3785</v>
      </c>
      <c r="Q13" s="1155">
        <v>1533200</v>
      </c>
      <c r="R13" s="1155">
        <v>104311.47</v>
      </c>
      <c r="S13" s="1155">
        <v>6954.1</v>
      </c>
      <c r="T13" s="1155">
        <v>38913</v>
      </c>
      <c r="U13" s="1155" t="s">
        <v>3485</v>
      </c>
      <c r="V13" s="1155">
        <v>0.21</v>
      </c>
      <c r="W13" s="1155">
        <v>1759500</v>
      </c>
      <c r="X13" s="1155" t="s">
        <v>3485</v>
      </c>
      <c r="Y13" s="1155" t="s">
        <v>3485</v>
      </c>
      <c r="Z13" s="1155">
        <v>44656</v>
      </c>
      <c r="AA13" s="1155" t="s">
        <v>3501</v>
      </c>
    </row>
    <row r="14" spans="1:27">
      <c r="A14" s="1155" t="s">
        <v>3790</v>
      </c>
      <c r="B14" s="1155" t="s">
        <v>3409</v>
      </c>
      <c r="C14" s="1155" t="s">
        <v>3791</v>
      </c>
      <c r="D14" s="1155">
        <v>34678.620000000003</v>
      </c>
      <c r="E14" s="1155">
        <v>72825.100000000006</v>
      </c>
      <c r="F14" s="1155" t="s">
        <v>3476</v>
      </c>
      <c r="G14" s="1155" t="s">
        <v>3477</v>
      </c>
      <c r="H14" s="1155" t="s">
        <v>3730</v>
      </c>
      <c r="I14" s="1155" t="s">
        <v>3479</v>
      </c>
      <c r="J14" s="1155" t="s">
        <v>3485</v>
      </c>
      <c r="K14" s="1155" t="s">
        <v>3792</v>
      </c>
      <c r="L14" s="1155" t="s">
        <v>3482</v>
      </c>
      <c r="M14" s="1155" t="s">
        <v>3793</v>
      </c>
      <c r="N14" s="1155">
        <v>450000</v>
      </c>
      <c r="O14" s="1155">
        <v>90000</v>
      </c>
      <c r="P14" s="1155" t="s">
        <v>3794</v>
      </c>
      <c r="Q14" s="1155">
        <v>517500</v>
      </c>
      <c r="R14" s="1155">
        <v>149227.39000000001</v>
      </c>
      <c r="S14" s="1155">
        <v>9948.49</v>
      </c>
      <c r="T14" s="1155">
        <v>71061</v>
      </c>
      <c r="U14" s="1155" t="s">
        <v>3485</v>
      </c>
      <c r="V14" s="1155">
        <v>15</v>
      </c>
      <c r="W14" s="1155">
        <v>517500</v>
      </c>
      <c r="X14" s="1155">
        <v>105000</v>
      </c>
      <c r="Y14" s="1155">
        <v>105000</v>
      </c>
      <c r="Z14" s="1155">
        <v>71061</v>
      </c>
      <c r="AA14" s="1155" t="s">
        <v>3531</v>
      </c>
    </row>
    <row r="15" spans="1:27">
      <c r="A15" s="1155" t="s">
        <v>3795</v>
      </c>
      <c r="B15" s="1155" t="s">
        <v>3409</v>
      </c>
      <c r="C15" s="1155" t="s">
        <v>3796</v>
      </c>
      <c r="D15" s="1155">
        <v>42463.44</v>
      </c>
      <c r="E15" s="1155">
        <v>89173.23</v>
      </c>
      <c r="F15" s="1155" t="s">
        <v>3476</v>
      </c>
      <c r="G15" s="1155" t="s">
        <v>3477</v>
      </c>
      <c r="H15" s="1155" t="s">
        <v>3730</v>
      </c>
      <c r="I15" s="1155" t="s">
        <v>3479</v>
      </c>
      <c r="J15" s="1155" t="s">
        <v>3485</v>
      </c>
      <c r="K15" s="1155" t="s">
        <v>3792</v>
      </c>
      <c r="L15" s="1155" t="s">
        <v>3482</v>
      </c>
      <c r="M15" s="1155" t="s">
        <v>3797</v>
      </c>
      <c r="N15" s="1155">
        <v>555000</v>
      </c>
      <c r="O15" s="1155">
        <v>111000</v>
      </c>
      <c r="P15" s="1155" t="s">
        <v>3794</v>
      </c>
      <c r="Q15" s="1155">
        <v>638250</v>
      </c>
      <c r="R15" s="1155">
        <v>150305.76999999999</v>
      </c>
      <c r="S15" s="1155">
        <v>10020.379999999999</v>
      </c>
      <c r="T15" s="1155">
        <v>71574</v>
      </c>
      <c r="U15" s="1155" t="s">
        <v>3485</v>
      </c>
      <c r="V15" s="1155">
        <v>15</v>
      </c>
      <c r="W15" s="1155">
        <v>638250</v>
      </c>
      <c r="X15" s="1155" t="s">
        <v>3485</v>
      </c>
      <c r="Y15" s="1155" t="s">
        <v>3485</v>
      </c>
      <c r="Z15" s="1155">
        <v>71574</v>
      </c>
      <c r="AA15" s="1155" t="s">
        <v>3531</v>
      </c>
    </row>
    <row r="16" spans="1:27">
      <c r="A16" s="1155" t="s">
        <v>3798</v>
      </c>
      <c r="B16" s="1155" t="s">
        <v>3409</v>
      </c>
      <c r="C16" s="1155" t="s">
        <v>3799</v>
      </c>
      <c r="D16" s="1155">
        <v>33303.120000000003</v>
      </c>
      <c r="E16" s="1155">
        <v>72100</v>
      </c>
      <c r="F16" s="1155" t="s">
        <v>3476</v>
      </c>
      <c r="G16" s="1155" t="s">
        <v>3477</v>
      </c>
      <c r="H16" s="1155" t="s">
        <v>3800</v>
      </c>
      <c r="I16" s="1155" t="s">
        <v>3479</v>
      </c>
      <c r="J16" s="1155" t="s">
        <v>3485</v>
      </c>
      <c r="K16" s="1155" t="s">
        <v>3801</v>
      </c>
      <c r="L16" s="1155" t="s">
        <v>3482</v>
      </c>
      <c r="M16" s="1155" t="s">
        <v>3802</v>
      </c>
      <c r="N16" s="1155">
        <v>401300</v>
      </c>
      <c r="O16" s="1155">
        <v>80300</v>
      </c>
      <c r="P16" s="1155" t="s">
        <v>3803</v>
      </c>
      <c r="Q16" s="1155">
        <v>401300</v>
      </c>
      <c r="R16" s="1155">
        <v>120499.22</v>
      </c>
      <c r="S16" s="1155">
        <v>8033.28</v>
      </c>
      <c r="T16" s="1155">
        <v>55659</v>
      </c>
      <c r="U16" s="1155" t="s">
        <v>3485</v>
      </c>
      <c r="V16" s="1155">
        <v>0</v>
      </c>
      <c r="W16" s="1155">
        <v>461495</v>
      </c>
      <c r="X16" s="1155" t="s">
        <v>3485</v>
      </c>
      <c r="Y16" s="1155" t="s">
        <v>3485</v>
      </c>
      <c r="Z16" s="1155">
        <v>64008</v>
      </c>
      <c r="AA16" s="1155" t="s">
        <v>3486</v>
      </c>
    </row>
    <row r="17" spans="1:27">
      <c r="A17" s="1155" t="s">
        <v>3804</v>
      </c>
      <c r="B17" s="1155" t="s">
        <v>3409</v>
      </c>
      <c r="C17" s="1155" t="s">
        <v>3805</v>
      </c>
      <c r="D17" s="1155">
        <v>21607.59</v>
      </c>
      <c r="E17" s="1155">
        <v>54019</v>
      </c>
      <c r="F17" s="1155" t="s">
        <v>3476</v>
      </c>
      <c r="G17" s="1155" t="s">
        <v>3477</v>
      </c>
      <c r="H17" s="1155" t="s">
        <v>3544</v>
      </c>
      <c r="I17" s="1155" t="s">
        <v>3479</v>
      </c>
      <c r="J17" s="1155" t="s">
        <v>3485</v>
      </c>
      <c r="K17" s="1155" t="s">
        <v>3806</v>
      </c>
      <c r="L17" s="1155" t="s">
        <v>3482</v>
      </c>
      <c r="M17" s="1155" t="s">
        <v>3807</v>
      </c>
      <c r="N17" s="1155">
        <v>270000</v>
      </c>
      <c r="O17" s="1155">
        <v>54000</v>
      </c>
      <c r="P17" s="1155" t="s">
        <v>3808</v>
      </c>
      <c r="Q17" s="1155">
        <v>270000</v>
      </c>
      <c r="R17" s="1155">
        <v>124956.09</v>
      </c>
      <c r="S17" s="1155">
        <v>8330.41</v>
      </c>
      <c r="T17" s="1155">
        <v>49982</v>
      </c>
      <c r="U17" s="1155" t="s">
        <v>3485</v>
      </c>
      <c r="V17" s="1155">
        <v>0</v>
      </c>
      <c r="W17" s="1155">
        <v>351000</v>
      </c>
      <c r="X17" s="1155">
        <v>92000</v>
      </c>
      <c r="Y17" s="1155">
        <v>92000</v>
      </c>
      <c r="Z17" s="1155">
        <v>64977</v>
      </c>
      <c r="AA17" s="1155" t="s">
        <v>3531</v>
      </c>
    </row>
    <row r="18" spans="1:27">
      <c r="A18" s="1155" t="s">
        <v>3809</v>
      </c>
      <c r="B18" s="1155" t="s">
        <v>3409</v>
      </c>
      <c r="C18" s="1155" t="s">
        <v>3810</v>
      </c>
      <c r="D18" s="1155">
        <v>85584.57</v>
      </c>
      <c r="E18" s="1155">
        <v>162894.59</v>
      </c>
      <c r="F18" s="1155" t="s">
        <v>3497</v>
      </c>
      <c r="G18" s="1155" t="s">
        <v>3811</v>
      </c>
      <c r="H18" s="1155" t="s">
        <v>3812</v>
      </c>
      <c r="I18" s="1155" t="s">
        <v>3479</v>
      </c>
      <c r="J18" s="1155" t="s">
        <v>3485</v>
      </c>
      <c r="K18" s="1155" t="s">
        <v>3813</v>
      </c>
      <c r="L18" s="1155" t="s">
        <v>3482</v>
      </c>
      <c r="M18" s="1155" t="s">
        <v>3814</v>
      </c>
      <c r="N18" s="1155">
        <v>860000</v>
      </c>
      <c r="O18" s="1155">
        <v>172000</v>
      </c>
      <c r="P18" s="1155" t="s">
        <v>3815</v>
      </c>
      <c r="Q18" s="1155">
        <v>890100</v>
      </c>
      <c r="R18" s="1155">
        <v>104002.39</v>
      </c>
      <c r="S18" s="1155">
        <v>6933.49</v>
      </c>
      <c r="T18" s="1155">
        <v>54643</v>
      </c>
      <c r="U18" s="1155" t="s">
        <v>3485</v>
      </c>
      <c r="V18" s="1155">
        <v>3.5</v>
      </c>
      <c r="W18" s="1155" t="s">
        <v>3485</v>
      </c>
      <c r="X18" s="1155">
        <v>90000</v>
      </c>
      <c r="Y18" s="1155">
        <v>90000</v>
      </c>
      <c r="Z18" s="1155" t="s">
        <v>3485</v>
      </c>
      <c r="AA18" s="1155" t="s">
        <v>3494</v>
      </c>
    </row>
    <row r="19" spans="1:27">
      <c r="A19" s="1155" t="s">
        <v>3816</v>
      </c>
      <c r="B19" s="1155" t="s">
        <v>3409</v>
      </c>
      <c r="C19" s="1155" t="s">
        <v>3817</v>
      </c>
      <c r="D19" s="1155">
        <v>3027.63</v>
      </c>
      <c r="E19" s="1155">
        <v>5550</v>
      </c>
      <c r="F19" s="1155" t="s">
        <v>3476</v>
      </c>
      <c r="G19" s="1155" t="s">
        <v>3548</v>
      </c>
      <c r="H19" s="1155" t="s">
        <v>3818</v>
      </c>
      <c r="I19" s="1155" t="s">
        <v>3479</v>
      </c>
      <c r="J19" s="1155" t="s">
        <v>3485</v>
      </c>
      <c r="K19" s="1155" t="s">
        <v>3819</v>
      </c>
      <c r="L19" s="1155" t="s">
        <v>3482</v>
      </c>
      <c r="M19" s="1155" t="s">
        <v>3820</v>
      </c>
      <c r="N19" s="1155">
        <v>27000</v>
      </c>
      <c r="O19" s="1155">
        <v>5400</v>
      </c>
      <c r="P19" s="1155" t="s">
        <v>3821</v>
      </c>
      <c r="Q19" s="1155">
        <v>33750</v>
      </c>
      <c r="R19" s="1155">
        <v>111473.33</v>
      </c>
      <c r="S19" s="1155">
        <v>7431.56</v>
      </c>
      <c r="T19" s="1155">
        <v>60811</v>
      </c>
      <c r="U19" s="1155" t="s">
        <v>3485</v>
      </c>
      <c r="V19" s="1155">
        <v>25</v>
      </c>
      <c r="W19" s="1155">
        <v>33750</v>
      </c>
      <c r="X19" s="1155">
        <v>139000</v>
      </c>
      <c r="Y19" s="1155">
        <v>139000</v>
      </c>
      <c r="Z19" s="1155">
        <v>60811</v>
      </c>
      <c r="AA19" s="1155" t="s">
        <v>3822</v>
      </c>
    </row>
    <row r="20" spans="1:27">
      <c r="A20" s="1155" t="s">
        <v>3823</v>
      </c>
      <c r="B20" s="1155" t="s">
        <v>3409</v>
      </c>
      <c r="C20" s="1155" t="s">
        <v>3824</v>
      </c>
      <c r="D20" s="1155">
        <v>47661.919999999998</v>
      </c>
      <c r="E20" s="1155">
        <v>125853.39</v>
      </c>
      <c r="F20" s="1155" t="s">
        <v>3497</v>
      </c>
      <c r="G20" s="1155" t="s">
        <v>3513</v>
      </c>
      <c r="H20" s="1155" t="s">
        <v>3825</v>
      </c>
      <c r="I20" s="1155" t="s">
        <v>3479</v>
      </c>
      <c r="J20" s="1155" t="s">
        <v>3485</v>
      </c>
      <c r="K20" s="1155" t="s">
        <v>3826</v>
      </c>
      <c r="L20" s="1155" t="s">
        <v>3482</v>
      </c>
      <c r="M20" s="1155" t="s">
        <v>3732</v>
      </c>
      <c r="N20" s="1155">
        <v>638000</v>
      </c>
      <c r="O20" s="1155">
        <v>128000</v>
      </c>
      <c r="P20" s="1155" t="s">
        <v>3827</v>
      </c>
      <c r="Q20" s="1155">
        <v>638000</v>
      </c>
      <c r="R20" s="1155">
        <v>133859.48000000001</v>
      </c>
      <c r="S20" s="1155">
        <v>8923.9699999999993</v>
      </c>
      <c r="T20" s="1155">
        <v>50694</v>
      </c>
      <c r="U20" s="1155" t="s">
        <v>3485</v>
      </c>
      <c r="V20" s="1155">
        <v>0</v>
      </c>
      <c r="W20" s="1155">
        <v>733700</v>
      </c>
      <c r="X20" s="1155">
        <v>81000</v>
      </c>
      <c r="Y20" s="1155">
        <v>81000</v>
      </c>
      <c r="Z20" s="1155">
        <v>58298</v>
      </c>
      <c r="AA20" s="1155" t="s">
        <v>3486</v>
      </c>
    </row>
    <row r="21" spans="1:27">
      <c r="A21" s="1155" t="s">
        <v>3828</v>
      </c>
      <c r="B21" s="1155" t="s">
        <v>3409</v>
      </c>
      <c r="C21" s="1155" t="s">
        <v>3829</v>
      </c>
      <c r="D21" s="1155">
        <v>156998.51</v>
      </c>
      <c r="E21" s="1155">
        <v>282977.15000000002</v>
      </c>
      <c r="F21" s="1155" t="s">
        <v>3497</v>
      </c>
      <c r="G21" s="1155" t="s">
        <v>3830</v>
      </c>
      <c r="H21" s="1155" t="s">
        <v>3831</v>
      </c>
      <c r="I21" s="1155" t="s">
        <v>3479</v>
      </c>
      <c r="J21" s="1155" t="s">
        <v>3485</v>
      </c>
      <c r="K21" s="1155" t="s">
        <v>3832</v>
      </c>
      <c r="L21" s="1155" t="s">
        <v>3482</v>
      </c>
      <c r="M21" s="1155" t="s">
        <v>3833</v>
      </c>
      <c r="N21" s="1155">
        <v>1120000</v>
      </c>
      <c r="O21" s="1155">
        <v>224000</v>
      </c>
      <c r="P21" s="1155" t="s">
        <v>3834</v>
      </c>
      <c r="Q21" s="1155">
        <v>1120000</v>
      </c>
      <c r="R21" s="1155">
        <v>71338.259999999995</v>
      </c>
      <c r="S21" s="1155">
        <v>4755.88</v>
      </c>
      <c r="T21" s="1155">
        <v>39579</v>
      </c>
      <c r="U21" s="1155" t="s">
        <v>3485</v>
      </c>
      <c r="V21" s="1155">
        <v>0</v>
      </c>
      <c r="W21" s="1155">
        <v>1288000</v>
      </c>
      <c r="X21" s="1155">
        <v>125000</v>
      </c>
      <c r="Y21" s="1155">
        <v>125000</v>
      </c>
      <c r="Z21" s="1155">
        <v>45516</v>
      </c>
      <c r="AA21" s="1155" t="s">
        <v>3501</v>
      </c>
    </row>
    <row r="22" spans="1:27">
      <c r="A22" s="1155" t="s">
        <v>3835</v>
      </c>
      <c r="B22" s="1155" t="s">
        <v>3409</v>
      </c>
      <c r="C22" s="1155" t="s">
        <v>3836</v>
      </c>
      <c r="D22" s="1155">
        <v>89529.8</v>
      </c>
      <c r="E22" s="1155">
        <v>222463.3</v>
      </c>
      <c r="F22" s="1155" t="s">
        <v>3497</v>
      </c>
      <c r="G22" s="1155" t="s">
        <v>3837</v>
      </c>
      <c r="H22" s="1155" t="s">
        <v>3838</v>
      </c>
      <c r="I22" s="1155" t="s">
        <v>3479</v>
      </c>
      <c r="J22" s="1155" t="s">
        <v>3485</v>
      </c>
      <c r="K22" s="1155" t="s">
        <v>3839</v>
      </c>
      <c r="L22" s="1155" t="s">
        <v>3482</v>
      </c>
      <c r="M22" s="1155" t="s">
        <v>3840</v>
      </c>
      <c r="N22" s="1155">
        <v>780000</v>
      </c>
      <c r="O22" s="1155">
        <v>156000</v>
      </c>
      <c r="P22" s="1155" t="s">
        <v>3841</v>
      </c>
      <c r="Q22" s="1155">
        <v>791700</v>
      </c>
      <c r="R22" s="1155">
        <v>88428.66</v>
      </c>
      <c r="S22" s="1155">
        <v>5895.24</v>
      </c>
      <c r="T22" s="1155">
        <v>35588</v>
      </c>
      <c r="U22" s="1155" t="s">
        <v>3485</v>
      </c>
      <c r="V22" s="1155">
        <v>1.5</v>
      </c>
      <c r="W22" s="1155">
        <v>936000</v>
      </c>
      <c r="X22" s="1155">
        <v>93000</v>
      </c>
      <c r="Y22" s="1155">
        <v>93000</v>
      </c>
      <c r="Z22" s="1155">
        <v>42074</v>
      </c>
      <c r="AA22" s="1155" t="s">
        <v>3494</v>
      </c>
    </row>
    <row r="23" spans="1:27">
      <c r="A23" s="1155" t="s">
        <v>3842</v>
      </c>
      <c r="B23" s="1155" t="s">
        <v>3409</v>
      </c>
      <c r="C23" s="1155" t="s">
        <v>3843</v>
      </c>
      <c r="D23" s="1155">
        <v>25268.17</v>
      </c>
      <c r="E23" s="1155">
        <v>45482.71</v>
      </c>
      <c r="F23" s="1155" t="s">
        <v>3476</v>
      </c>
      <c r="G23" s="1155" t="s">
        <v>3844</v>
      </c>
      <c r="H23" s="1155" t="s">
        <v>3560</v>
      </c>
      <c r="I23" s="1155" t="s">
        <v>3479</v>
      </c>
      <c r="J23" s="1155" t="s">
        <v>3485</v>
      </c>
      <c r="K23" s="1155" t="s">
        <v>3845</v>
      </c>
      <c r="L23" s="1155" t="s">
        <v>3482</v>
      </c>
      <c r="M23" s="1155" t="s">
        <v>3846</v>
      </c>
      <c r="N23" s="1155">
        <v>251000</v>
      </c>
      <c r="O23" s="1155">
        <v>51000</v>
      </c>
      <c r="P23" s="1155" t="s">
        <v>3847</v>
      </c>
      <c r="Q23" s="1155">
        <v>288650</v>
      </c>
      <c r="R23" s="1155">
        <v>114234.62</v>
      </c>
      <c r="S23" s="1155">
        <v>7615.64</v>
      </c>
      <c r="T23" s="1155">
        <v>63464</v>
      </c>
      <c r="U23" s="1155" t="s">
        <v>3485</v>
      </c>
      <c r="V23" s="1155">
        <v>15</v>
      </c>
      <c r="W23" s="1155">
        <v>288650</v>
      </c>
      <c r="X23" s="1155">
        <v>85000</v>
      </c>
      <c r="Y23" s="1155">
        <v>85000</v>
      </c>
      <c r="Z23" s="1155">
        <v>63464</v>
      </c>
      <c r="AA23" s="1155" t="s">
        <v>3522</v>
      </c>
    </row>
    <row r="24" spans="1:27">
      <c r="A24" s="1155" t="s">
        <v>3848</v>
      </c>
      <c r="B24" s="1155" t="s">
        <v>3409</v>
      </c>
      <c r="C24" s="1155" t="s">
        <v>3849</v>
      </c>
      <c r="D24" s="1155">
        <v>25777.5</v>
      </c>
      <c r="E24" s="1155">
        <v>56711</v>
      </c>
      <c r="F24" s="1155" t="s">
        <v>3476</v>
      </c>
      <c r="G24" s="1155" t="s">
        <v>3477</v>
      </c>
      <c r="H24" s="1155" t="s">
        <v>3563</v>
      </c>
      <c r="I24" s="1155" t="s">
        <v>3479</v>
      </c>
      <c r="J24" s="1155" t="s">
        <v>3485</v>
      </c>
      <c r="K24" s="1155" t="s">
        <v>3850</v>
      </c>
      <c r="L24" s="1155" t="s">
        <v>3482</v>
      </c>
      <c r="M24" s="1155" t="s">
        <v>3736</v>
      </c>
      <c r="N24" s="1155">
        <v>223000</v>
      </c>
      <c r="O24" s="1155">
        <v>45000</v>
      </c>
      <c r="P24" s="1155" t="s">
        <v>3851</v>
      </c>
      <c r="Q24" s="1155">
        <v>223000</v>
      </c>
      <c r="R24" s="1155">
        <v>86509.55</v>
      </c>
      <c r="S24" s="1155">
        <v>5767.3</v>
      </c>
      <c r="T24" s="1155">
        <v>39322</v>
      </c>
      <c r="U24" s="1155" t="s">
        <v>3485</v>
      </c>
      <c r="V24" s="1155">
        <v>0</v>
      </c>
      <c r="W24" s="1155">
        <v>256450</v>
      </c>
      <c r="X24" s="1155">
        <v>72000</v>
      </c>
      <c r="Y24" s="1155">
        <v>72000</v>
      </c>
      <c r="Z24" s="1155">
        <v>45221</v>
      </c>
      <c r="AA24" s="1155" t="s">
        <v>3494</v>
      </c>
    </row>
    <row r="25" spans="1:27">
      <c r="A25" s="1155" t="s">
        <v>3852</v>
      </c>
      <c r="B25" s="1155" t="s">
        <v>3409</v>
      </c>
      <c r="C25" s="1155" t="s">
        <v>3853</v>
      </c>
      <c r="D25" s="1155">
        <v>24857.29</v>
      </c>
      <c r="E25" s="1155">
        <v>69600</v>
      </c>
      <c r="F25" s="1155" t="s">
        <v>3476</v>
      </c>
      <c r="G25" s="1155" t="s">
        <v>3477</v>
      </c>
      <c r="H25" s="1155" t="s">
        <v>3777</v>
      </c>
      <c r="I25" s="1155" t="s">
        <v>3479</v>
      </c>
      <c r="J25" s="1155" t="s">
        <v>3485</v>
      </c>
      <c r="K25" s="1155" t="s">
        <v>3850</v>
      </c>
      <c r="L25" s="1155" t="s">
        <v>3482</v>
      </c>
      <c r="M25" s="1155" t="s">
        <v>3854</v>
      </c>
      <c r="N25" s="1155">
        <v>335000</v>
      </c>
      <c r="O25" s="1155">
        <v>67000</v>
      </c>
      <c r="P25" s="1155" t="s">
        <v>3851</v>
      </c>
      <c r="Q25" s="1155">
        <v>385250</v>
      </c>
      <c r="R25" s="1155">
        <v>154984.72</v>
      </c>
      <c r="S25" s="1155">
        <v>10332.31</v>
      </c>
      <c r="T25" s="1155">
        <v>55352</v>
      </c>
      <c r="U25" s="1155" t="s">
        <v>3485</v>
      </c>
      <c r="V25" s="1155">
        <v>15</v>
      </c>
      <c r="W25" s="1155">
        <v>385250</v>
      </c>
      <c r="X25" s="1155">
        <v>83000</v>
      </c>
      <c r="Y25" s="1155">
        <v>83000</v>
      </c>
      <c r="Z25" s="1155">
        <v>55352</v>
      </c>
      <c r="AA25" s="1155" t="s">
        <v>3494</v>
      </c>
    </row>
    <row r="26" spans="1:27">
      <c r="A26" s="1155" t="s">
        <v>3855</v>
      </c>
      <c r="B26" s="1155" t="s">
        <v>3409</v>
      </c>
      <c r="C26" s="1155" t="s">
        <v>3856</v>
      </c>
      <c r="D26" s="1155">
        <v>30073.51</v>
      </c>
      <c r="E26" s="1155">
        <v>90221</v>
      </c>
      <c r="F26" s="1155" t="s">
        <v>3497</v>
      </c>
      <c r="G26" s="1155" t="s">
        <v>3857</v>
      </c>
      <c r="H26" s="1155" t="s">
        <v>3858</v>
      </c>
      <c r="I26" s="1155" t="s">
        <v>3479</v>
      </c>
      <c r="J26" s="1155" t="s">
        <v>3485</v>
      </c>
      <c r="K26" s="1155" t="s">
        <v>3850</v>
      </c>
      <c r="L26" s="1155" t="s">
        <v>3482</v>
      </c>
      <c r="M26" s="1155" t="s">
        <v>3859</v>
      </c>
      <c r="N26" s="1155">
        <v>334000</v>
      </c>
      <c r="O26" s="1155">
        <v>67000</v>
      </c>
      <c r="P26" s="1155" t="s">
        <v>3851</v>
      </c>
      <c r="Q26" s="1155">
        <v>384100</v>
      </c>
      <c r="R26" s="1155">
        <v>127720.37</v>
      </c>
      <c r="S26" s="1155">
        <v>8514.69</v>
      </c>
      <c r="T26" s="1155">
        <v>42573</v>
      </c>
      <c r="U26" s="1155" t="s">
        <v>3485</v>
      </c>
      <c r="V26" s="1155">
        <v>15</v>
      </c>
      <c r="W26" s="1155">
        <v>384100</v>
      </c>
      <c r="X26" s="1155">
        <v>83000</v>
      </c>
      <c r="Y26" s="1155">
        <v>83000</v>
      </c>
      <c r="Z26" s="1155">
        <v>42573</v>
      </c>
      <c r="AA26" s="1155" t="s">
        <v>3494</v>
      </c>
    </row>
    <row r="27" spans="1:27">
      <c r="A27" s="1155" t="s">
        <v>3860</v>
      </c>
      <c r="B27" s="1155" t="s">
        <v>3409</v>
      </c>
      <c r="C27" s="1155" t="s">
        <v>3861</v>
      </c>
      <c r="D27" s="1155">
        <v>24300.84</v>
      </c>
      <c r="E27" s="1155">
        <v>53522</v>
      </c>
      <c r="F27" s="1155" t="s">
        <v>3497</v>
      </c>
      <c r="G27" s="1155" t="s">
        <v>3862</v>
      </c>
      <c r="H27" s="1155" t="s">
        <v>3863</v>
      </c>
      <c r="I27" s="1155" t="s">
        <v>3479</v>
      </c>
      <c r="J27" s="1155" t="s">
        <v>3485</v>
      </c>
      <c r="K27" s="1155" t="s">
        <v>3864</v>
      </c>
      <c r="L27" s="1155" t="s">
        <v>3482</v>
      </c>
      <c r="M27" s="1155" t="s">
        <v>3500</v>
      </c>
      <c r="N27" s="1155">
        <v>303000</v>
      </c>
      <c r="O27" s="1155">
        <v>61000</v>
      </c>
      <c r="P27" s="1155" t="s">
        <v>3865</v>
      </c>
      <c r="Q27" s="1155">
        <v>348450</v>
      </c>
      <c r="R27" s="1155">
        <v>143390.10999999999</v>
      </c>
      <c r="S27" s="1155">
        <v>9559.34</v>
      </c>
      <c r="T27" s="1155">
        <v>65104</v>
      </c>
      <c r="U27" s="1155" t="s">
        <v>3485</v>
      </c>
      <c r="V27" s="1155">
        <v>15</v>
      </c>
      <c r="W27" s="1155">
        <v>348450</v>
      </c>
      <c r="X27" s="1155">
        <v>95000</v>
      </c>
      <c r="Y27" s="1155">
        <v>95000</v>
      </c>
      <c r="Z27" s="1155">
        <v>65104</v>
      </c>
      <c r="AA27" s="1155" t="s">
        <v>3486</v>
      </c>
    </row>
    <row r="28" spans="1:27">
      <c r="A28" s="1155" t="s">
        <v>3866</v>
      </c>
      <c r="B28" s="1155" t="s">
        <v>3409</v>
      </c>
      <c r="C28" s="1155" t="s">
        <v>3867</v>
      </c>
      <c r="D28" s="1155">
        <v>70124.929999999993</v>
      </c>
      <c r="E28" s="1155">
        <v>168318</v>
      </c>
      <c r="F28" s="1155" t="s">
        <v>3497</v>
      </c>
      <c r="G28" s="1155" t="s">
        <v>3498</v>
      </c>
      <c r="H28" s="1155" t="s">
        <v>3868</v>
      </c>
      <c r="I28" s="1155" t="s">
        <v>3479</v>
      </c>
      <c r="J28" s="1155" t="s">
        <v>3485</v>
      </c>
      <c r="K28" s="1155" t="s">
        <v>3869</v>
      </c>
      <c r="L28" s="1155" t="s">
        <v>3482</v>
      </c>
      <c r="M28" s="1155" t="s">
        <v>3870</v>
      </c>
      <c r="N28" s="1155">
        <v>660000</v>
      </c>
      <c r="O28" s="1155">
        <v>132000</v>
      </c>
      <c r="P28" s="1155" t="s">
        <v>3871</v>
      </c>
      <c r="Q28" s="1155">
        <v>759000</v>
      </c>
      <c r="R28" s="1155">
        <v>108235.4</v>
      </c>
      <c r="S28" s="1155">
        <v>7215.69</v>
      </c>
      <c r="T28" s="1155">
        <v>45093</v>
      </c>
      <c r="U28" s="1155" t="s">
        <v>3485</v>
      </c>
      <c r="V28" s="1155">
        <v>15</v>
      </c>
      <c r="W28" s="1155" t="s">
        <v>3485</v>
      </c>
      <c r="X28" s="1155">
        <v>92000</v>
      </c>
      <c r="Y28" s="1155">
        <v>92000</v>
      </c>
      <c r="Z28" s="1155" t="s">
        <v>3485</v>
      </c>
      <c r="AA28" s="1155" t="s">
        <v>3531</v>
      </c>
    </row>
    <row r="29" spans="1:27">
      <c r="A29" s="1155" t="s">
        <v>3872</v>
      </c>
      <c r="B29" s="1155" t="s">
        <v>3409</v>
      </c>
      <c r="C29" s="1155" t="s">
        <v>3873</v>
      </c>
      <c r="D29" s="1155">
        <v>58385.05</v>
      </c>
      <c r="E29" s="1155">
        <v>124684</v>
      </c>
      <c r="F29" s="1155" t="s">
        <v>3476</v>
      </c>
      <c r="G29" s="1155" t="s">
        <v>3874</v>
      </c>
      <c r="H29" s="1155" t="s">
        <v>3875</v>
      </c>
      <c r="I29" s="1155" t="s">
        <v>3479</v>
      </c>
      <c r="J29" s="1155" t="s">
        <v>3485</v>
      </c>
      <c r="K29" s="1155" t="s">
        <v>3869</v>
      </c>
      <c r="L29" s="1155" t="s">
        <v>3482</v>
      </c>
      <c r="M29" s="1155" t="s">
        <v>3754</v>
      </c>
      <c r="N29" s="1155">
        <v>510000</v>
      </c>
      <c r="O29" s="1155">
        <v>110000</v>
      </c>
      <c r="P29" s="1155" t="s">
        <v>3871</v>
      </c>
      <c r="Q29" s="1155">
        <v>544000</v>
      </c>
      <c r="R29" s="1155">
        <v>93174.54</v>
      </c>
      <c r="S29" s="1155">
        <v>6211.64</v>
      </c>
      <c r="T29" s="1155">
        <v>43630</v>
      </c>
      <c r="U29" s="1155" t="s">
        <v>3485</v>
      </c>
      <c r="V29" s="1155">
        <v>6.67</v>
      </c>
      <c r="W29" s="1155" t="s">
        <v>3485</v>
      </c>
      <c r="X29" s="1155">
        <v>92000</v>
      </c>
      <c r="Y29" s="1155">
        <v>92000</v>
      </c>
      <c r="Z29" s="1155" t="s">
        <v>3485</v>
      </c>
      <c r="AA29" s="1155" t="s">
        <v>3531</v>
      </c>
    </row>
    <row r="30" spans="1:27">
      <c r="A30" s="1155" t="s">
        <v>3876</v>
      </c>
      <c r="B30" s="1155" t="s">
        <v>3409</v>
      </c>
      <c r="C30" s="1155" t="s">
        <v>3877</v>
      </c>
      <c r="D30" s="1155">
        <v>100648.77</v>
      </c>
      <c r="E30" s="1155">
        <v>110714</v>
      </c>
      <c r="F30" s="1155" t="s">
        <v>3476</v>
      </c>
      <c r="G30" s="1155" t="s">
        <v>3844</v>
      </c>
      <c r="H30" s="1155" t="s">
        <v>3878</v>
      </c>
      <c r="I30" s="1155" t="s">
        <v>3479</v>
      </c>
      <c r="J30" s="1155" t="s">
        <v>3485</v>
      </c>
      <c r="K30" s="1155" t="s">
        <v>3879</v>
      </c>
      <c r="L30" s="1155" t="s">
        <v>3482</v>
      </c>
      <c r="M30" s="1155" t="s">
        <v>3754</v>
      </c>
      <c r="N30" s="1155">
        <v>338000</v>
      </c>
      <c r="O30" s="1155">
        <v>68000</v>
      </c>
      <c r="P30" s="1155" t="s">
        <v>3880</v>
      </c>
      <c r="Q30" s="1155">
        <v>338000</v>
      </c>
      <c r="R30" s="1155">
        <v>33582.129999999997</v>
      </c>
      <c r="S30" s="1155">
        <v>2238.81</v>
      </c>
      <c r="T30" s="1155">
        <v>30529</v>
      </c>
      <c r="U30" s="1155" t="s">
        <v>3485</v>
      </c>
      <c r="V30" s="1155">
        <v>0</v>
      </c>
      <c r="W30" s="1155">
        <v>388700</v>
      </c>
      <c r="X30" s="1155">
        <v>64000</v>
      </c>
      <c r="Y30" s="1155">
        <v>64000</v>
      </c>
      <c r="Z30" s="1155">
        <v>35108</v>
      </c>
      <c r="AA30" s="1155" t="s">
        <v>3522</v>
      </c>
    </row>
    <row r="31" spans="1:27">
      <c r="A31" s="1155" t="s">
        <v>3881</v>
      </c>
      <c r="B31" s="1155" t="s">
        <v>3409</v>
      </c>
      <c r="C31" s="1155" t="s">
        <v>3882</v>
      </c>
      <c r="D31" s="1155">
        <v>34192.129999999997</v>
      </c>
      <c r="E31" s="1155">
        <v>82061</v>
      </c>
      <c r="F31" s="1155" t="s">
        <v>3476</v>
      </c>
      <c r="G31" s="1155" t="s">
        <v>3844</v>
      </c>
      <c r="H31" s="1155" t="s">
        <v>3883</v>
      </c>
      <c r="I31" s="1155" t="s">
        <v>3479</v>
      </c>
      <c r="J31" s="1155" t="s">
        <v>3485</v>
      </c>
      <c r="K31" s="1155" t="s">
        <v>3884</v>
      </c>
      <c r="L31" s="1155" t="s">
        <v>3482</v>
      </c>
      <c r="M31" s="1155" t="s">
        <v>3885</v>
      </c>
      <c r="N31" s="1155">
        <v>349000</v>
      </c>
      <c r="O31" s="1155">
        <v>70000</v>
      </c>
      <c r="P31" s="1155" t="s">
        <v>3886</v>
      </c>
      <c r="Q31" s="1155">
        <v>401350</v>
      </c>
      <c r="R31" s="1155">
        <v>117380.81</v>
      </c>
      <c r="S31" s="1155">
        <v>7825.39</v>
      </c>
      <c r="T31" s="1155">
        <v>48909</v>
      </c>
      <c r="U31" s="1155" t="s">
        <v>3485</v>
      </c>
      <c r="V31" s="1155">
        <v>15</v>
      </c>
      <c r="W31" s="1155">
        <v>401350</v>
      </c>
      <c r="X31" s="1155">
        <v>78000</v>
      </c>
      <c r="Y31" s="1155">
        <v>78000</v>
      </c>
      <c r="Z31" s="1155">
        <v>48909</v>
      </c>
      <c r="AA31" s="1155" t="s">
        <v>3494</v>
      </c>
    </row>
    <row r="32" spans="1:27">
      <c r="A32" s="1155" t="s">
        <v>3887</v>
      </c>
      <c r="B32" s="1155" t="s">
        <v>3409</v>
      </c>
      <c r="C32" s="1155" t="s">
        <v>3888</v>
      </c>
      <c r="D32" s="1155">
        <v>19800</v>
      </c>
      <c r="E32" s="1155">
        <v>55440</v>
      </c>
      <c r="F32" s="1155" t="s">
        <v>3476</v>
      </c>
      <c r="G32" s="1155" t="s">
        <v>3844</v>
      </c>
      <c r="H32" s="1155" t="s">
        <v>3777</v>
      </c>
      <c r="I32" s="1155" t="s">
        <v>3479</v>
      </c>
      <c r="J32" s="1155" t="s">
        <v>3485</v>
      </c>
      <c r="K32" s="1155" t="s">
        <v>3889</v>
      </c>
      <c r="L32" s="1155" t="s">
        <v>3482</v>
      </c>
      <c r="M32" s="1155" t="s">
        <v>3890</v>
      </c>
      <c r="N32" s="1155">
        <v>250000</v>
      </c>
      <c r="O32" s="1155">
        <v>50000</v>
      </c>
      <c r="P32" s="1155" t="s">
        <v>3891</v>
      </c>
      <c r="Q32" s="1155">
        <v>287500</v>
      </c>
      <c r="R32" s="1155">
        <v>145202.01999999999</v>
      </c>
      <c r="S32" s="1155">
        <v>9680.1299999999992</v>
      </c>
      <c r="T32" s="1155">
        <v>51858</v>
      </c>
      <c r="U32" s="1155" t="s">
        <v>3485</v>
      </c>
      <c r="V32" s="1155">
        <v>15</v>
      </c>
      <c r="W32" s="1155">
        <v>287500</v>
      </c>
      <c r="X32" s="1155">
        <v>78000</v>
      </c>
      <c r="Y32" s="1155">
        <v>78000</v>
      </c>
      <c r="Z32" s="1155">
        <v>51858</v>
      </c>
      <c r="AA32" s="1155" t="s">
        <v>3486</v>
      </c>
    </row>
    <row r="33" spans="1:27">
      <c r="A33" s="1155" t="s">
        <v>3892</v>
      </c>
      <c r="B33" s="1155" t="s">
        <v>3409</v>
      </c>
      <c r="C33" s="1155" t="s">
        <v>3893</v>
      </c>
      <c r="D33" s="1155">
        <v>22856.66</v>
      </c>
      <c r="E33" s="1155">
        <v>45084.65</v>
      </c>
      <c r="F33" s="1155" t="s">
        <v>3497</v>
      </c>
      <c r="G33" s="1155" t="s">
        <v>3513</v>
      </c>
      <c r="H33" s="1155" t="s">
        <v>3894</v>
      </c>
      <c r="I33" s="1155" t="s">
        <v>3479</v>
      </c>
      <c r="J33" s="1155" t="s">
        <v>3485</v>
      </c>
      <c r="K33" s="1155" t="s">
        <v>3895</v>
      </c>
      <c r="L33" s="1155" t="s">
        <v>3482</v>
      </c>
      <c r="M33" s="1155" t="s">
        <v>3896</v>
      </c>
      <c r="N33" s="1155">
        <v>224000</v>
      </c>
      <c r="O33" s="1155">
        <v>45000</v>
      </c>
      <c r="P33" s="1155" t="s">
        <v>3485</v>
      </c>
      <c r="Q33" s="1155">
        <v>240000</v>
      </c>
      <c r="R33" s="1155">
        <v>105002.22</v>
      </c>
      <c r="S33" s="1155">
        <v>7000.15</v>
      </c>
      <c r="T33" s="1155">
        <v>53233</v>
      </c>
      <c r="U33" s="1155" t="s">
        <v>3485</v>
      </c>
      <c r="V33" s="1155">
        <v>7.14</v>
      </c>
      <c r="W33" s="1155">
        <v>257600</v>
      </c>
      <c r="X33" s="1155">
        <v>86000</v>
      </c>
      <c r="Y33" s="1155">
        <v>86000</v>
      </c>
      <c r="Z33" s="1155">
        <v>57137</v>
      </c>
      <c r="AA33" s="1155" t="s">
        <v>3531</v>
      </c>
    </row>
    <row r="34" spans="1:27">
      <c r="A34" s="1155" t="s">
        <v>3897</v>
      </c>
      <c r="B34" s="1155" t="s">
        <v>3409</v>
      </c>
      <c r="C34" s="1155" t="s">
        <v>3898</v>
      </c>
      <c r="D34" s="1155">
        <v>35876.58</v>
      </c>
      <c r="E34" s="1155">
        <v>78928</v>
      </c>
      <c r="F34" s="1155" t="s">
        <v>3476</v>
      </c>
      <c r="G34" s="1155" t="s">
        <v>3477</v>
      </c>
      <c r="H34" s="1155" t="s">
        <v>3563</v>
      </c>
      <c r="I34" s="1155" t="s">
        <v>3479</v>
      </c>
      <c r="J34" s="1155" t="s">
        <v>3485</v>
      </c>
      <c r="K34" s="1155" t="s">
        <v>3895</v>
      </c>
      <c r="L34" s="1155" t="s">
        <v>3482</v>
      </c>
      <c r="M34" s="1155" t="s">
        <v>3899</v>
      </c>
      <c r="N34" s="1155">
        <v>301000</v>
      </c>
      <c r="O34" s="1155">
        <v>61000</v>
      </c>
      <c r="P34" s="1155" t="s">
        <v>3485</v>
      </c>
      <c r="Q34" s="1155">
        <v>316000</v>
      </c>
      <c r="R34" s="1155">
        <v>88079.74</v>
      </c>
      <c r="S34" s="1155">
        <v>5871.98</v>
      </c>
      <c r="T34" s="1155">
        <v>40036</v>
      </c>
      <c r="U34" s="1155" t="s">
        <v>3485</v>
      </c>
      <c r="V34" s="1155">
        <v>4.9800000000000004</v>
      </c>
      <c r="W34" s="1155">
        <v>346150</v>
      </c>
      <c r="X34" s="1155">
        <v>72000</v>
      </c>
      <c r="Y34" s="1155">
        <v>72000</v>
      </c>
      <c r="Z34" s="1155">
        <v>43856</v>
      </c>
      <c r="AA34" s="1155" t="s">
        <v>3494</v>
      </c>
    </row>
    <row r="35" spans="1:27">
      <c r="A35" s="1155" t="s">
        <v>3900</v>
      </c>
      <c r="B35" s="1155" t="s">
        <v>3409</v>
      </c>
      <c r="C35" s="1155" t="s">
        <v>3901</v>
      </c>
      <c r="D35" s="1155">
        <v>120616.06</v>
      </c>
      <c r="E35" s="1155">
        <v>125500</v>
      </c>
      <c r="F35" s="1155" t="s">
        <v>3497</v>
      </c>
      <c r="G35" s="1155" t="s">
        <v>3513</v>
      </c>
      <c r="H35" s="1155" t="s">
        <v>3902</v>
      </c>
      <c r="I35" s="1155" t="s">
        <v>3479</v>
      </c>
      <c r="J35" s="1155" t="s">
        <v>3485</v>
      </c>
      <c r="K35" s="1155" t="s">
        <v>3895</v>
      </c>
      <c r="L35" s="1155" t="s">
        <v>3482</v>
      </c>
      <c r="M35" s="1155" t="s">
        <v>3557</v>
      </c>
      <c r="N35" s="1155">
        <v>500000</v>
      </c>
      <c r="O35" s="1155">
        <v>100000</v>
      </c>
      <c r="P35" s="1155" t="s">
        <v>3485</v>
      </c>
      <c r="Q35" s="1155">
        <v>500000</v>
      </c>
      <c r="R35" s="1155">
        <v>41453.839999999997</v>
      </c>
      <c r="S35" s="1155">
        <v>2763.59</v>
      </c>
      <c r="T35" s="1155">
        <v>39841</v>
      </c>
      <c r="U35" s="1155" t="s">
        <v>3485</v>
      </c>
      <c r="V35" s="1155">
        <v>0</v>
      </c>
      <c r="W35" s="1155">
        <v>575000</v>
      </c>
      <c r="X35" s="1155">
        <v>83000</v>
      </c>
      <c r="Y35" s="1155">
        <v>83000</v>
      </c>
      <c r="Z35" s="1155">
        <v>45817</v>
      </c>
      <c r="AA35" s="1155" t="s">
        <v>3531</v>
      </c>
    </row>
    <row r="36" spans="1:27">
      <c r="A36" s="1155" t="s">
        <v>3903</v>
      </c>
      <c r="B36" s="1155" t="s">
        <v>3409</v>
      </c>
      <c r="C36" s="1155" t="s">
        <v>3904</v>
      </c>
      <c r="D36" s="1155">
        <v>24387.06</v>
      </c>
      <c r="E36" s="1155">
        <v>58528.94</v>
      </c>
      <c r="F36" s="1155" t="s">
        <v>3476</v>
      </c>
      <c r="G36" s="1155" t="s">
        <v>3477</v>
      </c>
      <c r="H36" s="1155" t="s">
        <v>3478</v>
      </c>
      <c r="I36" s="1155" t="s">
        <v>3479</v>
      </c>
      <c r="J36" s="1155" t="s">
        <v>3485</v>
      </c>
      <c r="K36" s="1155" t="s">
        <v>3895</v>
      </c>
      <c r="L36" s="1155" t="s">
        <v>3482</v>
      </c>
      <c r="M36" s="1155" t="s">
        <v>3896</v>
      </c>
      <c r="N36" s="1155">
        <v>315000</v>
      </c>
      <c r="O36" s="1155">
        <v>63000</v>
      </c>
      <c r="P36" s="1155" t="s">
        <v>3485</v>
      </c>
      <c r="Q36" s="1155">
        <v>332000</v>
      </c>
      <c r="R36" s="1155">
        <v>136137.76999999999</v>
      </c>
      <c r="S36" s="1155">
        <v>9075.85</v>
      </c>
      <c r="T36" s="1155">
        <v>56724</v>
      </c>
      <c r="U36" s="1155" t="s">
        <v>3485</v>
      </c>
      <c r="V36" s="1155">
        <v>5.4</v>
      </c>
      <c r="W36" s="1155">
        <v>362250</v>
      </c>
      <c r="X36" s="1155">
        <v>86000</v>
      </c>
      <c r="Y36" s="1155">
        <v>86000</v>
      </c>
      <c r="Z36" s="1155">
        <v>61892</v>
      </c>
      <c r="AA36" s="1155" t="s">
        <v>3531</v>
      </c>
    </row>
    <row r="37" spans="1:27">
      <c r="A37" s="1155" t="s">
        <v>3905</v>
      </c>
      <c r="B37" s="1155" t="s">
        <v>3409</v>
      </c>
      <c r="C37" s="1155" t="s">
        <v>3906</v>
      </c>
      <c r="D37" s="1155">
        <v>71284.179999999993</v>
      </c>
      <c r="E37" s="1155">
        <v>105042</v>
      </c>
      <c r="F37" s="1155" t="s">
        <v>3497</v>
      </c>
      <c r="G37" s="1155" t="s">
        <v>3907</v>
      </c>
      <c r="H37" s="1155" t="s">
        <v>3908</v>
      </c>
      <c r="I37" s="1155" t="s">
        <v>3479</v>
      </c>
      <c r="J37" s="1155" t="s">
        <v>3485</v>
      </c>
      <c r="K37" s="1155" t="s">
        <v>3909</v>
      </c>
      <c r="L37" s="1155" t="s">
        <v>3482</v>
      </c>
      <c r="M37" s="1155" t="s">
        <v>3910</v>
      </c>
      <c r="N37" s="1155">
        <v>300000</v>
      </c>
      <c r="O37" s="1155">
        <v>60000</v>
      </c>
      <c r="P37" s="1155" t="s">
        <v>3485</v>
      </c>
      <c r="Q37" s="1155">
        <v>345000</v>
      </c>
      <c r="R37" s="1155">
        <v>48397.83</v>
      </c>
      <c r="S37" s="1155">
        <v>3226.52</v>
      </c>
      <c r="T37" s="1155">
        <v>32844</v>
      </c>
      <c r="U37" s="1155" t="s">
        <v>3485</v>
      </c>
      <c r="V37" s="1155">
        <v>15</v>
      </c>
      <c r="W37" s="1155">
        <v>345000</v>
      </c>
      <c r="X37" s="1155">
        <v>89000</v>
      </c>
      <c r="Y37" s="1155">
        <v>89000</v>
      </c>
      <c r="Z37" s="1155">
        <v>32844</v>
      </c>
      <c r="AA37" s="1155" t="s">
        <v>3494</v>
      </c>
    </row>
    <row r="38" spans="1:27" s="3171" customFormat="1">
      <c r="A38" s="3171" t="s">
        <v>3911</v>
      </c>
      <c r="B38" s="3171" t="s">
        <v>3409</v>
      </c>
      <c r="C38" s="3171" t="s">
        <v>3912</v>
      </c>
      <c r="D38" s="3171">
        <v>73887.38</v>
      </c>
      <c r="E38" s="3171">
        <v>89552.29</v>
      </c>
      <c r="F38" s="3171" t="s">
        <v>3476</v>
      </c>
      <c r="G38" s="3171" t="s">
        <v>3844</v>
      </c>
      <c r="H38" s="3171" t="s">
        <v>3913</v>
      </c>
      <c r="I38" s="3171" t="s">
        <v>3479</v>
      </c>
      <c r="J38" s="3171" t="s">
        <v>3485</v>
      </c>
      <c r="K38" s="3171" t="s">
        <v>3914</v>
      </c>
      <c r="L38" s="3171" t="s">
        <v>3482</v>
      </c>
      <c r="M38" s="3171" t="s">
        <v>3915</v>
      </c>
      <c r="N38" s="3171">
        <v>690000</v>
      </c>
      <c r="O38" s="3171">
        <v>138000</v>
      </c>
      <c r="P38" s="3171" t="s">
        <v>3485</v>
      </c>
      <c r="Q38" s="3171">
        <v>793500</v>
      </c>
      <c r="R38" s="3171">
        <v>107393.17</v>
      </c>
      <c r="S38" s="3171">
        <v>7159.54</v>
      </c>
      <c r="T38" s="3171">
        <v>88607</v>
      </c>
      <c r="U38" s="3171" t="s">
        <v>3485</v>
      </c>
      <c r="V38" s="3171">
        <v>15</v>
      </c>
      <c r="W38" s="3171">
        <v>793500</v>
      </c>
      <c r="X38" s="3171">
        <v>121000</v>
      </c>
      <c r="Y38" s="3171">
        <v>121000</v>
      </c>
      <c r="Z38" s="3171">
        <v>88607</v>
      </c>
      <c r="AA38" s="3171" t="s">
        <v>3494</v>
      </c>
    </row>
    <row r="39" spans="1:27">
      <c r="A39" s="1155" t="s">
        <v>3916</v>
      </c>
      <c r="B39" s="1155" t="s">
        <v>3409</v>
      </c>
      <c r="C39" s="1155" t="s">
        <v>3917</v>
      </c>
      <c r="D39" s="1155">
        <v>18388.669999999998</v>
      </c>
      <c r="E39" s="1155">
        <v>21809.34</v>
      </c>
      <c r="F39" s="1155" t="s">
        <v>3476</v>
      </c>
      <c r="G39" s="1155" t="s">
        <v>3844</v>
      </c>
      <c r="H39" s="1155" t="s">
        <v>3913</v>
      </c>
      <c r="I39" s="1155" t="s">
        <v>3479</v>
      </c>
      <c r="J39" s="1155" t="s">
        <v>3485</v>
      </c>
      <c r="K39" s="1155" t="s">
        <v>3914</v>
      </c>
      <c r="L39" s="1155" t="s">
        <v>3482</v>
      </c>
      <c r="M39" s="1155" t="s">
        <v>3918</v>
      </c>
      <c r="N39" s="1155">
        <v>170000</v>
      </c>
      <c r="O39" s="1155">
        <v>34000</v>
      </c>
      <c r="P39" s="1155" t="s">
        <v>3485</v>
      </c>
      <c r="Q39" s="1155">
        <v>195500</v>
      </c>
      <c r="R39" s="1155">
        <v>106315.47</v>
      </c>
      <c r="S39" s="1155">
        <v>7087.7</v>
      </c>
      <c r="T39" s="1155">
        <v>89640</v>
      </c>
      <c r="U39" s="1155" t="s">
        <v>3485</v>
      </c>
      <c r="V39" s="1155">
        <v>15</v>
      </c>
      <c r="W39" s="1155">
        <v>195500</v>
      </c>
      <c r="X39" s="1155">
        <v>121000</v>
      </c>
      <c r="Y39" s="1155">
        <v>121000</v>
      </c>
      <c r="Z39" s="1155">
        <v>89640</v>
      </c>
      <c r="AA39" s="1155" t="s">
        <v>3494</v>
      </c>
    </row>
    <row r="40" spans="1:27">
      <c r="A40" s="1155" t="s">
        <v>3919</v>
      </c>
      <c r="B40" s="1155" t="s">
        <v>3409</v>
      </c>
      <c r="C40" s="1155" t="s">
        <v>3920</v>
      </c>
      <c r="D40" s="1155">
        <v>16944.580000000002</v>
      </c>
      <c r="E40" s="1155">
        <v>52000</v>
      </c>
      <c r="F40" s="1155" t="s">
        <v>3476</v>
      </c>
      <c r="G40" s="1155" t="s">
        <v>3477</v>
      </c>
      <c r="H40" s="1155" t="s">
        <v>3921</v>
      </c>
      <c r="I40" s="1155" t="s">
        <v>3479</v>
      </c>
      <c r="J40" s="1155" t="s">
        <v>3485</v>
      </c>
      <c r="K40" s="1155" t="s">
        <v>3922</v>
      </c>
      <c r="L40" s="1155" t="s">
        <v>3482</v>
      </c>
      <c r="M40" s="1155" t="s">
        <v>3923</v>
      </c>
      <c r="N40" s="1155">
        <v>239000</v>
      </c>
      <c r="O40" s="1155">
        <v>48000</v>
      </c>
      <c r="P40" s="1155" t="s">
        <v>3485</v>
      </c>
      <c r="Q40" s="1155">
        <v>274850</v>
      </c>
      <c r="R40" s="1155">
        <v>162205.26999999999</v>
      </c>
      <c r="S40" s="1155">
        <v>10813.68</v>
      </c>
      <c r="T40" s="1155">
        <v>52856</v>
      </c>
      <c r="U40" s="1155" t="s">
        <v>3485</v>
      </c>
      <c r="V40" s="1155">
        <v>15</v>
      </c>
      <c r="W40" s="1155">
        <v>274850</v>
      </c>
      <c r="X40" s="1155">
        <v>85000</v>
      </c>
      <c r="Y40" s="1155">
        <v>85000</v>
      </c>
      <c r="Z40" s="1155">
        <v>52856</v>
      </c>
      <c r="AA40" s="1155" t="s">
        <v>3531</v>
      </c>
    </row>
    <row r="41" spans="1:27">
      <c r="A41" s="1155" t="s">
        <v>3924</v>
      </c>
      <c r="B41" s="1155" t="s">
        <v>3409</v>
      </c>
      <c r="C41" s="1155" t="s">
        <v>3925</v>
      </c>
      <c r="D41" s="1155">
        <v>61455.11</v>
      </c>
      <c r="E41" s="1155">
        <v>92183</v>
      </c>
      <c r="F41" s="1155" t="s">
        <v>3476</v>
      </c>
      <c r="G41" s="1155" t="s">
        <v>3477</v>
      </c>
      <c r="H41" s="1155" t="s">
        <v>3571</v>
      </c>
      <c r="I41" s="1155" t="s">
        <v>3479</v>
      </c>
      <c r="J41" s="1155" t="s">
        <v>3485</v>
      </c>
      <c r="K41" s="1155" t="s">
        <v>3926</v>
      </c>
      <c r="L41" s="1155" t="s">
        <v>3482</v>
      </c>
      <c r="M41" s="1155" t="s">
        <v>3492</v>
      </c>
      <c r="N41" s="1155">
        <v>404000</v>
      </c>
      <c r="O41" s="1155">
        <v>81000</v>
      </c>
      <c r="P41" s="1155" t="s">
        <v>3927</v>
      </c>
      <c r="Q41" s="1155">
        <v>404000</v>
      </c>
      <c r="R41" s="1155">
        <v>65739.039999999994</v>
      </c>
      <c r="S41" s="1155">
        <v>4382.6000000000004</v>
      </c>
      <c r="T41" s="1155">
        <v>43826</v>
      </c>
      <c r="U41" s="1155" t="s">
        <v>3485</v>
      </c>
      <c r="V41" s="1155">
        <v>0</v>
      </c>
      <c r="W41" s="1155">
        <v>464600</v>
      </c>
      <c r="X41" s="1155">
        <v>79800</v>
      </c>
      <c r="Y41" s="1155">
        <v>79800</v>
      </c>
      <c r="Z41" s="1155">
        <v>50400</v>
      </c>
      <c r="AA41" s="1155" t="s">
        <v>3522</v>
      </c>
    </row>
    <row r="42" spans="1:27">
      <c r="A42" s="1155" t="s">
        <v>3928</v>
      </c>
      <c r="B42" s="1155" t="s">
        <v>3409</v>
      </c>
      <c r="C42" s="1155" t="s">
        <v>3929</v>
      </c>
      <c r="D42" s="1155">
        <v>12060.05</v>
      </c>
      <c r="E42" s="1155">
        <v>30150</v>
      </c>
      <c r="F42" s="1155" t="s">
        <v>3476</v>
      </c>
      <c r="G42" s="1155" t="s">
        <v>3477</v>
      </c>
      <c r="H42" s="1155" t="s">
        <v>3544</v>
      </c>
      <c r="I42" s="1155" t="s">
        <v>3479</v>
      </c>
      <c r="J42" s="1155" t="s">
        <v>3930</v>
      </c>
      <c r="K42" s="1155" t="s">
        <v>3931</v>
      </c>
      <c r="L42" s="1155" t="s">
        <v>3482</v>
      </c>
      <c r="M42" s="1155" t="s">
        <v>3932</v>
      </c>
      <c r="N42" s="1155">
        <v>124000</v>
      </c>
      <c r="O42" s="1155">
        <v>25000</v>
      </c>
      <c r="P42" s="1155" t="s">
        <v>3933</v>
      </c>
      <c r="Q42" s="1155">
        <v>142600</v>
      </c>
      <c r="R42" s="1155">
        <v>118241.63</v>
      </c>
      <c r="S42" s="1155">
        <v>7882.78</v>
      </c>
      <c r="T42" s="1155">
        <v>47297</v>
      </c>
      <c r="U42" s="1155" t="s">
        <v>3485</v>
      </c>
      <c r="V42" s="1155">
        <v>15</v>
      </c>
      <c r="W42" s="1155">
        <v>142600</v>
      </c>
      <c r="X42" s="1155">
        <v>80000</v>
      </c>
      <c r="Y42" s="1155">
        <v>80000</v>
      </c>
      <c r="Z42" s="1155">
        <v>47297</v>
      </c>
      <c r="AA42" s="1155" t="s">
        <v>3486</v>
      </c>
    </row>
    <row r="43" spans="1:27">
      <c r="A43" s="1155" t="s">
        <v>3934</v>
      </c>
      <c r="B43" s="1155" t="s">
        <v>3409</v>
      </c>
      <c r="C43" s="1155" t="s">
        <v>3935</v>
      </c>
      <c r="D43" s="1155">
        <v>18681.22</v>
      </c>
      <c r="E43" s="1155">
        <v>46703.06</v>
      </c>
      <c r="F43" s="1155" t="s">
        <v>3476</v>
      </c>
      <c r="G43" s="1155" t="s">
        <v>3477</v>
      </c>
      <c r="H43" s="1155" t="s">
        <v>3544</v>
      </c>
      <c r="I43" s="1155" t="s">
        <v>3479</v>
      </c>
      <c r="J43" s="1155" t="s">
        <v>3936</v>
      </c>
      <c r="K43" s="1155" t="s">
        <v>3937</v>
      </c>
      <c r="L43" s="1155" t="s">
        <v>3482</v>
      </c>
      <c r="M43" s="1155" t="s">
        <v>3938</v>
      </c>
      <c r="N43" s="1155">
        <v>212000</v>
      </c>
      <c r="O43" s="1155">
        <v>43000</v>
      </c>
      <c r="P43" s="1155" t="s">
        <v>3939</v>
      </c>
      <c r="Q43" s="1155">
        <v>243800</v>
      </c>
      <c r="R43" s="1155">
        <v>130505.4</v>
      </c>
      <c r="S43" s="1155">
        <v>8700.36</v>
      </c>
      <c r="T43" s="1155">
        <v>52202</v>
      </c>
      <c r="U43" s="1155" t="s">
        <v>3485</v>
      </c>
      <c r="V43" s="1155">
        <v>15</v>
      </c>
      <c r="W43" s="1155">
        <v>243800</v>
      </c>
      <c r="X43" s="1155">
        <v>85000</v>
      </c>
      <c r="Y43" s="1155">
        <v>85000</v>
      </c>
      <c r="Z43" s="1155">
        <v>52202</v>
      </c>
      <c r="AA43" s="1155" t="s">
        <v>3531</v>
      </c>
    </row>
    <row r="44" spans="1:27">
      <c r="A44" s="1155" t="s">
        <v>3940</v>
      </c>
      <c r="B44" s="1155" t="s">
        <v>3409</v>
      </c>
      <c r="C44" s="1155" t="s">
        <v>3941</v>
      </c>
      <c r="D44" s="1155">
        <v>19603.849999999999</v>
      </c>
      <c r="E44" s="1155">
        <v>49009.63</v>
      </c>
      <c r="F44" s="1155" t="s">
        <v>3476</v>
      </c>
      <c r="G44" s="1155" t="s">
        <v>3477</v>
      </c>
      <c r="H44" s="1155" t="s">
        <v>3544</v>
      </c>
      <c r="I44" s="1155" t="s">
        <v>3479</v>
      </c>
      <c r="J44" s="1155" t="s">
        <v>3936</v>
      </c>
      <c r="K44" s="1155" t="s">
        <v>3942</v>
      </c>
      <c r="L44" s="1155" t="s">
        <v>3482</v>
      </c>
      <c r="M44" s="1155" t="s">
        <v>3741</v>
      </c>
      <c r="N44" s="1155">
        <v>222000</v>
      </c>
      <c r="O44" s="1155">
        <v>45000</v>
      </c>
      <c r="P44" s="1155" t="s">
        <v>3939</v>
      </c>
      <c r="Q44" s="1155">
        <v>255300</v>
      </c>
      <c r="R44" s="1155">
        <v>130229.52</v>
      </c>
      <c r="S44" s="1155">
        <v>8681.9699999999993</v>
      </c>
      <c r="T44" s="1155">
        <v>52092</v>
      </c>
      <c r="U44" s="1155" t="s">
        <v>3485</v>
      </c>
      <c r="V44" s="1155">
        <v>15</v>
      </c>
      <c r="W44" s="1155">
        <v>255300</v>
      </c>
      <c r="X44" s="1155">
        <v>85000</v>
      </c>
      <c r="Y44" s="1155">
        <v>85000</v>
      </c>
      <c r="Z44" s="1155">
        <v>52092</v>
      </c>
      <c r="AA44" s="1155" t="s">
        <v>3531</v>
      </c>
    </row>
    <row r="45" spans="1:27">
      <c r="A45" s="1155" t="s">
        <v>3943</v>
      </c>
      <c r="B45" s="1155" t="s">
        <v>3409</v>
      </c>
      <c r="C45" s="1155" t="s">
        <v>3944</v>
      </c>
      <c r="D45" s="1155">
        <v>31920.74</v>
      </c>
      <c r="E45" s="1155">
        <v>70864</v>
      </c>
      <c r="F45" s="1155" t="s">
        <v>3476</v>
      </c>
      <c r="G45" s="1155" t="s">
        <v>3477</v>
      </c>
      <c r="H45" s="1155" t="s">
        <v>3945</v>
      </c>
      <c r="I45" s="1155" t="s">
        <v>3479</v>
      </c>
      <c r="J45" s="1155" t="s">
        <v>3936</v>
      </c>
      <c r="K45" s="1155" t="s">
        <v>3937</v>
      </c>
      <c r="L45" s="1155" t="s">
        <v>3482</v>
      </c>
      <c r="M45" s="1155" t="s">
        <v>3732</v>
      </c>
      <c r="N45" s="1155">
        <v>281000</v>
      </c>
      <c r="O45" s="1155">
        <v>57000</v>
      </c>
      <c r="P45" s="1155" t="s">
        <v>3939</v>
      </c>
      <c r="Q45" s="1155">
        <v>323150</v>
      </c>
      <c r="R45" s="1155">
        <v>101235.12</v>
      </c>
      <c r="S45" s="1155">
        <v>6749.01</v>
      </c>
      <c r="T45" s="1155">
        <v>45601</v>
      </c>
      <c r="U45" s="1155" t="s">
        <v>3485</v>
      </c>
      <c r="V45" s="1155">
        <v>15</v>
      </c>
      <c r="W45" s="1155">
        <v>323150</v>
      </c>
      <c r="X45" s="1155">
        <v>85000</v>
      </c>
      <c r="Y45" s="1155">
        <v>85000</v>
      </c>
      <c r="Z45" s="1155">
        <v>45601</v>
      </c>
      <c r="AA45" s="1155" t="s">
        <v>3494</v>
      </c>
    </row>
    <row r="46" spans="1:27">
      <c r="A46" s="1155" t="s">
        <v>3946</v>
      </c>
      <c r="B46" s="1155" t="s">
        <v>3409</v>
      </c>
      <c r="C46" s="1155" t="s">
        <v>3947</v>
      </c>
      <c r="D46" s="1155">
        <v>32689.63</v>
      </c>
      <c r="E46" s="1155">
        <v>71917</v>
      </c>
      <c r="F46" s="1155" t="s">
        <v>3476</v>
      </c>
      <c r="G46" s="1155" t="s">
        <v>3477</v>
      </c>
      <c r="H46" s="1155" t="s">
        <v>3563</v>
      </c>
      <c r="I46" s="1155" t="s">
        <v>3479</v>
      </c>
      <c r="J46" s="1155" t="s">
        <v>3480</v>
      </c>
      <c r="K46" s="1155" t="s">
        <v>3481</v>
      </c>
      <c r="L46" s="1155" t="s">
        <v>3482</v>
      </c>
      <c r="M46" s="1155" t="s">
        <v>3948</v>
      </c>
      <c r="N46" s="1155">
        <v>294000</v>
      </c>
      <c r="O46" s="1155">
        <v>60000</v>
      </c>
      <c r="P46" s="1155" t="s">
        <v>3484</v>
      </c>
      <c r="Q46" s="1155">
        <v>338100</v>
      </c>
      <c r="R46" s="1155">
        <v>103427.3</v>
      </c>
      <c r="S46" s="1155">
        <v>6895.15</v>
      </c>
      <c r="T46" s="1155">
        <v>47013</v>
      </c>
      <c r="U46" s="1155" t="s">
        <v>3485</v>
      </c>
      <c r="V46" s="1155">
        <v>15</v>
      </c>
      <c r="W46" s="1155">
        <v>338100</v>
      </c>
      <c r="X46" s="1155">
        <v>83000</v>
      </c>
      <c r="Y46" s="1155">
        <v>83000</v>
      </c>
      <c r="Z46" s="1155">
        <v>47013</v>
      </c>
      <c r="AA46" s="1155" t="s">
        <v>3531</v>
      </c>
    </row>
    <row r="47" spans="1:27">
      <c r="A47" s="1155" t="s">
        <v>3949</v>
      </c>
      <c r="B47" s="1155" t="s">
        <v>3409</v>
      </c>
      <c r="C47" s="1155" t="s">
        <v>3950</v>
      </c>
      <c r="D47" s="1155">
        <v>46313.85</v>
      </c>
      <c r="E47" s="1155">
        <v>104753.24</v>
      </c>
      <c r="F47" s="1155" t="s">
        <v>3497</v>
      </c>
      <c r="G47" s="1155" t="s">
        <v>3540</v>
      </c>
      <c r="H47" s="1155" t="s">
        <v>3951</v>
      </c>
      <c r="I47" s="1155" t="s">
        <v>3479</v>
      </c>
      <c r="J47" s="1155" t="s">
        <v>3480</v>
      </c>
      <c r="K47" s="1155" t="s">
        <v>3481</v>
      </c>
      <c r="L47" s="1155" t="s">
        <v>3482</v>
      </c>
      <c r="M47" s="1155" t="s">
        <v>3754</v>
      </c>
      <c r="N47" s="1155">
        <v>485000</v>
      </c>
      <c r="O47" s="1155">
        <v>97000</v>
      </c>
      <c r="P47" s="1155" t="s">
        <v>3484</v>
      </c>
      <c r="Q47" s="1155">
        <v>557750</v>
      </c>
      <c r="R47" s="1155">
        <v>120428.33</v>
      </c>
      <c r="S47" s="1155">
        <v>8028.56</v>
      </c>
      <c r="T47" s="1155">
        <v>53244</v>
      </c>
      <c r="U47" s="1155" t="s">
        <v>3485</v>
      </c>
      <c r="V47" s="1155">
        <v>15</v>
      </c>
      <c r="W47" s="1155">
        <v>557750</v>
      </c>
      <c r="X47" s="1155">
        <v>82000</v>
      </c>
      <c r="Y47" s="1155">
        <v>82000</v>
      </c>
      <c r="Z47" s="1155">
        <v>53244</v>
      </c>
      <c r="AA47" s="1155" t="s">
        <v>3494</v>
      </c>
    </row>
    <row r="48" spans="1:27">
      <c r="A48" s="1155" t="s">
        <v>3952</v>
      </c>
      <c r="B48" s="1155" t="s">
        <v>3409</v>
      </c>
      <c r="C48" s="1155" t="s">
        <v>3953</v>
      </c>
      <c r="D48" s="1155">
        <v>47827.06</v>
      </c>
      <c r="E48" s="1155">
        <v>71740.59</v>
      </c>
      <c r="F48" s="1155" t="s">
        <v>3476</v>
      </c>
      <c r="G48" s="1155" t="s">
        <v>3477</v>
      </c>
      <c r="H48" s="1155" t="s">
        <v>3571</v>
      </c>
      <c r="I48" s="1155" t="s">
        <v>3479</v>
      </c>
      <c r="J48" s="1155" t="s">
        <v>3480</v>
      </c>
      <c r="K48" s="1155" t="s">
        <v>3481</v>
      </c>
      <c r="L48" s="1155" t="s">
        <v>3482</v>
      </c>
      <c r="M48" s="1155" t="s">
        <v>3754</v>
      </c>
      <c r="N48" s="1155">
        <v>365000</v>
      </c>
      <c r="O48" s="1155">
        <v>73000</v>
      </c>
      <c r="P48" s="1155" t="s">
        <v>3484</v>
      </c>
      <c r="Q48" s="1155">
        <v>419750</v>
      </c>
      <c r="R48" s="1155">
        <v>87764.12</v>
      </c>
      <c r="S48" s="1155">
        <v>5850.94</v>
      </c>
      <c r="T48" s="1155">
        <v>58509</v>
      </c>
      <c r="U48" s="1155" t="s">
        <v>3485</v>
      </c>
      <c r="V48" s="1155">
        <v>15</v>
      </c>
      <c r="W48" s="1155">
        <v>419750</v>
      </c>
      <c r="X48" s="1155">
        <v>85000</v>
      </c>
      <c r="Y48" s="1155">
        <v>85000</v>
      </c>
      <c r="Z48" s="1155">
        <v>58509</v>
      </c>
      <c r="AA48" s="1155" t="s">
        <v>3494</v>
      </c>
    </row>
    <row r="49" spans="1:27">
      <c r="A49" s="1155" t="s">
        <v>3954</v>
      </c>
      <c r="B49" s="1155" t="s">
        <v>3409</v>
      </c>
      <c r="C49" s="1155" t="s">
        <v>3955</v>
      </c>
      <c r="D49" s="1155">
        <v>39419.43</v>
      </c>
      <c r="E49" s="1155">
        <v>94607</v>
      </c>
      <c r="F49" s="1155" t="s">
        <v>3476</v>
      </c>
      <c r="G49" s="1155" t="s">
        <v>3477</v>
      </c>
      <c r="H49" s="1155" t="s">
        <v>3478</v>
      </c>
      <c r="I49" s="1155" t="s">
        <v>3479</v>
      </c>
      <c r="J49" s="1155" t="s">
        <v>3480</v>
      </c>
      <c r="K49" s="1155" t="s">
        <v>3481</v>
      </c>
      <c r="L49" s="1155" t="s">
        <v>3482</v>
      </c>
      <c r="M49" s="1155" t="s">
        <v>3754</v>
      </c>
      <c r="N49" s="1155">
        <v>480000</v>
      </c>
      <c r="O49" s="1155">
        <v>96000</v>
      </c>
      <c r="P49" s="1155" t="s">
        <v>3484</v>
      </c>
      <c r="Q49" s="1155">
        <v>497000</v>
      </c>
      <c r="R49" s="1155">
        <v>126079.95</v>
      </c>
      <c r="S49" s="1155">
        <v>8405.33</v>
      </c>
      <c r="T49" s="1155">
        <v>52533</v>
      </c>
      <c r="U49" s="1155" t="s">
        <v>3485</v>
      </c>
      <c r="V49" s="1155">
        <v>3.54</v>
      </c>
      <c r="W49" s="1155">
        <v>552000</v>
      </c>
      <c r="X49" s="1155">
        <v>95000</v>
      </c>
      <c r="Y49" s="1155">
        <v>95000</v>
      </c>
      <c r="Z49" s="1155">
        <v>58347</v>
      </c>
      <c r="AA49" s="1155" t="s">
        <v>3486</v>
      </c>
    </row>
    <row r="50" spans="1:27">
      <c r="A50" s="1155" t="s">
        <v>3956</v>
      </c>
      <c r="B50" s="1155" t="s">
        <v>3409</v>
      </c>
      <c r="C50" s="1155" t="s">
        <v>3957</v>
      </c>
      <c r="D50" s="1155">
        <v>26171.64</v>
      </c>
      <c r="E50" s="1155">
        <v>68046</v>
      </c>
      <c r="F50" s="1155" t="s">
        <v>3476</v>
      </c>
      <c r="G50" s="1155" t="s">
        <v>3477</v>
      </c>
      <c r="H50" s="1155" t="s">
        <v>3958</v>
      </c>
      <c r="I50" s="1155" t="s">
        <v>3479</v>
      </c>
      <c r="J50" s="1155" t="s">
        <v>3480</v>
      </c>
      <c r="K50" s="1155" t="s">
        <v>3481</v>
      </c>
      <c r="L50" s="1155" t="s">
        <v>3482</v>
      </c>
      <c r="M50" s="1155" t="s">
        <v>3802</v>
      </c>
      <c r="N50" s="1155">
        <v>366000</v>
      </c>
      <c r="O50" s="1155">
        <v>74000</v>
      </c>
      <c r="P50" s="1155" t="s">
        <v>3484</v>
      </c>
      <c r="Q50" s="1155">
        <v>381000</v>
      </c>
      <c r="R50" s="1155">
        <v>145577.42000000001</v>
      </c>
      <c r="S50" s="1155">
        <v>9705.16</v>
      </c>
      <c r="T50" s="1155">
        <v>55992</v>
      </c>
      <c r="U50" s="1155" t="s">
        <v>3485</v>
      </c>
      <c r="V50" s="1155">
        <v>4.0999999999999996</v>
      </c>
      <c r="W50" s="1155">
        <v>420900</v>
      </c>
      <c r="X50" s="1155">
        <v>95000</v>
      </c>
      <c r="Y50" s="1155">
        <v>95000</v>
      </c>
      <c r="Z50" s="1155">
        <v>61855</v>
      </c>
      <c r="AA50" s="1155" t="s">
        <v>3486</v>
      </c>
    </row>
    <row r="51" spans="1:27">
      <c r="A51" s="1155" t="s">
        <v>3959</v>
      </c>
      <c r="B51" s="1155" t="s">
        <v>3409</v>
      </c>
      <c r="C51" s="1155" t="s">
        <v>3960</v>
      </c>
      <c r="D51" s="1155">
        <v>52463.4</v>
      </c>
      <c r="E51" s="1155">
        <v>123492.16</v>
      </c>
      <c r="F51" s="1155" t="s">
        <v>3497</v>
      </c>
      <c r="G51" s="1155" t="s">
        <v>3961</v>
      </c>
      <c r="H51" s="1155" t="s">
        <v>3962</v>
      </c>
      <c r="I51" s="1155" t="s">
        <v>3479</v>
      </c>
      <c r="J51" s="1155" t="s">
        <v>3480</v>
      </c>
      <c r="K51" s="1155" t="s">
        <v>3481</v>
      </c>
      <c r="L51" s="1155" t="s">
        <v>3482</v>
      </c>
      <c r="M51" s="1155" t="s">
        <v>3963</v>
      </c>
      <c r="N51" s="1155">
        <v>509000</v>
      </c>
      <c r="O51" s="1155">
        <v>102000</v>
      </c>
      <c r="P51" s="1155" t="s">
        <v>3484</v>
      </c>
      <c r="Q51" s="1155">
        <v>531800</v>
      </c>
      <c r="R51" s="1155">
        <v>101365.91</v>
      </c>
      <c r="S51" s="1155">
        <v>6757.73</v>
      </c>
      <c r="T51" s="1155">
        <v>43063</v>
      </c>
      <c r="U51" s="1155" t="s">
        <v>3485</v>
      </c>
      <c r="V51" s="1155">
        <v>4.4800000000000004</v>
      </c>
      <c r="W51" s="1155">
        <v>585350</v>
      </c>
      <c r="X51" s="1155">
        <v>82000</v>
      </c>
      <c r="Y51" s="1155">
        <v>82000</v>
      </c>
      <c r="Z51" s="1155">
        <v>47400</v>
      </c>
      <c r="AA51" s="1155" t="s">
        <v>3494</v>
      </c>
    </row>
    <row r="52" spans="1:27">
      <c r="A52" s="1155" t="s">
        <v>3474</v>
      </c>
      <c r="B52" s="1155" t="s">
        <v>3409</v>
      </c>
      <c r="C52" s="1155" t="s">
        <v>3475</v>
      </c>
      <c r="D52" s="1155">
        <v>23125</v>
      </c>
      <c r="E52" s="1155">
        <v>55500</v>
      </c>
      <c r="F52" s="1155" t="s">
        <v>3476</v>
      </c>
      <c r="G52" s="1155" t="s">
        <v>3477</v>
      </c>
      <c r="H52" s="1155" t="s">
        <v>3478</v>
      </c>
      <c r="I52" s="1155" t="s">
        <v>3479</v>
      </c>
      <c r="J52" s="1155" t="s">
        <v>3480</v>
      </c>
      <c r="K52" s="1155" t="s">
        <v>3481</v>
      </c>
      <c r="L52" s="1155" t="s">
        <v>3482</v>
      </c>
      <c r="M52" s="1155" t="s">
        <v>3483</v>
      </c>
      <c r="N52" s="1155">
        <v>333000</v>
      </c>
      <c r="O52" s="1155">
        <v>67000</v>
      </c>
      <c r="P52" s="1155" t="s">
        <v>3484</v>
      </c>
      <c r="Q52" s="1155">
        <v>382950</v>
      </c>
      <c r="R52" s="1155">
        <v>165600</v>
      </c>
      <c r="S52" s="1155">
        <v>11040</v>
      </c>
      <c r="T52" s="1155">
        <v>69000</v>
      </c>
      <c r="U52" s="1155" t="s">
        <v>3485</v>
      </c>
      <c r="V52" s="1155">
        <v>15</v>
      </c>
      <c r="W52" s="1155">
        <v>382950</v>
      </c>
      <c r="X52" s="1155">
        <v>106000</v>
      </c>
      <c r="Y52" s="1155">
        <v>106000</v>
      </c>
      <c r="Z52" s="1155">
        <v>69000</v>
      </c>
      <c r="AA52" s="1155" t="s">
        <v>3486</v>
      </c>
    </row>
    <row r="53" spans="1:27">
      <c r="A53" s="1155" t="s">
        <v>3487</v>
      </c>
      <c r="B53" s="1155" t="s">
        <v>3409</v>
      </c>
      <c r="C53" s="1155" t="s">
        <v>3488</v>
      </c>
      <c r="D53" s="1155">
        <v>40508.61</v>
      </c>
      <c r="E53" s="1155">
        <v>56712</v>
      </c>
      <c r="F53" s="1155" t="s">
        <v>3476</v>
      </c>
      <c r="G53" s="1155" t="s">
        <v>3477</v>
      </c>
      <c r="H53" s="1155" t="s">
        <v>3489</v>
      </c>
      <c r="I53" s="1155" t="s">
        <v>3479</v>
      </c>
      <c r="J53" s="1155" t="s">
        <v>3490</v>
      </c>
      <c r="K53" s="1155" t="s">
        <v>3491</v>
      </c>
      <c r="L53" s="1155" t="s">
        <v>3482</v>
      </c>
      <c r="M53" s="1155" t="s">
        <v>3492</v>
      </c>
      <c r="N53" s="1155">
        <v>263000</v>
      </c>
      <c r="O53" s="1155">
        <v>53000</v>
      </c>
      <c r="P53" s="1155" t="s">
        <v>3493</v>
      </c>
      <c r="Q53" s="1155">
        <v>298000</v>
      </c>
      <c r="R53" s="1155">
        <v>73564.61</v>
      </c>
      <c r="S53" s="1155">
        <v>4904.3100000000004</v>
      </c>
      <c r="T53" s="1155">
        <v>52546</v>
      </c>
      <c r="U53" s="1155" t="s">
        <v>3485</v>
      </c>
      <c r="V53" s="1155">
        <v>13.31</v>
      </c>
      <c r="W53" s="1155">
        <v>302450</v>
      </c>
      <c r="X53" s="1155">
        <v>89000</v>
      </c>
      <c r="Y53" s="1155">
        <v>89000</v>
      </c>
      <c r="Z53" s="1155">
        <v>53331</v>
      </c>
      <c r="AA53" s="1155" t="s">
        <v>3494</v>
      </c>
    </row>
    <row r="54" spans="1:27">
      <c r="A54" s="1155" t="s">
        <v>3495</v>
      </c>
      <c r="B54" s="1155" t="s">
        <v>3409</v>
      </c>
      <c r="C54" s="1155" t="s">
        <v>3496</v>
      </c>
      <c r="D54" s="1155">
        <v>59541.89</v>
      </c>
      <c r="E54" s="1155">
        <v>201892</v>
      </c>
      <c r="F54" s="1155" t="s">
        <v>3497</v>
      </c>
      <c r="G54" s="1155" t="s">
        <v>3498</v>
      </c>
      <c r="H54" s="1155" t="s">
        <v>3499</v>
      </c>
      <c r="I54" s="1155" t="s">
        <v>3479</v>
      </c>
      <c r="J54" s="1155" t="s">
        <v>3490</v>
      </c>
      <c r="K54" s="1155" t="s">
        <v>3491</v>
      </c>
      <c r="L54" s="1155" t="s">
        <v>3482</v>
      </c>
      <c r="M54" s="1155" t="s">
        <v>3500</v>
      </c>
      <c r="N54" s="1155">
        <v>747000</v>
      </c>
      <c r="O54" s="1155">
        <v>150000</v>
      </c>
      <c r="P54" s="1155" t="s">
        <v>3493</v>
      </c>
      <c r="Q54" s="1155">
        <v>747000</v>
      </c>
      <c r="R54" s="1155">
        <v>125457.89</v>
      </c>
      <c r="S54" s="1155">
        <v>8363.86</v>
      </c>
      <c r="T54" s="1155">
        <v>37000</v>
      </c>
      <c r="U54" s="1155">
        <v>44279</v>
      </c>
      <c r="V54" s="1155">
        <v>0</v>
      </c>
      <c r="W54" s="1155">
        <v>859050</v>
      </c>
      <c r="X54" s="1155">
        <v>112000</v>
      </c>
      <c r="Y54" s="1155">
        <v>112000</v>
      </c>
      <c r="Z54" s="1155">
        <v>42550</v>
      </c>
      <c r="AA54" s="1155" t="s">
        <v>3501</v>
      </c>
    </row>
    <row r="55" spans="1:27">
      <c r="A55" s="1155" t="s">
        <v>3502</v>
      </c>
      <c r="B55" s="1155" t="s">
        <v>3409</v>
      </c>
      <c r="C55" s="1155" t="s">
        <v>3503</v>
      </c>
      <c r="D55" s="1155">
        <v>34502.36</v>
      </c>
      <c r="E55" s="1155">
        <v>86256</v>
      </c>
      <c r="F55" s="1155" t="s">
        <v>3476</v>
      </c>
      <c r="G55" s="1155" t="s">
        <v>3477</v>
      </c>
      <c r="H55" s="1155" t="s">
        <v>3504</v>
      </c>
      <c r="I55" s="1155" t="s">
        <v>3479</v>
      </c>
      <c r="J55" s="1155" t="s">
        <v>3490</v>
      </c>
      <c r="K55" s="1155" t="s">
        <v>3491</v>
      </c>
      <c r="L55" s="1155" t="s">
        <v>3482</v>
      </c>
      <c r="M55" s="1155" t="s">
        <v>3505</v>
      </c>
      <c r="N55" s="1155">
        <v>388000</v>
      </c>
      <c r="O55" s="1155">
        <v>78000</v>
      </c>
      <c r="P55" s="1155" t="s">
        <v>3493</v>
      </c>
      <c r="Q55" s="1155">
        <v>388000</v>
      </c>
      <c r="R55" s="1155">
        <v>112456.08</v>
      </c>
      <c r="S55" s="1155">
        <v>7497.07</v>
      </c>
      <c r="T55" s="1155">
        <v>44982</v>
      </c>
      <c r="U55" s="1155" t="s">
        <v>3485</v>
      </c>
      <c r="V55" s="1155">
        <v>0</v>
      </c>
      <c r="W55" s="1155">
        <v>446200</v>
      </c>
      <c r="X55" s="1155">
        <v>75000</v>
      </c>
      <c r="Y55" s="1155">
        <v>75000</v>
      </c>
      <c r="Z55" s="1155">
        <v>51730</v>
      </c>
      <c r="AA55" s="1155" t="s">
        <v>3486</v>
      </c>
    </row>
    <row r="56" spans="1:27">
      <c r="A56" s="1155" t="s">
        <v>3506</v>
      </c>
      <c r="B56" s="1155" t="s">
        <v>3409</v>
      </c>
      <c r="C56" s="1155" t="s">
        <v>3507</v>
      </c>
      <c r="D56" s="1155">
        <v>27039.75</v>
      </c>
      <c r="E56" s="1155">
        <v>75711.3</v>
      </c>
      <c r="F56" s="1155" t="s">
        <v>3476</v>
      </c>
      <c r="G56" s="1155" t="s">
        <v>3477</v>
      </c>
      <c r="H56" s="1155" t="s">
        <v>3508</v>
      </c>
      <c r="I56" s="1155" t="s">
        <v>3479</v>
      </c>
      <c r="J56" s="1155" t="s">
        <v>3490</v>
      </c>
      <c r="K56" s="1155" t="s">
        <v>3509</v>
      </c>
      <c r="L56" s="1155" t="s">
        <v>3482</v>
      </c>
      <c r="M56" s="1155" t="s">
        <v>3510</v>
      </c>
      <c r="N56" s="1155">
        <v>581000</v>
      </c>
      <c r="O56" s="1155">
        <v>116200</v>
      </c>
      <c r="P56" s="1155" t="s">
        <v>3493</v>
      </c>
      <c r="Q56" s="1155">
        <v>668150</v>
      </c>
      <c r="R56" s="1155">
        <v>247099.17</v>
      </c>
      <c r="S56" s="1155">
        <v>16473.28</v>
      </c>
      <c r="T56" s="1155">
        <v>88250</v>
      </c>
      <c r="U56" s="1155" t="s">
        <v>3485</v>
      </c>
      <c r="V56" s="1155">
        <v>15</v>
      </c>
      <c r="W56" s="1155">
        <v>668150</v>
      </c>
      <c r="X56" s="1155">
        <v>130000</v>
      </c>
      <c r="Y56" s="1155">
        <v>130000</v>
      </c>
      <c r="Z56" s="1155">
        <v>88250</v>
      </c>
      <c r="AA56" s="1155" t="s">
        <v>3501</v>
      </c>
    </row>
    <row r="57" spans="1:27">
      <c r="A57" s="1155" t="s">
        <v>3511</v>
      </c>
      <c r="B57" s="1155" t="s">
        <v>3409</v>
      </c>
      <c r="C57" s="1155" t="s">
        <v>3512</v>
      </c>
      <c r="D57" s="1155">
        <v>44618.19</v>
      </c>
      <c r="E57" s="1155">
        <v>93514</v>
      </c>
      <c r="F57" s="1155" t="s">
        <v>3497</v>
      </c>
      <c r="G57" s="1155" t="s">
        <v>3513</v>
      </c>
      <c r="H57" s="1155" t="s">
        <v>3514</v>
      </c>
      <c r="I57" s="1155" t="s">
        <v>3479</v>
      </c>
      <c r="J57" s="1155" t="s">
        <v>3490</v>
      </c>
      <c r="K57" s="1155" t="s">
        <v>3491</v>
      </c>
      <c r="L57" s="1155" t="s">
        <v>3482</v>
      </c>
      <c r="M57" s="1155" t="s">
        <v>3483</v>
      </c>
      <c r="N57" s="1155">
        <v>394000</v>
      </c>
      <c r="O57" s="1155">
        <v>79000</v>
      </c>
      <c r="P57" s="1155" t="s">
        <v>3493</v>
      </c>
      <c r="Q57" s="1155">
        <v>400000</v>
      </c>
      <c r="R57" s="1155">
        <v>89649.54</v>
      </c>
      <c r="S57" s="1155">
        <v>5976.64</v>
      </c>
      <c r="T57" s="1155">
        <v>42774</v>
      </c>
      <c r="U57" s="1155" t="s">
        <v>3485</v>
      </c>
      <c r="V57" s="1155">
        <v>1.52</v>
      </c>
      <c r="W57" s="1155">
        <v>453100</v>
      </c>
      <c r="X57" s="1155">
        <v>85000</v>
      </c>
      <c r="Y57" s="1155">
        <v>85000</v>
      </c>
      <c r="Z57" s="1155">
        <v>48453</v>
      </c>
      <c r="AA57" s="1155" t="s">
        <v>3494</v>
      </c>
    </row>
    <row r="58" spans="1:27">
      <c r="A58" s="1155" t="s">
        <v>3515</v>
      </c>
      <c r="B58" s="1155" t="s">
        <v>3409</v>
      </c>
      <c r="C58" s="1155" t="s">
        <v>3516</v>
      </c>
      <c r="D58" s="1155">
        <v>21200</v>
      </c>
      <c r="E58" s="1155">
        <v>59360</v>
      </c>
      <c r="F58" s="1155" t="s">
        <v>3476</v>
      </c>
      <c r="G58" s="1155" t="s">
        <v>3477</v>
      </c>
      <c r="H58" s="1155" t="s">
        <v>3508</v>
      </c>
      <c r="I58" s="1155" t="s">
        <v>3479</v>
      </c>
      <c r="J58" s="1155" t="s">
        <v>3490</v>
      </c>
      <c r="K58" s="1155" t="s">
        <v>3509</v>
      </c>
      <c r="L58" s="1155" t="s">
        <v>3482</v>
      </c>
      <c r="M58" s="1155" t="s">
        <v>3517</v>
      </c>
      <c r="N58" s="1155">
        <v>230000</v>
      </c>
      <c r="O58" s="1155">
        <v>46000</v>
      </c>
      <c r="P58" s="1155" t="s">
        <v>3493</v>
      </c>
      <c r="Q58" s="1155">
        <v>264500</v>
      </c>
      <c r="R58" s="1155">
        <v>124764.15</v>
      </c>
      <c r="S58" s="1155">
        <v>8317.61</v>
      </c>
      <c r="T58" s="1155">
        <v>44559</v>
      </c>
      <c r="U58" s="1155" t="s">
        <v>3485</v>
      </c>
      <c r="V58" s="1155">
        <v>15</v>
      </c>
      <c r="W58" s="1155">
        <v>264500</v>
      </c>
      <c r="X58" s="1155">
        <v>75000</v>
      </c>
      <c r="Y58" s="1155">
        <v>75000</v>
      </c>
      <c r="Z58" s="1155">
        <v>44559</v>
      </c>
      <c r="AA58" s="1155" t="s">
        <v>3494</v>
      </c>
    </row>
    <row r="59" spans="1:27">
      <c r="A59" s="1155" t="s">
        <v>3518</v>
      </c>
      <c r="B59" s="1155" t="s">
        <v>3409</v>
      </c>
      <c r="C59" s="1155" t="s">
        <v>3519</v>
      </c>
      <c r="D59" s="1155">
        <v>43909.52</v>
      </c>
      <c r="E59" s="1155">
        <v>74646</v>
      </c>
      <c r="F59" s="1155" t="s">
        <v>3476</v>
      </c>
      <c r="G59" s="1155" t="s">
        <v>3477</v>
      </c>
      <c r="H59" s="1155" t="s">
        <v>3520</v>
      </c>
      <c r="I59" s="1155" t="s">
        <v>3479</v>
      </c>
      <c r="J59" s="1155" t="s">
        <v>3490</v>
      </c>
      <c r="K59" s="1155" t="s">
        <v>3491</v>
      </c>
      <c r="L59" s="1155" t="s">
        <v>3482</v>
      </c>
      <c r="M59" s="1155" t="s">
        <v>3521</v>
      </c>
      <c r="N59" s="1155">
        <v>244000</v>
      </c>
      <c r="O59" s="1155">
        <v>49000</v>
      </c>
      <c r="P59" s="1155" t="s">
        <v>3493</v>
      </c>
      <c r="Q59" s="1155">
        <v>244000</v>
      </c>
      <c r="R59" s="1155">
        <v>55568.81</v>
      </c>
      <c r="S59" s="1155">
        <v>3704.59</v>
      </c>
      <c r="T59" s="1155">
        <v>32688</v>
      </c>
      <c r="U59" s="1155" t="s">
        <v>3485</v>
      </c>
      <c r="V59" s="1155">
        <v>0</v>
      </c>
      <c r="W59" s="1155">
        <v>280600</v>
      </c>
      <c r="X59" s="1155">
        <v>65000</v>
      </c>
      <c r="Y59" s="1155">
        <v>65000</v>
      </c>
      <c r="Z59" s="1155">
        <v>37591</v>
      </c>
      <c r="AA59" s="1155" t="s">
        <v>3522</v>
      </c>
    </row>
    <row r="60" spans="1:27">
      <c r="A60" s="1155" t="s">
        <v>3523</v>
      </c>
      <c r="B60" s="1155" t="s">
        <v>3409</v>
      </c>
      <c r="C60" s="1155" t="s">
        <v>3524</v>
      </c>
      <c r="D60" s="1155">
        <v>41146.67</v>
      </c>
      <c r="E60" s="1155">
        <v>92406</v>
      </c>
      <c r="F60" s="1155" t="s">
        <v>3497</v>
      </c>
      <c r="G60" s="1155" t="s">
        <v>3525</v>
      </c>
      <c r="H60" s="1155" t="s">
        <v>3526</v>
      </c>
      <c r="I60" s="1155" t="s">
        <v>3479</v>
      </c>
      <c r="J60" s="1155" t="s">
        <v>3527</v>
      </c>
      <c r="K60" s="1155" t="s">
        <v>3528</v>
      </c>
      <c r="L60" s="1155" t="s">
        <v>3482</v>
      </c>
      <c r="M60" s="1155" t="s">
        <v>3529</v>
      </c>
      <c r="N60" s="1155">
        <v>378000</v>
      </c>
      <c r="O60" s="1155">
        <v>76000</v>
      </c>
      <c r="P60" s="1155" t="s">
        <v>3530</v>
      </c>
      <c r="Q60" s="1155">
        <v>434700</v>
      </c>
      <c r="R60" s="1155">
        <v>105646.46</v>
      </c>
      <c r="S60" s="1155">
        <v>7043.1</v>
      </c>
      <c r="T60" s="1155">
        <v>47042</v>
      </c>
      <c r="U60" s="1155">
        <v>49394</v>
      </c>
      <c r="V60" s="1155">
        <v>15</v>
      </c>
      <c r="W60" s="1155">
        <v>434700</v>
      </c>
      <c r="X60" s="1155">
        <v>88000</v>
      </c>
      <c r="Y60" s="1155">
        <v>88000</v>
      </c>
      <c r="Z60" s="1155">
        <v>47042</v>
      </c>
      <c r="AA60" s="1155" t="s">
        <v>3531</v>
      </c>
    </row>
    <row r="61" spans="1:27">
      <c r="A61" s="1155" t="s">
        <v>3532</v>
      </c>
      <c r="B61" s="1155" t="s">
        <v>3409</v>
      </c>
      <c r="C61" s="1155" t="s">
        <v>3533</v>
      </c>
      <c r="D61" s="1155">
        <v>47200</v>
      </c>
      <c r="E61" s="1155">
        <v>119500</v>
      </c>
      <c r="F61" s="1155" t="s">
        <v>3497</v>
      </c>
      <c r="G61" s="1155" t="s">
        <v>3534</v>
      </c>
      <c r="H61" s="1155" t="s">
        <v>3535</v>
      </c>
      <c r="I61" s="1155" t="s">
        <v>3479</v>
      </c>
      <c r="J61" s="1155" t="s">
        <v>3527</v>
      </c>
      <c r="K61" s="1155" t="s">
        <v>3536</v>
      </c>
      <c r="L61" s="1155" t="s">
        <v>3482</v>
      </c>
      <c r="M61" s="1155" t="s">
        <v>3537</v>
      </c>
      <c r="N61" s="1155">
        <v>263000</v>
      </c>
      <c r="O61" s="1155">
        <v>53000</v>
      </c>
      <c r="P61" s="1155" t="s">
        <v>3530</v>
      </c>
      <c r="Q61" s="1155">
        <v>263000</v>
      </c>
      <c r="R61" s="1155">
        <v>55720.34</v>
      </c>
      <c r="S61" s="1155">
        <v>3714.69</v>
      </c>
      <c r="T61" s="1155">
        <v>22008</v>
      </c>
      <c r="U61" s="1155">
        <v>23974</v>
      </c>
      <c r="V61" s="1155">
        <v>0</v>
      </c>
      <c r="W61" s="1155">
        <v>302450</v>
      </c>
      <c r="X61" s="1155">
        <v>85000</v>
      </c>
      <c r="Y61" s="1155">
        <v>85000</v>
      </c>
      <c r="Z61" s="1155">
        <v>25310</v>
      </c>
      <c r="AA61" s="1155" t="s">
        <v>3531</v>
      </c>
    </row>
    <row r="62" spans="1:27">
      <c r="A62" s="1155" t="s">
        <v>3538</v>
      </c>
      <c r="B62" s="1155" t="s">
        <v>3409</v>
      </c>
      <c r="C62" s="1155" t="s">
        <v>3539</v>
      </c>
      <c r="D62" s="1155">
        <v>33500</v>
      </c>
      <c r="E62" s="1155">
        <v>85400</v>
      </c>
      <c r="F62" s="1155" t="s">
        <v>3497</v>
      </c>
      <c r="G62" s="1155" t="s">
        <v>3540</v>
      </c>
      <c r="H62" s="1155" t="s">
        <v>3541</v>
      </c>
      <c r="I62" s="1155" t="s">
        <v>3479</v>
      </c>
      <c r="J62" s="1155" t="s">
        <v>3527</v>
      </c>
      <c r="K62" s="1155" t="s">
        <v>3536</v>
      </c>
      <c r="L62" s="1155" t="s">
        <v>3482</v>
      </c>
      <c r="M62" s="1155" t="s">
        <v>3500</v>
      </c>
      <c r="N62" s="1155">
        <v>544000</v>
      </c>
      <c r="O62" s="1155">
        <v>109000</v>
      </c>
      <c r="P62" s="1155" t="s">
        <v>3530</v>
      </c>
      <c r="Q62" s="1155">
        <v>571200</v>
      </c>
      <c r="R62" s="1155">
        <v>170507.47</v>
      </c>
      <c r="S62" s="1155">
        <v>11367.16</v>
      </c>
      <c r="T62" s="1155">
        <v>66885</v>
      </c>
      <c r="U62" s="1155" t="s">
        <v>3485</v>
      </c>
      <c r="V62" s="1155">
        <v>5</v>
      </c>
      <c r="W62" s="1155">
        <v>571200</v>
      </c>
      <c r="X62" s="1155">
        <v>109000</v>
      </c>
      <c r="Y62" s="1155">
        <v>109000</v>
      </c>
      <c r="Z62" s="1155">
        <v>66885</v>
      </c>
      <c r="AA62" s="1155" t="s">
        <v>3501</v>
      </c>
    </row>
    <row r="63" spans="1:27">
      <c r="A63" s="1155" t="s">
        <v>3542</v>
      </c>
      <c r="B63" s="1155" t="s">
        <v>3409</v>
      </c>
      <c r="C63" s="1155" t="s">
        <v>3543</v>
      </c>
      <c r="D63" s="1155">
        <v>36848.99</v>
      </c>
      <c r="E63" s="1155">
        <v>92122</v>
      </c>
      <c r="F63" s="1155" t="s">
        <v>3476</v>
      </c>
      <c r="G63" s="1155" t="s">
        <v>3477</v>
      </c>
      <c r="H63" s="1155" t="s">
        <v>3544</v>
      </c>
      <c r="I63" s="1155" t="s">
        <v>3479</v>
      </c>
      <c r="J63" s="1155" t="s">
        <v>3527</v>
      </c>
      <c r="K63" s="1155" t="s">
        <v>3528</v>
      </c>
      <c r="L63" s="1155" t="s">
        <v>3482</v>
      </c>
      <c r="M63" s="1155" t="s">
        <v>3545</v>
      </c>
      <c r="N63" s="1155">
        <v>392000</v>
      </c>
      <c r="O63" s="1155">
        <v>78500</v>
      </c>
      <c r="P63" s="1155" t="s">
        <v>3530</v>
      </c>
      <c r="Q63" s="1155">
        <v>424000</v>
      </c>
      <c r="R63" s="1155">
        <v>115064.21</v>
      </c>
      <c r="S63" s="1155">
        <v>7670.95</v>
      </c>
      <c r="T63" s="1155">
        <v>46026</v>
      </c>
      <c r="U63" s="1155" t="s">
        <v>3485</v>
      </c>
      <c r="V63" s="1155">
        <v>8.16</v>
      </c>
      <c r="W63" s="1155">
        <v>431200</v>
      </c>
      <c r="X63" s="1155">
        <v>71000</v>
      </c>
      <c r="Y63" s="1155">
        <v>71000</v>
      </c>
      <c r="Z63" s="1155">
        <v>46807</v>
      </c>
      <c r="AA63" s="1155" t="s">
        <v>3531</v>
      </c>
    </row>
    <row r="64" spans="1:27">
      <c r="A64" s="1155" t="s">
        <v>3546</v>
      </c>
      <c r="B64" s="1155" t="s">
        <v>3409</v>
      </c>
      <c r="C64" s="1155" t="s">
        <v>3547</v>
      </c>
      <c r="D64" s="1155">
        <v>12533.84</v>
      </c>
      <c r="E64" s="1155">
        <v>40108</v>
      </c>
      <c r="F64" s="1155" t="s">
        <v>3497</v>
      </c>
      <c r="G64" s="1155" t="s">
        <v>3548</v>
      </c>
      <c r="H64" s="1155" t="s">
        <v>3549</v>
      </c>
      <c r="I64" s="1155" t="s">
        <v>3479</v>
      </c>
      <c r="J64" s="1155" t="s">
        <v>3550</v>
      </c>
      <c r="K64" s="1155" t="s">
        <v>3551</v>
      </c>
      <c r="L64" s="1155" t="s">
        <v>3482</v>
      </c>
      <c r="M64" s="1155" t="s">
        <v>3552</v>
      </c>
      <c r="N64" s="1155">
        <v>114000</v>
      </c>
      <c r="O64" s="1155">
        <v>23000</v>
      </c>
      <c r="P64" s="1155" t="s">
        <v>3553</v>
      </c>
      <c r="Q64" s="1155">
        <v>114000</v>
      </c>
      <c r="R64" s="1155">
        <v>90953.77</v>
      </c>
      <c r="S64" s="1155">
        <v>6063.58</v>
      </c>
      <c r="T64" s="1155">
        <v>28423</v>
      </c>
      <c r="U64" s="1155" t="s">
        <v>3485</v>
      </c>
      <c r="V64" s="1155">
        <v>0</v>
      </c>
      <c r="W64" s="1155">
        <v>131100</v>
      </c>
      <c r="X64" s="1155">
        <v>106600</v>
      </c>
      <c r="Y64" s="1155">
        <v>106600</v>
      </c>
      <c r="Z64" s="1155">
        <v>32687</v>
      </c>
      <c r="AA64" s="1155" t="s">
        <v>3501</v>
      </c>
    </row>
    <row r="65" spans="1:27">
      <c r="A65" s="1155" t="s">
        <v>3554</v>
      </c>
      <c r="B65" s="1155" t="s">
        <v>3409</v>
      </c>
      <c r="C65" s="1155" t="s">
        <v>3555</v>
      </c>
      <c r="D65" s="1155">
        <v>57220.14</v>
      </c>
      <c r="E65" s="1155">
        <v>132000</v>
      </c>
      <c r="F65" s="1155" t="s">
        <v>3476</v>
      </c>
      <c r="G65" s="1155" t="s">
        <v>3477</v>
      </c>
      <c r="H65" s="1155" t="s">
        <v>3556</v>
      </c>
      <c r="I65" s="1155" t="s">
        <v>3479</v>
      </c>
      <c r="J65" s="1155" t="s">
        <v>3550</v>
      </c>
      <c r="K65" s="1155" t="s">
        <v>3551</v>
      </c>
      <c r="L65" s="1155" t="s">
        <v>3482</v>
      </c>
      <c r="M65" s="1155" t="s">
        <v>3557</v>
      </c>
      <c r="N65" s="1155">
        <v>561000</v>
      </c>
      <c r="O65" s="1155">
        <v>112200</v>
      </c>
      <c r="P65" s="1155" t="s">
        <v>3553</v>
      </c>
      <c r="Q65" s="1155">
        <v>561000</v>
      </c>
      <c r="R65" s="1155">
        <v>98042.41</v>
      </c>
      <c r="S65" s="1155">
        <v>6536.16</v>
      </c>
      <c r="T65" s="1155">
        <v>42500</v>
      </c>
      <c r="U65" s="1155">
        <v>50089</v>
      </c>
      <c r="V65" s="1155">
        <v>0</v>
      </c>
      <c r="W65" s="1155">
        <v>589050</v>
      </c>
      <c r="X65" s="1155">
        <v>81000</v>
      </c>
      <c r="Y65" s="1155">
        <v>81000</v>
      </c>
      <c r="Z65" s="1155">
        <v>44625</v>
      </c>
      <c r="AA65" s="1155" t="s">
        <v>3531</v>
      </c>
    </row>
    <row r="66" spans="1:27">
      <c r="A66" s="1155" t="s">
        <v>3558</v>
      </c>
      <c r="B66" s="1155" t="s">
        <v>3409</v>
      </c>
      <c r="C66" s="1155" t="s">
        <v>3559</v>
      </c>
      <c r="D66" s="1155">
        <v>76681.88</v>
      </c>
      <c r="E66" s="1155">
        <v>137000</v>
      </c>
      <c r="F66" s="1155" t="s">
        <v>3476</v>
      </c>
      <c r="G66" s="1155" t="s">
        <v>3477</v>
      </c>
      <c r="H66" s="1155" t="s">
        <v>3560</v>
      </c>
      <c r="I66" s="1155" t="s">
        <v>3479</v>
      </c>
      <c r="J66" s="1155" t="s">
        <v>3550</v>
      </c>
      <c r="K66" s="1155" t="s">
        <v>3551</v>
      </c>
      <c r="L66" s="1155" t="s">
        <v>3482</v>
      </c>
      <c r="M66" s="1155" t="s">
        <v>3557</v>
      </c>
      <c r="N66" s="1155">
        <v>707000</v>
      </c>
      <c r="O66" s="1155">
        <v>142000</v>
      </c>
      <c r="P66" s="1155" t="s">
        <v>3553</v>
      </c>
      <c r="Q66" s="1155">
        <v>707000</v>
      </c>
      <c r="R66" s="1155">
        <v>92199.09</v>
      </c>
      <c r="S66" s="1155">
        <v>6146.61</v>
      </c>
      <c r="T66" s="1155">
        <v>51606</v>
      </c>
      <c r="U66" s="1155" t="s">
        <v>3485</v>
      </c>
      <c r="V66" s="1155">
        <v>0</v>
      </c>
      <c r="W66" s="1155">
        <v>742350</v>
      </c>
      <c r="X66" s="1155">
        <v>86000</v>
      </c>
      <c r="Y66" s="1155">
        <v>86000</v>
      </c>
      <c r="Z66" s="1155">
        <v>54186</v>
      </c>
      <c r="AA66" s="1155" t="s">
        <v>3531</v>
      </c>
    </row>
    <row r="67" spans="1:27">
      <c r="A67" s="1155" t="s">
        <v>3561</v>
      </c>
      <c r="B67" s="1155" t="s">
        <v>3409</v>
      </c>
      <c r="C67" s="1155" t="s">
        <v>3562</v>
      </c>
      <c r="D67" s="1155">
        <v>21711.13</v>
      </c>
      <c r="E67" s="1155">
        <v>47764</v>
      </c>
      <c r="F67" s="1155" t="s">
        <v>3476</v>
      </c>
      <c r="G67" s="1155" t="s">
        <v>3477</v>
      </c>
      <c r="H67" s="1155" t="s">
        <v>3563</v>
      </c>
      <c r="I67" s="1155" t="s">
        <v>3479</v>
      </c>
      <c r="J67" s="1155" t="s">
        <v>3550</v>
      </c>
      <c r="K67" s="1155" t="s">
        <v>3551</v>
      </c>
      <c r="L67" s="1155" t="s">
        <v>3482</v>
      </c>
      <c r="M67" s="1155" t="s">
        <v>3564</v>
      </c>
      <c r="N67" s="1155">
        <v>208000</v>
      </c>
      <c r="O67" s="1155">
        <v>42000</v>
      </c>
      <c r="P67" s="1155" t="s">
        <v>3553</v>
      </c>
      <c r="Q67" s="1155">
        <v>208000</v>
      </c>
      <c r="R67" s="1155">
        <v>95803.4</v>
      </c>
      <c r="S67" s="1155">
        <v>6386.89</v>
      </c>
      <c r="T67" s="1155">
        <v>43547</v>
      </c>
      <c r="U67" s="1155" t="s">
        <v>3485</v>
      </c>
      <c r="V67" s="1155">
        <v>0</v>
      </c>
      <c r="W67" s="1155">
        <v>218400</v>
      </c>
      <c r="X67" s="1155">
        <v>69800</v>
      </c>
      <c r="Y67" s="1155">
        <v>69800</v>
      </c>
      <c r="Z67" s="1155">
        <v>45725</v>
      </c>
      <c r="AA67" s="1155" t="s">
        <v>3494</v>
      </c>
    </row>
    <row r="68" spans="1:27">
      <c r="A68" s="1155" t="s">
        <v>3565</v>
      </c>
      <c r="B68" s="1155" t="s">
        <v>3409</v>
      </c>
      <c r="C68" s="1155" t="s">
        <v>3566</v>
      </c>
      <c r="D68" s="1155">
        <v>63959.72</v>
      </c>
      <c r="E68" s="1155">
        <v>94000</v>
      </c>
      <c r="F68" s="1155" t="s">
        <v>3476</v>
      </c>
      <c r="G68" s="1155" t="s">
        <v>3477</v>
      </c>
      <c r="H68" s="1155" t="s">
        <v>3567</v>
      </c>
      <c r="I68" s="1155" t="s">
        <v>3479</v>
      </c>
      <c r="J68" s="1155" t="s">
        <v>3550</v>
      </c>
      <c r="K68" s="1155" t="s">
        <v>3551</v>
      </c>
      <c r="L68" s="1155" t="s">
        <v>3482</v>
      </c>
      <c r="M68" s="1155" t="s">
        <v>3557</v>
      </c>
      <c r="N68" s="1155">
        <v>485000</v>
      </c>
      <c r="O68" s="1155">
        <v>97000</v>
      </c>
      <c r="P68" s="1155" t="s">
        <v>3553</v>
      </c>
      <c r="Q68" s="1155">
        <v>485000</v>
      </c>
      <c r="R68" s="1155">
        <v>75828.98</v>
      </c>
      <c r="S68" s="1155">
        <v>5055.26</v>
      </c>
      <c r="T68" s="1155">
        <v>51596</v>
      </c>
      <c r="U68" s="1155" t="s">
        <v>3485</v>
      </c>
      <c r="V68" s="1155">
        <v>0</v>
      </c>
      <c r="W68" s="1155">
        <v>509250</v>
      </c>
      <c r="X68" s="1155">
        <v>86000</v>
      </c>
      <c r="Y68" s="1155">
        <v>86000</v>
      </c>
      <c r="Z68" s="1155">
        <v>54176</v>
      </c>
      <c r="AA68" s="1155" t="s">
        <v>3531</v>
      </c>
    </row>
    <row r="69" spans="1:27">
      <c r="A69" s="1155" t="s">
        <v>3568</v>
      </c>
      <c r="B69" s="1155" t="s">
        <v>3409</v>
      </c>
      <c r="C69" s="1155" t="s">
        <v>3569</v>
      </c>
      <c r="D69" s="1155">
        <v>55613.32</v>
      </c>
      <c r="E69" s="1155">
        <v>83419.98</v>
      </c>
      <c r="F69" s="1155" t="s">
        <v>3476</v>
      </c>
      <c r="G69" s="1155" t="s">
        <v>3570</v>
      </c>
      <c r="H69" s="1155" t="s">
        <v>3571</v>
      </c>
      <c r="I69" s="1155" t="s">
        <v>3479</v>
      </c>
      <c r="J69" s="1155" t="s">
        <v>3572</v>
      </c>
      <c r="K69" s="1155" t="s">
        <v>3573</v>
      </c>
      <c r="L69" s="1155" t="s">
        <v>3482</v>
      </c>
      <c r="M69" s="1155" t="s">
        <v>3574</v>
      </c>
      <c r="N69" s="1155">
        <v>423000</v>
      </c>
      <c r="O69" s="1155">
        <v>85000</v>
      </c>
      <c r="P69" s="1155" t="s">
        <v>3575</v>
      </c>
      <c r="Q69" s="1155">
        <v>449500</v>
      </c>
      <c r="R69" s="1155">
        <v>80825.960000000006</v>
      </c>
      <c r="S69" s="1155">
        <v>5388.4</v>
      </c>
      <c r="T69" s="1155">
        <v>53884</v>
      </c>
      <c r="U69" s="1155" t="s">
        <v>3485</v>
      </c>
      <c r="V69" s="1155">
        <v>6.26</v>
      </c>
      <c r="W69" s="1155">
        <v>465300</v>
      </c>
      <c r="X69" s="1155">
        <v>83000</v>
      </c>
      <c r="Y69" s="1155">
        <v>83000</v>
      </c>
      <c r="Z69" s="1155">
        <v>55778</v>
      </c>
      <c r="AA69" s="1155" t="s">
        <v>3494</v>
      </c>
    </row>
    <row r="70" spans="1:27">
      <c r="A70" s="1155" t="s">
        <v>3576</v>
      </c>
      <c r="B70" s="1155" t="s">
        <v>3409</v>
      </c>
      <c r="C70" s="1155" t="s">
        <v>3577</v>
      </c>
      <c r="D70" s="1155">
        <v>81852.240000000005</v>
      </c>
      <c r="E70" s="1155">
        <v>229603.29</v>
      </c>
      <c r="F70" s="1155" t="s">
        <v>3497</v>
      </c>
      <c r="G70" s="1155" t="s">
        <v>3578</v>
      </c>
      <c r="H70" s="1155" t="s">
        <v>3579</v>
      </c>
      <c r="I70" s="1155" t="s">
        <v>3479</v>
      </c>
      <c r="J70" s="1155" t="s">
        <v>3572</v>
      </c>
      <c r="K70" s="1155" t="s">
        <v>3573</v>
      </c>
      <c r="L70" s="1155" t="s">
        <v>3482</v>
      </c>
      <c r="M70" s="1155" t="s">
        <v>3580</v>
      </c>
      <c r="N70" s="1155">
        <v>429000</v>
      </c>
      <c r="O70" s="1155">
        <v>86000</v>
      </c>
      <c r="P70" s="1155" t="s">
        <v>3575</v>
      </c>
      <c r="Q70" s="1155">
        <v>433400</v>
      </c>
      <c r="R70" s="1155">
        <v>52949.07</v>
      </c>
      <c r="S70" s="1155">
        <v>3529.94</v>
      </c>
      <c r="T70" s="1155">
        <v>18876</v>
      </c>
      <c r="U70" s="1155">
        <v>42825</v>
      </c>
      <c r="V70" s="1155">
        <v>1.03</v>
      </c>
      <c r="W70" s="1155">
        <v>493350</v>
      </c>
      <c r="X70" s="1155">
        <v>106000</v>
      </c>
      <c r="Y70" s="1155">
        <v>106000</v>
      </c>
      <c r="Z70" s="1155">
        <v>21487</v>
      </c>
      <c r="AA70" s="1155" t="s">
        <v>3486</v>
      </c>
    </row>
    <row r="71" spans="1:27">
      <c r="A71" s="1155" t="s">
        <v>3581</v>
      </c>
      <c r="B71" s="1155" t="s">
        <v>3409</v>
      </c>
      <c r="C71" s="1155" t="s">
        <v>3582</v>
      </c>
      <c r="D71" s="1155">
        <v>27366.58</v>
      </c>
      <c r="E71" s="1155">
        <v>68416</v>
      </c>
      <c r="F71" s="1155" t="s">
        <v>3476</v>
      </c>
      <c r="G71" s="1155" t="s">
        <v>3477</v>
      </c>
      <c r="H71" s="1155" t="s">
        <v>3544</v>
      </c>
      <c r="I71" s="1155" t="s">
        <v>3479</v>
      </c>
      <c r="J71" s="1155" t="s">
        <v>3572</v>
      </c>
      <c r="K71" s="1155" t="s">
        <v>3583</v>
      </c>
      <c r="L71" s="1155" t="s">
        <v>3482</v>
      </c>
      <c r="M71" s="1155" t="s">
        <v>3584</v>
      </c>
      <c r="N71" s="1155">
        <v>376000</v>
      </c>
      <c r="O71" s="1155">
        <v>75500</v>
      </c>
      <c r="P71" s="1155" t="s">
        <v>3575</v>
      </c>
      <c r="Q71" s="1155">
        <v>376000</v>
      </c>
      <c r="R71" s="1155">
        <v>137393.85999999999</v>
      </c>
      <c r="S71" s="1155">
        <v>9159.59</v>
      </c>
      <c r="T71" s="1155">
        <v>54958</v>
      </c>
      <c r="U71" s="1155" t="s">
        <v>3485</v>
      </c>
      <c r="V71" s="1155">
        <v>0</v>
      </c>
      <c r="W71" s="1155">
        <v>413600</v>
      </c>
      <c r="X71" s="1155">
        <v>75000</v>
      </c>
      <c r="Y71" s="1155">
        <v>75000</v>
      </c>
      <c r="Z71" s="1155">
        <v>60454</v>
      </c>
      <c r="AA71" s="1155" t="s">
        <v>3486</v>
      </c>
    </row>
    <row r="72" spans="1:27">
      <c r="A72" s="1155" t="s">
        <v>3585</v>
      </c>
      <c r="B72" s="1155" t="s">
        <v>3409</v>
      </c>
      <c r="C72" s="1155" t="s">
        <v>3586</v>
      </c>
      <c r="D72" s="1155">
        <v>43632.26</v>
      </c>
      <c r="E72" s="1155">
        <v>101601</v>
      </c>
      <c r="F72" s="1155" t="s">
        <v>3497</v>
      </c>
      <c r="G72" s="1155" t="s">
        <v>3587</v>
      </c>
      <c r="H72" s="1155" t="s">
        <v>3588</v>
      </c>
      <c r="I72" s="1155" t="s">
        <v>3479</v>
      </c>
      <c r="J72" s="1155" t="s">
        <v>3572</v>
      </c>
      <c r="K72" s="1155" t="s">
        <v>3573</v>
      </c>
      <c r="L72" s="1155" t="s">
        <v>3482</v>
      </c>
      <c r="M72" s="1155" t="s">
        <v>3589</v>
      </c>
      <c r="N72" s="1155">
        <v>390000</v>
      </c>
      <c r="O72" s="1155">
        <v>78000</v>
      </c>
      <c r="P72" s="1155" t="s">
        <v>3575</v>
      </c>
      <c r="Q72" s="1155">
        <v>418000</v>
      </c>
      <c r="R72" s="1155">
        <v>95800.68</v>
      </c>
      <c r="S72" s="1155">
        <v>6386.71</v>
      </c>
      <c r="T72" s="1155">
        <v>41141</v>
      </c>
      <c r="U72" s="1155" t="s">
        <v>3485</v>
      </c>
      <c r="V72" s="1155">
        <v>7.18</v>
      </c>
      <c r="W72" s="1155">
        <v>448500</v>
      </c>
      <c r="X72" s="1155">
        <v>112000</v>
      </c>
      <c r="Y72" s="1155">
        <v>112000</v>
      </c>
      <c r="Z72" s="1155">
        <v>44143</v>
      </c>
      <c r="AA72" s="1155" t="s">
        <v>3501</v>
      </c>
    </row>
    <row r="73" spans="1:27">
      <c r="A73" s="1155" t="s">
        <v>3590</v>
      </c>
      <c r="B73" s="1155" t="s">
        <v>3409</v>
      </c>
      <c r="C73" s="1155" t="s">
        <v>3591</v>
      </c>
      <c r="D73" s="1155">
        <v>31161.99</v>
      </c>
      <c r="E73" s="1155">
        <v>71300</v>
      </c>
      <c r="F73" s="1155" t="s">
        <v>3497</v>
      </c>
      <c r="G73" s="1155" t="s">
        <v>3540</v>
      </c>
      <c r="H73" s="1155" t="s">
        <v>3592</v>
      </c>
      <c r="I73" s="1155" t="s">
        <v>3479</v>
      </c>
      <c r="J73" s="1155" t="s">
        <v>3572</v>
      </c>
      <c r="K73" s="1155" t="s">
        <v>3593</v>
      </c>
      <c r="L73" s="1155" t="s">
        <v>3482</v>
      </c>
      <c r="M73" s="1155" t="s">
        <v>3594</v>
      </c>
      <c r="N73" s="1155">
        <v>465000</v>
      </c>
      <c r="O73" s="1155">
        <v>93000</v>
      </c>
      <c r="P73" s="1155" t="s">
        <v>3575</v>
      </c>
      <c r="Q73" s="1155">
        <v>493000</v>
      </c>
      <c r="R73" s="1155">
        <v>158205.56</v>
      </c>
      <c r="S73" s="1155">
        <v>10547.04</v>
      </c>
      <c r="T73" s="1155">
        <v>69144</v>
      </c>
      <c r="U73" s="1155">
        <v>76553</v>
      </c>
      <c r="V73" s="1155">
        <v>6.02</v>
      </c>
      <c r="W73" s="1155">
        <v>493000</v>
      </c>
      <c r="X73" s="1155">
        <v>112000</v>
      </c>
      <c r="Y73" s="1155">
        <v>112000</v>
      </c>
      <c r="Z73" s="1155">
        <v>69144</v>
      </c>
      <c r="AA73" s="1155" t="s">
        <v>3501</v>
      </c>
    </row>
    <row r="74" spans="1:27">
      <c r="A74" s="1155" t="s">
        <v>3595</v>
      </c>
      <c r="B74" s="1155" t="s">
        <v>3409</v>
      </c>
      <c r="C74" s="1155" t="s">
        <v>3596</v>
      </c>
      <c r="D74" s="1155">
        <v>25289.72</v>
      </c>
      <c r="E74" s="1155">
        <v>61500</v>
      </c>
      <c r="F74" s="1155" t="s">
        <v>3476</v>
      </c>
      <c r="G74" s="1155" t="s">
        <v>3477</v>
      </c>
      <c r="H74" s="1155" t="s">
        <v>3597</v>
      </c>
      <c r="I74" s="1155" t="s">
        <v>3479</v>
      </c>
      <c r="J74" s="1155" t="s">
        <v>3572</v>
      </c>
      <c r="K74" s="1155" t="s">
        <v>3593</v>
      </c>
      <c r="L74" s="1155" t="s">
        <v>3482</v>
      </c>
      <c r="M74" s="1155" t="s">
        <v>3594</v>
      </c>
      <c r="N74" s="1155">
        <v>419000</v>
      </c>
      <c r="O74" s="1155">
        <v>84000</v>
      </c>
      <c r="P74" s="1155" t="s">
        <v>3575</v>
      </c>
      <c r="Q74" s="1155">
        <v>444000</v>
      </c>
      <c r="R74" s="1155">
        <v>175565.4</v>
      </c>
      <c r="S74" s="1155">
        <v>11704.36</v>
      </c>
      <c r="T74" s="1155">
        <v>72195</v>
      </c>
      <c r="U74" s="1155">
        <v>80289</v>
      </c>
      <c r="V74" s="1155">
        <v>5.97</v>
      </c>
      <c r="W74" s="1155">
        <v>444000</v>
      </c>
      <c r="X74" s="1155">
        <v>112000</v>
      </c>
      <c r="Y74" s="1155">
        <v>112000</v>
      </c>
      <c r="Z74" s="1155">
        <v>72195</v>
      </c>
      <c r="AA74" s="1155" t="s">
        <v>3501</v>
      </c>
    </row>
    <row r="75" spans="1:27">
      <c r="A75" s="1155" t="s">
        <v>3598</v>
      </c>
      <c r="B75" s="1155" t="s">
        <v>3409</v>
      </c>
      <c r="C75" s="1155" t="s">
        <v>3599</v>
      </c>
      <c r="D75" s="1155">
        <v>59060.26</v>
      </c>
      <c r="E75" s="1155">
        <v>86350.39</v>
      </c>
      <c r="F75" s="1155" t="s">
        <v>3497</v>
      </c>
      <c r="G75" s="1155" t="s">
        <v>3540</v>
      </c>
      <c r="H75" s="1155" t="s">
        <v>3600</v>
      </c>
      <c r="I75" s="1155" t="s">
        <v>3479</v>
      </c>
      <c r="J75" s="1155" t="s">
        <v>3572</v>
      </c>
      <c r="K75" s="1155" t="s">
        <v>3573</v>
      </c>
      <c r="L75" s="1155" t="s">
        <v>3482</v>
      </c>
      <c r="M75" s="1155" t="s">
        <v>3601</v>
      </c>
      <c r="N75" s="1155">
        <v>426000</v>
      </c>
      <c r="O75" s="1155">
        <v>85500</v>
      </c>
      <c r="P75" s="1155" t="s">
        <v>3575</v>
      </c>
      <c r="Q75" s="1155">
        <v>450000</v>
      </c>
      <c r="R75" s="1155">
        <v>76193.37</v>
      </c>
      <c r="S75" s="1155">
        <v>5079.5600000000004</v>
      </c>
      <c r="T75" s="1155">
        <v>52113</v>
      </c>
      <c r="U75" s="1155" t="s">
        <v>3485</v>
      </c>
      <c r="V75" s="1155">
        <v>5.63</v>
      </c>
      <c r="W75" s="1155">
        <v>468600</v>
      </c>
      <c r="X75" s="1155">
        <v>83000</v>
      </c>
      <c r="Y75" s="1155">
        <v>83000</v>
      </c>
      <c r="Z75" s="1155">
        <v>54267</v>
      </c>
      <c r="AA75" s="1155" t="s">
        <v>3494</v>
      </c>
    </row>
    <row r="76" spans="1:27">
      <c r="A76" s="1155" t="s">
        <v>3602</v>
      </c>
      <c r="B76" s="1155" t="s">
        <v>3409</v>
      </c>
      <c r="C76" s="1155" t="s">
        <v>3603</v>
      </c>
      <c r="D76" s="1155">
        <v>23471.66</v>
      </c>
      <c r="E76" s="1155">
        <v>70415</v>
      </c>
      <c r="F76" s="1155" t="s">
        <v>3497</v>
      </c>
      <c r="G76" s="1155" t="s">
        <v>3604</v>
      </c>
      <c r="H76" s="1155" t="s">
        <v>3605</v>
      </c>
      <c r="I76" s="1155" t="s">
        <v>3479</v>
      </c>
      <c r="J76" s="1155" t="s">
        <v>3606</v>
      </c>
      <c r="K76" s="1155" t="s">
        <v>3607</v>
      </c>
      <c r="L76" s="1155" t="s">
        <v>3482</v>
      </c>
      <c r="M76" s="1155" t="s">
        <v>3608</v>
      </c>
      <c r="N76" s="1155">
        <v>243500</v>
      </c>
      <c r="O76" s="1155">
        <v>49000</v>
      </c>
      <c r="P76" s="1155" t="s">
        <v>3609</v>
      </c>
      <c r="Q76" s="1155">
        <v>280000</v>
      </c>
      <c r="R76" s="1155">
        <v>119292.8</v>
      </c>
      <c r="S76" s="1155">
        <v>7952.85</v>
      </c>
      <c r="T76" s="1155">
        <v>39764</v>
      </c>
      <c r="U76" s="1155" t="s">
        <v>3485</v>
      </c>
      <c r="V76" s="1155">
        <v>14.99</v>
      </c>
      <c r="W76" s="1155">
        <v>280000</v>
      </c>
      <c r="X76" s="1155" t="s">
        <v>3485</v>
      </c>
      <c r="Y76" s="1155" t="s">
        <v>3485</v>
      </c>
      <c r="Z76" s="1155">
        <v>39764</v>
      </c>
      <c r="AA76" s="1155" t="s">
        <v>3531</v>
      </c>
    </row>
    <row r="77" spans="1:27">
      <c r="A77" s="1155" t="s">
        <v>3610</v>
      </c>
      <c r="B77" s="1155" t="s">
        <v>3409</v>
      </c>
      <c r="C77" s="1155" t="s">
        <v>3611</v>
      </c>
      <c r="D77" s="1155">
        <v>57020.91</v>
      </c>
      <c r="E77" s="1155">
        <v>92371</v>
      </c>
      <c r="F77" s="1155" t="s">
        <v>3476</v>
      </c>
      <c r="G77" s="1155" t="s">
        <v>3477</v>
      </c>
      <c r="H77" s="1155" t="s">
        <v>3612</v>
      </c>
      <c r="I77" s="1155" t="s">
        <v>3479</v>
      </c>
      <c r="J77" s="1155" t="s">
        <v>3606</v>
      </c>
      <c r="K77" s="1155" t="s">
        <v>3613</v>
      </c>
      <c r="L77" s="1155" t="s">
        <v>3482</v>
      </c>
      <c r="M77" s="1155" t="s">
        <v>3614</v>
      </c>
      <c r="N77" s="1155">
        <v>621000</v>
      </c>
      <c r="O77" s="1155">
        <v>125000</v>
      </c>
      <c r="P77" s="1155" t="s">
        <v>3609</v>
      </c>
      <c r="Q77" s="1155">
        <v>637000</v>
      </c>
      <c r="R77" s="1155">
        <v>111713.41</v>
      </c>
      <c r="S77" s="1155">
        <v>7447.56</v>
      </c>
      <c r="T77" s="1155">
        <v>68961</v>
      </c>
      <c r="U77" s="1155" t="s">
        <v>3485</v>
      </c>
      <c r="V77" s="1155">
        <v>2.58</v>
      </c>
      <c r="W77" s="1155">
        <v>637000</v>
      </c>
      <c r="X77" s="1155" t="s">
        <v>3485</v>
      </c>
      <c r="Y77" s="1155" t="s">
        <v>3485</v>
      </c>
      <c r="Z77" s="1155">
        <v>68961</v>
      </c>
      <c r="AA77" s="1155" t="s">
        <v>3531</v>
      </c>
    </row>
    <row r="78" spans="1:27">
      <c r="A78" s="1155" t="s">
        <v>3615</v>
      </c>
      <c r="B78" s="1155" t="s">
        <v>3409</v>
      </c>
      <c r="C78" s="1155" t="s">
        <v>3616</v>
      </c>
      <c r="D78" s="1155">
        <v>85059.12</v>
      </c>
      <c r="E78" s="1155">
        <v>242377.36</v>
      </c>
      <c r="F78" s="1155" t="s">
        <v>3497</v>
      </c>
      <c r="G78" s="1155" t="s">
        <v>3604</v>
      </c>
      <c r="H78" s="1155" t="s">
        <v>3508</v>
      </c>
      <c r="I78" s="1155" t="s">
        <v>3479</v>
      </c>
      <c r="J78" s="1155" t="s">
        <v>3606</v>
      </c>
      <c r="K78" s="1155" t="s">
        <v>3613</v>
      </c>
      <c r="L78" s="1155" t="s">
        <v>3482</v>
      </c>
      <c r="M78" s="1155" t="s">
        <v>3617</v>
      </c>
      <c r="N78" s="1155">
        <v>593000</v>
      </c>
      <c r="O78" s="1155">
        <v>120000</v>
      </c>
      <c r="P78" s="1155" t="s">
        <v>3609</v>
      </c>
      <c r="Q78" s="1155">
        <v>682000</v>
      </c>
      <c r="R78" s="1155">
        <v>80179.520000000004</v>
      </c>
      <c r="S78" s="1155">
        <v>5345.3</v>
      </c>
      <c r="T78" s="1155">
        <v>28138</v>
      </c>
      <c r="U78" s="1155" t="s">
        <v>3485</v>
      </c>
      <c r="V78" s="1155">
        <v>15.01</v>
      </c>
      <c r="W78" s="1155">
        <v>682000</v>
      </c>
      <c r="X78" s="1155" t="s">
        <v>3485</v>
      </c>
      <c r="Y78" s="1155" t="s">
        <v>3485</v>
      </c>
      <c r="Z78" s="1155">
        <v>28138</v>
      </c>
      <c r="AA78" s="1155" t="s">
        <v>3494</v>
      </c>
    </row>
    <row r="79" spans="1:27">
      <c r="A79" s="1155" t="s">
        <v>3618</v>
      </c>
      <c r="B79" s="1155" t="s">
        <v>3409</v>
      </c>
      <c r="C79" s="1155" t="s">
        <v>3619</v>
      </c>
      <c r="D79" s="1155">
        <v>32382.01</v>
      </c>
      <c r="E79" s="1155">
        <v>80955</v>
      </c>
      <c r="F79" s="1155" t="s">
        <v>3476</v>
      </c>
      <c r="G79" s="1155" t="s">
        <v>3477</v>
      </c>
      <c r="H79" s="1155" t="s">
        <v>3620</v>
      </c>
      <c r="I79" s="1155" t="s">
        <v>3479</v>
      </c>
      <c r="J79" s="1155" t="s">
        <v>3606</v>
      </c>
      <c r="K79" s="1155" t="s">
        <v>3621</v>
      </c>
      <c r="L79" s="1155" t="s">
        <v>3482</v>
      </c>
      <c r="M79" s="1155" t="s">
        <v>3622</v>
      </c>
      <c r="N79" s="1155">
        <v>300000</v>
      </c>
      <c r="O79" s="1155">
        <v>60000</v>
      </c>
      <c r="P79" s="1155" t="s">
        <v>3609</v>
      </c>
      <c r="Q79" s="1155">
        <v>315000</v>
      </c>
      <c r="R79" s="1155">
        <v>97276.23</v>
      </c>
      <c r="S79" s="1155">
        <v>6485.08</v>
      </c>
      <c r="T79" s="1155">
        <v>38911</v>
      </c>
      <c r="U79" s="1155" t="s">
        <v>3485</v>
      </c>
      <c r="V79" s="1155">
        <v>5</v>
      </c>
      <c r="W79" s="1155" t="s">
        <v>3485</v>
      </c>
      <c r="X79" s="1155" t="s">
        <v>3485</v>
      </c>
      <c r="Y79" s="1155" t="s">
        <v>3485</v>
      </c>
      <c r="Z79" s="1155" t="s">
        <v>3485</v>
      </c>
      <c r="AA79" s="1155" t="s">
        <v>3531</v>
      </c>
    </row>
    <row r="80" spans="1:27">
      <c r="A80" s="1155" t="s">
        <v>3623</v>
      </c>
      <c r="B80" s="1155" t="s">
        <v>3409</v>
      </c>
      <c r="C80" s="1155" t="s">
        <v>3624</v>
      </c>
      <c r="D80" s="1155">
        <v>41186.94</v>
      </c>
      <c r="E80" s="1155">
        <v>102967</v>
      </c>
      <c r="F80" s="1155" t="s">
        <v>3476</v>
      </c>
      <c r="G80" s="1155" t="s">
        <v>3477</v>
      </c>
      <c r="H80" s="1155" t="s">
        <v>3504</v>
      </c>
      <c r="I80" s="1155" t="s">
        <v>3479</v>
      </c>
      <c r="J80" s="1155" t="s">
        <v>3606</v>
      </c>
      <c r="K80" s="1155" t="s">
        <v>3625</v>
      </c>
      <c r="L80" s="1155" t="s">
        <v>3482</v>
      </c>
      <c r="M80" s="1155" t="s">
        <v>3626</v>
      </c>
      <c r="N80" s="1155">
        <v>443000</v>
      </c>
      <c r="O80" s="1155">
        <v>89000</v>
      </c>
      <c r="P80" s="1155" t="s">
        <v>3609</v>
      </c>
      <c r="Q80" s="1155">
        <v>509400</v>
      </c>
      <c r="R80" s="1155">
        <v>123679.98</v>
      </c>
      <c r="S80" s="1155">
        <v>8245.33</v>
      </c>
      <c r="T80" s="1155">
        <v>49472</v>
      </c>
      <c r="U80" s="1155" t="s">
        <v>3485</v>
      </c>
      <c r="V80" s="1155">
        <v>14.99</v>
      </c>
      <c r="W80" s="1155">
        <v>509400</v>
      </c>
      <c r="X80" s="1155" t="s">
        <v>3485</v>
      </c>
      <c r="Y80" s="1155" t="s">
        <v>3485</v>
      </c>
      <c r="Z80" s="1155">
        <v>49472</v>
      </c>
      <c r="AA80" s="1155" t="s">
        <v>3531</v>
      </c>
    </row>
    <row r="81" spans="1:27">
      <c r="A81" s="1155" t="s">
        <v>3627</v>
      </c>
      <c r="B81" s="1155" t="s">
        <v>3409</v>
      </c>
      <c r="C81" s="1155" t="s">
        <v>3628</v>
      </c>
      <c r="D81" s="1155">
        <v>74400.31</v>
      </c>
      <c r="E81" s="1155">
        <v>171120.71</v>
      </c>
      <c r="F81" s="1155" t="s">
        <v>3476</v>
      </c>
      <c r="G81" s="1155" t="s">
        <v>3477</v>
      </c>
      <c r="H81" s="1155" t="s">
        <v>3629</v>
      </c>
      <c r="I81" s="1155" t="s">
        <v>3479</v>
      </c>
      <c r="J81" s="1155" t="s">
        <v>3606</v>
      </c>
      <c r="K81" s="1155" t="s">
        <v>3630</v>
      </c>
      <c r="L81" s="1155" t="s">
        <v>3482</v>
      </c>
      <c r="M81" s="1155" t="s">
        <v>3631</v>
      </c>
      <c r="N81" s="1155">
        <v>590000</v>
      </c>
      <c r="O81" s="1155">
        <v>120000</v>
      </c>
      <c r="P81" s="1155" t="s">
        <v>3609</v>
      </c>
      <c r="Q81" s="1155">
        <v>620000</v>
      </c>
      <c r="R81" s="1155">
        <v>83332.98</v>
      </c>
      <c r="S81" s="1155">
        <v>5555.53</v>
      </c>
      <c r="T81" s="1155">
        <v>36232</v>
      </c>
      <c r="U81" s="1155" t="s">
        <v>3485</v>
      </c>
      <c r="V81" s="1155">
        <v>5.08</v>
      </c>
      <c r="W81" s="1155">
        <v>620000</v>
      </c>
      <c r="X81" s="1155" t="s">
        <v>3485</v>
      </c>
      <c r="Y81" s="1155" t="s">
        <v>3485</v>
      </c>
      <c r="Z81" s="1155">
        <v>36232</v>
      </c>
      <c r="AA81" s="1155" t="s">
        <v>3494</v>
      </c>
    </row>
    <row r="82" spans="1:27">
      <c r="A82" s="1155" t="s">
        <v>3632</v>
      </c>
      <c r="B82" s="1155" t="s">
        <v>3409</v>
      </c>
      <c r="C82" s="1155" t="s">
        <v>3633</v>
      </c>
      <c r="D82" s="1155">
        <v>48808.67</v>
      </c>
      <c r="E82" s="1155">
        <v>122022</v>
      </c>
      <c r="F82" s="1155" t="s">
        <v>3476</v>
      </c>
      <c r="G82" s="1155" t="s">
        <v>3477</v>
      </c>
      <c r="H82" s="1155" t="s">
        <v>3620</v>
      </c>
      <c r="I82" s="1155" t="s">
        <v>3479</v>
      </c>
      <c r="J82" s="1155" t="s">
        <v>3606</v>
      </c>
      <c r="K82" s="1155" t="s">
        <v>3607</v>
      </c>
      <c r="L82" s="1155" t="s">
        <v>3482</v>
      </c>
      <c r="M82" s="1155" t="s">
        <v>3634</v>
      </c>
      <c r="N82" s="1155">
        <v>519000</v>
      </c>
      <c r="O82" s="1155">
        <v>104000</v>
      </c>
      <c r="P82" s="1155" t="s">
        <v>3609</v>
      </c>
      <c r="Q82" s="1155">
        <v>545000</v>
      </c>
      <c r="R82" s="1155">
        <v>111660.49</v>
      </c>
      <c r="S82" s="1155">
        <v>7444.03</v>
      </c>
      <c r="T82" s="1155">
        <v>44664</v>
      </c>
      <c r="U82" s="1155" t="s">
        <v>3485</v>
      </c>
      <c r="V82" s="1155">
        <v>5.01</v>
      </c>
      <c r="W82" s="1155">
        <v>545000</v>
      </c>
      <c r="X82" s="1155" t="s">
        <v>3485</v>
      </c>
      <c r="Y82" s="1155" t="s">
        <v>3485</v>
      </c>
      <c r="Z82" s="1155">
        <v>44664</v>
      </c>
      <c r="AA82" s="1155" t="s">
        <v>3531</v>
      </c>
    </row>
    <row r="83" spans="1:27">
      <c r="A83" s="1155" t="s">
        <v>3635</v>
      </c>
      <c r="B83" s="1155" t="s">
        <v>3409</v>
      </c>
      <c r="C83" s="1155" t="s">
        <v>3636</v>
      </c>
      <c r="D83" s="1155">
        <v>38953.300000000003</v>
      </c>
      <c r="E83" s="1155">
        <v>50639</v>
      </c>
      <c r="F83" s="1155" t="s">
        <v>3476</v>
      </c>
      <c r="G83" s="1155" t="s">
        <v>3477</v>
      </c>
      <c r="H83" s="1155" t="s">
        <v>3637</v>
      </c>
      <c r="I83" s="1155" t="s">
        <v>3479</v>
      </c>
      <c r="J83" s="1155" t="s">
        <v>3606</v>
      </c>
      <c r="K83" s="1155" t="s">
        <v>3625</v>
      </c>
      <c r="L83" s="1155" t="s">
        <v>3482</v>
      </c>
      <c r="M83" s="1155" t="s">
        <v>3638</v>
      </c>
      <c r="N83" s="1155">
        <v>258300</v>
      </c>
      <c r="O83" s="1155">
        <v>51660</v>
      </c>
      <c r="P83" s="1155" t="s">
        <v>3609</v>
      </c>
      <c r="Q83" s="1155">
        <v>268300</v>
      </c>
      <c r="R83" s="1155">
        <v>68877.350000000006</v>
      </c>
      <c r="S83" s="1155">
        <v>4591.82</v>
      </c>
      <c r="T83" s="1155">
        <v>52983</v>
      </c>
      <c r="U83" s="1155" t="s">
        <v>3485</v>
      </c>
      <c r="V83" s="1155">
        <v>3.87</v>
      </c>
      <c r="W83" s="1155">
        <v>268300</v>
      </c>
      <c r="X83" s="1155" t="s">
        <v>3485</v>
      </c>
      <c r="Y83" s="1155" t="s">
        <v>3485</v>
      </c>
      <c r="Z83" s="1155">
        <v>52983</v>
      </c>
      <c r="AA83" s="1155" t="s">
        <v>3522</v>
      </c>
    </row>
    <row r="84" spans="1:27">
      <c r="A84" s="1155" t="s">
        <v>3639</v>
      </c>
      <c r="B84" s="1155" t="s">
        <v>3409</v>
      </c>
      <c r="C84" s="1155" t="s">
        <v>3640</v>
      </c>
      <c r="D84" s="1155">
        <v>17102.490000000002</v>
      </c>
      <c r="E84" s="1155">
        <v>47887</v>
      </c>
      <c r="F84" s="1155" t="s">
        <v>3476</v>
      </c>
      <c r="G84" s="1155" t="s">
        <v>3477</v>
      </c>
      <c r="H84" s="1155" t="s">
        <v>3508</v>
      </c>
      <c r="I84" s="1155" t="s">
        <v>3479</v>
      </c>
      <c r="J84" s="1155" t="s">
        <v>3606</v>
      </c>
      <c r="K84" s="1155" t="s">
        <v>3641</v>
      </c>
      <c r="L84" s="1155" t="s">
        <v>3482</v>
      </c>
      <c r="M84" s="1155" t="s">
        <v>3642</v>
      </c>
      <c r="N84" s="1155">
        <v>217000</v>
      </c>
      <c r="O84" s="1155">
        <v>44000</v>
      </c>
      <c r="P84" s="1155" t="s">
        <v>3609</v>
      </c>
      <c r="Q84" s="1155">
        <v>228000</v>
      </c>
      <c r="R84" s="1155">
        <v>133313.92000000001</v>
      </c>
      <c r="S84" s="1155">
        <v>8887.59</v>
      </c>
      <c r="T84" s="1155">
        <v>47612</v>
      </c>
      <c r="U84" s="1155" t="s">
        <v>3485</v>
      </c>
      <c r="V84" s="1155">
        <v>5.07</v>
      </c>
      <c r="W84" s="1155">
        <v>228000</v>
      </c>
      <c r="X84" s="1155" t="s">
        <v>3485</v>
      </c>
      <c r="Y84" s="1155" t="s">
        <v>3485</v>
      </c>
      <c r="Z84" s="1155">
        <v>47612</v>
      </c>
      <c r="AA84" s="1155" t="s">
        <v>3494</v>
      </c>
    </row>
    <row r="85" spans="1:27">
      <c r="A85" s="1155" t="s">
        <v>3643</v>
      </c>
      <c r="B85" s="1155" t="s">
        <v>3409</v>
      </c>
      <c r="C85" s="1155" t="s">
        <v>3644</v>
      </c>
      <c r="D85" s="1155">
        <v>90083.7</v>
      </c>
      <c r="E85" s="1155">
        <v>126117.18</v>
      </c>
      <c r="F85" s="1155" t="s">
        <v>3476</v>
      </c>
      <c r="G85" s="1155" t="s">
        <v>3477</v>
      </c>
      <c r="H85" s="1155" t="s">
        <v>3489</v>
      </c>
      <c r="I85" s="1155" t="s">
        <v>3479</v>
      </c>
      <c r="J85" s="1155" t="s">
        <v>3606</v>
      </c>
      <c r="K85" s="1155" t="s">
        <v>3630</v>
      </c>
      <c r="L85" s="1155" t="s">
        <v>3482</v>
      </c>
      <c r="M85" s="1155" t="s">
        <v>3645</v>
      </c>
      <c r="N85" s="1155">
        <v>367000</v>
      </c>
      <c r="O85" s="1155">
        <v>75000</v>
      </c>
      <c r="P85" s="1155" t="s">
        <v>3609</v>
      </c>
      <c r="Q85" s="1155">
        <v>371000</v>
      </c>
      <c r="R85" s="1155">
        <v>41183.919999999998</v>
      </c>
      <c r="S85" s="1155">
        <v>2745.59</v>
      </c>
      <c r="T85" s="1155">
        <v>29417</v>
      </c>
      <c r="U85" s="1155" t="s">
        <v>3485</v>
      </c>
      <c r="V85" s="1155">
        <v>1.0900000000000001</v>
      </c>
      <c r="W85" s="1155">
        <v>403700</v>
      </c>
      <c r="X85" s="1155" t="s">
        <v>3485</v>
      </c>
      <c r="Y85" s="1155" t="s">
        <v>3485</v>
      </c>
      <c r="Z85" s="1155">
        <v>32010</v>
      </c>
      <c r="AA85" s="1155" t="s">
        <v>3522</v>
      </c>
    </row>
    <row r="86" spans="1:27">
      <c r="A86" s="1155" t="s">
        <v>3646</v>
      </c>
      <c r="B86" s="1155" t="s">
        <v>3409</v>
      </c>
      <c r="C86" s="1155" t="s">
        <v>3647</v>
      </c>
      <c r="D86" s="1155">
        <v>34118.69</v>
      </c>
      <c r="E86" s="1155">
        <v>85297</v>
      </c>
      <c r="F86" s="1155" t="s">
        <v>3476</v>
      </c>
      <c r="G86" s="1155" t="s">
        <v>3477</v>
      </c>
      <c r="H86" s="1155" t="s">
        <v>3504</v>
      </c>
      <c r="I86" s="1155" t="s">
        <v>3479</v>
      </c>
      <c r="J86" s="1155" t="s">
        <v>3606</v>
      </c>
      <c r="K86" s="1155" t="s">
        <v>3625</v>
      </c>
      <c r="L86" s="1155" t="s">
        <v>3482</v>
      </c>
      <c r="M86" s="1155" t="s">
        <v>3648</v>
      </c>
      <c r="N86" s="1155">
        <v>367000</v>
      </c>
      <c r="O86" s="1155">
        <v>74000</v>
      </c>
      <c r="P86" s="1155" t="s">
        <v>3609</v>
      </c>
      <c r="Q86" s="1155">
        <v>422000</v>
      </c>
      <c r="R86" s="1155">
        <v>123685.87</v>
      </c>
      <c r="S86" s="1155">
        <v>8245.7199999999993</v>
      </c>
      <c r="T86" s="1155">
        <v>49474</v>
      </c>
      <c r="U86" s="1155" t="s">
        <v>3485</v>
      </c>
      <c r="V86" s="1155">
        <v>14.99</v>
      </c>
      <c r="W86" s="1155">
        <v>422000</v>
      </c>
      <c r="X86" s="1155" t="s">
        <v>3485</v>
      </c>
      <c r="Y86" s="1155" t="s">
        <v>3485</v>
      </c>
      <c r="Z86" s="1155">
        <v>49474</v>
      </c>
      <c r="AA86" s="1155" t="s">
        <v>3531</v>
      </c>
    </row>
    <row r="87" spans="1:27">
      <c r="A87" s="1155" t="s">
        <v>3649</v>
      </c>
      <c r="B87" s="1155" t="s">
        <v>3409</v>
      </c>
      <c r="C87" s="1155" t="s">
        <v>3650</v>
      </c>
      <c r="D87" s="1155">
        <v>32742.57</v>
      </c>
      <c r="E87" s="1155">
        <v>73016</v>
      </c>
      <c r="F87" s="1155" t="s">
        <v>3497</v>
      </c>
      <c r="G87" s="1155" t="s">
        <v>3513</v>
      </c>
      <c r="H87" s="1155" t="s">
        <v>3651</v>
      </c>
      <c r="I87" s="1155" t="s">
        <v>3479</v>
      </c>
      <c r="J87" s="1155" t="s">
        <v>3606</v>
      </c>
      <c r="K87" s="1155" t="s">
        <v>3607</v>
      </c>
      <c r="L87" s="1155" t="s">
        <v>3482</v>
      </c>
      <c r="M87" s="1155" t="s">
        <v>3652</v>
      </c>
      <c r="N87" s="1155">
        <v>294500</v>
      </c>
      <c r="O87" s="1155">
        <v>59000</v>
      </c>
      <c r="P87" s="1155" t="s">
        <v>3609</v>
      </c>
      <c r="Q87" s="1155">
        <v>309500</v>
      </c>
      <c r="R87" s="1155">
        <v>94525.26</v>
      </c>
      <c r="S87" s="1155">
        <v>6301.68</v>
      </c>
      <c r="T87" s="1155">
        <v>42388</v>
      </c>
      <c r="U87" s="1155" t="s">
        <v>3485</v>
      </c>
      <c r="V87" s="1155">
        <v>5.09</v>
      </c>
      <c r="W87" s="1155">
        <v>309500</v>
      </c>
      <c r="X87" s="1155" t="s">
        <v>3485</v>
      </c>
      <c r="Y87" s="1155" t="s">
        <v>3485</v>
      </c>
      <c r="Z87" s="1155">
        <v>42388</v>
      </c>
      <c r="AA87" s="1155" t="s">
        <v>3531</v>
      </c>
    </row>
    <row r="88" spans="1:27">
      <c r="A88" s="1155" t="s">
        <v>3653</v>
      </c>
      <c r="B88" s="1155" t="s">
        <v>3409</v>
      </c>
      <c r="C88" s="1155" t="s">
        <v>3654</v>
      </c>
      <c r="D88" s="1155">
        <v>52686.19</v>
      </c>
      <c r="E88" s="1155">
        <v>83160</v>
      </c>
      <c r="F88" s="1155" t="s">
        <v>3476</v>
      </c>
      <c r="G88" s="1155" t="s">
        <v>3477</v>
      </c>
      <c r="H88" s="1155" t="s">
        <v>3612</v>
      </c>
      <c r="I88" s="1155" t="s">
        <v>3479</v>
      </c>
      <c r="J88" s="1155" t="s">
        <v>3606</v>
      </c>
      <c r="K88" s="1155" t="s">
        <v>3613</v>
      </c>
      <c r="L88" s="1155" t="s">
        <v>3482</v>
      </c>
      <c r="M88" s="1155" t="s">
        <v>3655</v>
      </c>
      <c r="N88" s="1155">
        <v>559000</v>
      </c>
      <c r="O88" s="1155">
        <v>112000</v>
      </c>
      <c r="P88" s="1155" t="s">
        <v>3609</v>
      </c>
      <c r="Q88" s="1155">
        <v>573000</v>
      </c>
      <c r="R88" s="1155">
        <v>108757.16</v>
      </c>
      <c r="S88" s="1155">
        <v>7250.48</v>
      </c>
      <c r="T88" s="1155">
        <v>68903</v>
      </c>
      <c r="U88" s="1155" t="s">
        <v>3485</v>
      </c>
      <c r="V88" s="1155">
        <v>2.5</v>
      </c>
      <c r="W88" s="1155">
        <v>573000</v>
      </c>
      <c r="X88" s="1155" t="s">
        <v>3485</v>
      </c>
      <c r="Y88" s="1155" t="s">
        <v>3485</v>
      </c>
      <c r="Z88" s="1155">
        <v>68903</v>
      </c>
      <c r="AA88" s="1155" t="s">
        <v>3531</v>
      </c>
    </row>
    <row r="89" spans="1:27">
      <c r="A89" s="1155" t="s">
        <v>3656</v>
      </c>
      <c r="B89" s="1155" t="s">
        <v>3409</v>
      </c>
      <c r="C89" s="1155" t="s">
        <v>3657</v>
      </c>
      <c r="D89" s="1155">
        <v>57008.47</v>
      </c>
      <c r="E89" s="1155">
        <v>74111</v>
      </c>
      <c r="F89" s="1155" t="s">
        <v>3476</v>
      </c>
      <c r="G89" s="1155" t="s">
        <v>3477</v>
      </c>
      <c r="H89" s="1155" t="s">
        <v>3637</v>
      </c>
      <c r="I89" s="1155" t="s">
        <v>3479</v>
      </c>
      <c r="J89" s="1155" t="s">
        <v>3606</v>
      </c>
      <c r="K89" s="1155" t="s">
        <v>3641</v>
      </c>
      <c r="L89" s="1155" t="s">
        <v>3482</v>
      </c>
      <c r="M89" s="1155" t="s">
        <v>3658</v>
      </c>
      <c r="N89" s="1155">
        <v>378000</v>
      </c>
      <c r="O89" s="1155">
        <v>76000</v>
      </c>
      <c r="P89" s="1155" t="s">
        <v>3609</v>
      </c>
      <c r="Q89" s="1155">
        <v>392700</v>
      </c>
      <c r="R89" s="1155">
        <v>68884.5</v>
      </c>
      <c r="S89" s="1155">
        <v>4592.3</v>
      </c>
      <c r="T89" s="1155">
        <v>52988</v>
      </c>
      <c r="U89" s="1155" t="s">
        <v>3485</v>
      </c>
      <c r="V89" s="1155">
        <v>3.89</v>
      </c>
      <c r="W89" s="1155">
        <v>392700</v>
      </c>
      <c r="X89" s="1155" t="s">
        <v>3485</v>
      </c>
      <c r="Y89" s="1155" t="s">
        <v>3485</v>
      </c>
      <c r="Z89" s="1155">
        <v>52988</v>
      </c>
      <c r="AA89" s="1155" t="s">
        <v>3522</v>
      </c>
    </row>
    <row r="90" spans="1:27">
      <c r="A90" s="1155" t="s">
        <v>3659</v>
      </c>
      <c r="B90" s="1155" t="s">
        <v>3409</v>
      </c>
      <c r="C90" s="1155" t="s">
        <v>3660</v>
      </c>
      <c r="D90" s="1155">
        <v>26609.75</v>
      </c>
      <c r="E90" s="1155">
        <v>74507</v>
      </c>
      <c r="F90" s="1155" t="s">
        <v>3476</v>
      </c>
      <c r="G90" s="1155" t="s">
        <v>3477</v>
      </c>
      <c r="H90" s="1155" t="s">
        <v>3508</v>
      </c>
      <c r="I90" s="1155" t="s">
        <v>3479</v>
      </c>
      <c r="J90" s="1155" t="s">
        <v>3485</v>
      </c>
      <c r="K90" s="1155" t="s">
        <v>3661</v>
      </c>
      <c r="L90" s="1155" t="s">
        <v>3482</v>
      </c>
      <c r="M90" s="1155" t="s">
        <v>3662</v>
      </c>
      <c r="N90" s="1155">
        <v>338400</v>
      </c>
      <c r="O90" s="1155">
        <v>68000</v>
      </c>
      <c r="P90" s="1155" t="s">
        <v>3663</v>
      </c>
      <c r="Q90" s="1155">
        <v>350244</v>
      </c>
      <c r="R90" s="1155">
        <v>131622.44</v>
      </c>
      <c r="S90" s="1155">
        <v>8774.83</v>
      </c>
      <c r="T90" s="1155">
        <v>47008</v>
      </c>
      <c r="U90" s="1155" t="s">
        <v>3485</v>
      </c>
      <c r="V90" s="1155">
        <v>3.5</v>
      </c>
      <c r="W90" s="1155">
        <v>350244</v>
      </c>
      <c r="X90" s="1155" t="s">
        <v>3485</v>
      </c>
      <c r="Y90" s="1155">
        <v>71000</v>
      </c>
      <c r="Z90" s="1155">
        <v>47008</v>
      </c>
      <c r="AA90" s="1155" t="s">
        <v>3494</v>
      </c>
    </row>
    <row r="91" spans="1:27">
      <c r="A91" s="1155" t="s">
        <v>3664</v>
      </c>
      <c r="B91" s="1155" t="s">
        <v>3409</v>
      </c>
      <c r="C91" s="1155" t="s">
        <v>3665</v>
      </c>
      <c r="D91" s="1155">
        <v>41058.97</v>
      </c>
      <c r="E91" s="1155">
        <v>103031</v>
      </c>
      <c r="F91" s="1155" t="s">
        <v>3497</v>
      </c>
      <c r="G91" s="1155" t="s">
        <v>3666</v>
      </c>
      <c r="H91" s="1155" t="s">
        <v>3667</v>
      </c>
      <c r="I91" s="1155" t="s">
        <v>3479</v>
      </c>
      <c r="J91" s="1155" t="s">
        <v>3485</v>
      </c>
      <c r="K91" s="1155" t="s">
        <v>3668</v>
      </c>
      <c r="L91" s="1155" t="s">
        <v>3482</v>
      </c>
      <c r="M91" s="1155" t="s">
        <v>3669</v>
      </c>
      <c r="N91" s="1155">
        <v>379500</v>
      </c>
      <c r="O91" s="1155">
        <v>76000</v>
      </c>
      <c r="P91" s="1155" t="s">
        <v>3670</v>
      </c>
      <c r="Q91" s="1155">
        <v>480000</v>
      </c>
      <c r="R91" s="1155">
        <v>116905.02</v>
      </c>
      <c r="S91" s="1155">
        <v>7793.67</v>
      </c>
      <c r="T91" s="1155">
        <v>46588</v>
      </c>
      <c r="U91" s="1155" t="s">
        <v>3485</v>
      </c>
      <c r="V91" s="1155">
        <v>26.48</v>
      </c>
      <c r="W91" s="1155" t="s">
        <v>3485</v>
      </c>
      <c r="X91" s="1155" t="s">
        <v>3485</v>
      </c>
      <c r="Y91" s="1155" t="s">
        <v>3485</v>
      </c>
      <c r="Z91" s="1155" t="s">
        <v>3485</v>
      </c>
      <c r="AA91" s="1155" t="s">
        <v>3494</v>
      </c>
    </row>
    <row r="92" spans="1:27">
      <c r="A92" s="1155" t="s">
        <v>3671</v>
      </c>
      <c r="B92" s="1155" t="s">
        <v>3409</v>
      </c>
      <c r="C92" s="1155" t="s">
        <v>3672</v>
      </c>
      <c r="D92" s="1155">
        <v>44670.31</v>
      </c>
      <c r="E92" s="1155">
        <v>119857</v>
      </c>
      <c r="F92" s="1155" t="s">
        <v>3497</v>
      </c>
      <c r="G92" s="1155" t="s">
        <v>3666</v>
      </c>
      <c r="H92" s="1155" t="s">
        <v>3673</v>
      </c>
      <c r="I92" s="1155" t="s">
        <v>3479</v>
      </c>
      <c r="J92" s="1155" t="s">
        <v>3485</v>
      </c>
      <c r="K92" s="1155" t="s">
        <v>3668</v>
      </c>
      <c r="L92" s="1155" t="s">
        <v>3482</v>
      </c>
      <c r="M92" s="1155" t="s">
        <v>3674</v>
      </c>
      <c r="N92" s="1155">
        <v>250300</v>
      </c>
      <c r="O92" s="1155">
        <v>50100</v>
      </c>
      <c r="P92" s="1155" t="s">
        <v>3670</v>
      </c>
      <c r="Q92" s="1155">
        <v>296000</v>
      </c>
      <c r="R92" s="1155">
        <v>66263.25</v>
      </c>
      <c r="S92" s="1155">
        <v>4417.55</v>
      </c>
      <c r="T92" s="1155">
        <v>24696</v>
      </c>
      <c r="U92" s="1155" t="s">
        <v>3485</v>
      </c>
      <c r="V92" s="1155">
        <v>18.260000000000002</v>
      </c>
      <c r="W92" s="1155" t="s">
        <v>3485</v>
      </c>
      <c r="X92" s="1155" t="s">
        <v>3485</v>
      </c>
      <c r="Y92" s="1155" t="s">
        <v>3485</v>
      </c>
      <c r="Z92" s="1155" t="s">
        <v>3485</v>
      </c>
      <c r="AA92" s="1155" t="s">
        <v>3494</v>
      </c>
    </row>
    <row r="93" spans="1:27">
      <c r="A93" s="1155" t="s">
        <v>3675</v>
      </c>
      <c r="B93" s="1155" t="s">
        <v>3409</v>
      </c>
      <c r="C93" s="1155" t="s">
        <v>3676</v>
      </c>
      <c r="D93" s="1155">
        <v>17831.97</v>
      </c>
      <c r="E93" s="1155">
        <v>55141</v>
      </c>
      <c r="F93" s="1155" t="s">
        <v>3476</v>
      </c>
      <c r="G93" s="1155" t="s">
        <v>3477</v>
      </c>
      <c r="H93" s="1155" t="s">
        <v>3508</v>
      </c>
      <c r="I93" s="1155" t="s">
        <v>3479</v>
      </c>
      <c r="J93" s="1155" t="s">
        <v>3485</v>
      </c>
      <c r="K93" s="1155" t="s">
        <v>3677</v>
      </c>
      <c r="L93" s="1155" t="s">
        <v>3482</v>
      </c>
      <c r="M93" s="1155" t="s">
        <v>3678</v>
      </c>
      <c r="N93" s="1155">
        <v>295600</v>
      </c>
      <c r="O93" s="1155">
        <v>59200</v>
      </c>
      <c r="P93" s="1155" t="s">
        <v>3679</v>
      </c>
      <c r="Q93" s="1155">
        <v>420000</v>
      </c>
      <c r="R93" s="1155">
        <v>235532.03</v>
      </c>
      <c r="S93" s="1155">
        <v>15702.13</v>
      </c>
      <c r="T93" s="1155">
        <v>76168</v>
      </c>
      <c r="U93" s="1155" t="s">
        <v>3485</v>
      </c>
      <c r="V93" s="1155">
        <v>42.08</v>
      </c>
      <c r="W93" s="1155" t="s">
        <v>3485</v>
      </c>
      <c r="X93" s="1155" t="s">
        <v>3485</v>
      </c>
      <c r="Y93" s="1155" t="s">
        <v>3485</v>
      </c>
      <c r="Z93" s="1155" t="s">
        <v>3485</v>
      </c>
      <c r="AA93" s="1155" t="s">
        <v>3486</v>
      </c>
    </row>
    <row r="94" spans="1:27">
      <c r="A94" s="1155" t="s">
        <v>3680</v>
      </c>
      <c r="B94" s="1155" t="s">
        <v>3409</v>
      </c>
      <c r="C94" s="1155" t="s">
        <v>3681</v>
      </c>
      <c r="D94" s="1155">
        <v>29750.73</v>
      </c>
      <c r="E94" s="1155">
        <v>88484</v>
      </c>
      <c r="F94" s="1155" t="s">
        <v>3476</v>
      </c>
      <c r="G94" s="1155" t="s">
        <v>3477</v>
      </c>
      <c r="H94" s="1155" t="s">
        <v>3508</v>
      </c>
      <c r="I94" s="1155" t="s">
        <v>3479</v>
      </c>
      <c r="J94" s="1155" t="s">
        <v>3485</v>
      </c>
      <c r="K94" s="1155" t="s">
        <v>3677</v>
      </c>
      <c r="L94" s="1155" t="s">
        <v>3482</v>
      </c>
      <c r="M94" s="1155" t="s">
        <v>3682</v>
      </c>
      <c r="N94" s="1155">
        <v>474400</v>
      </c>
      <c r="O94" s="1155">
        <v>95000</v>
      </c>
      <c r="P94" s="1155" t="s">
        <v>3679</v>
      </c>
      <c r="Q94" s="1155">
        <v>654000</v>
      </c>
      <c r="R94" s="1155">
        <v>219826.53</v>
      </c>
      <c r="S94" s="1155">
        <v>14655.1</v>
      </c>
      <c r="T94" s="1155">
        <v>73912</v>
      </c>
      <c r="U94" s="1155" t="s">
        <v>3485</v>
      </c>
      <c r="V94" s="1155">
        <v>37.86</v>
      </c>
      <c r="W94" s="1155" t="s">
        <v>3485</v>
      </c>
      <c r="X94" s="1155" t="s">
        <v>3485</v>
      </c>
      <c r="Y94" s="1155" t="s">
        <v>3485</v>
      </c>
      <c r="Z94" s="1155" t="s">
        <v>3485</v>
      </c>
      <c r="AA94" s="1155" t="s">
        <v>3486</v>
      </c>
    </row>
    <row r="95" spans="1:27">
      <c r="A95" s="1155" t="s">
        <v>3683</v>
      </c>
      <c r="B95" s="1155" t="s">
        <v>3409</v>
      </c>
      <c r="C95" s="1155" t="s">
        <v>3684</v>
      </c>
      <c r="D95" s="1155">
        <v>20188.580000000002</v>
      </c>
      <c r="E95" s="1155">
        <v>48528</v>
      </c>
      <c r="F95" s="1155" t="s">
        <v>3497</v>
      </c>
      <c r="G95" s="1155" t="s">
        <v>3540</v>
      </c>
      <c r="H95" s="1155" t="s">
        <v>3685</v>
      </c>
      <c r="I95" s="1155" t="s">
        <v>3479</v>
      </c>
      <c r="J95" s="1155" t="s">
        <v>3485</v>
      </c>
      <c r="K95" s="1155" t="s">
        <v>3686</v>
      </c>
      <c r="L95" s="1155" t="s">
        <v>3482</v>
      </c>
      <c r="M95" s="1155" t="s">
        <v>3687</v>
      </c>
      <c r="N95" s="1155">
        <v>205500</v>
      </c>
      <c r="O95" s="1155">
        <v>41100</v>
      </c>
      <c r="P95" s="1155" t="s">
        <v>3688</v>
      </c>
      <c r="Q95" s="1155">
        <v>205500</v>
      </c>
      <c r="R95" s="1155">
        <v>101790.22</v>
      </c>
      <c r="S95" s="1155">
        <v>6786.01</v>
      </c>
      <c r="T95" s="1155">
        <v>42347</v>
      </c>
      <c r="U95" s="1155" t="s">
        <v>3485</v>
      </c>
      <c r="V95" s="1155">
        <v>0</v>
      </c>
      <c r="W95" s="1155" t="s">
        <v>3485</v>
      </c>
      <c r="X95" s="1155" t="s">
        <v>3485</v>
      </c>
      <c r="Y95" s="1155">
        <v>69422</v>
      </c>
      <c r="Z95" s="1155" t="s">
        <v>3485</v>
      </c>
      <c r="AA95" s="1155" t="s">
        <v>3494</v>
      </c>
    </row>
    <row r="96" spans="1:27">
      <c r="A96" s="1155" t="s">
        <v>3689</v>
      </c>
      <c r="B96" s="1155" t="s">
        <v>3409</v>
      </c>
      <c r="C96" s="1155" t="s">
        <v>3690</v>
      </c>
      <c r="D96" s="1155">
        <v>33194.400000000001</v>
      </c>
      <c r="E96" s="1155">
        <v>107437</v>
      </c>
      <c r="F96" s="1155" t="s">
        <v>3476</v>
      </c>
      <c r="G96" s="1155" t="s">
        <v>3477</v>
      </c>
      <c r="H96" s="1155" t="s">
        <v>3508</v>
      </c>
      <c r="I96" s="1155" t="s">
        <v>3479</v>
      </c>
      <c r="J96" s="1155" t="s">
        <v>3485</v>
      </c>
      <c r="K96" s="1155" t="s">
        <v>3691</v>
      </c>
      <c r="L96" s="1155" t="s">
        <v>3482</v>
      </c>
      <c r="M96" s="1155" t="s">
        <v>3692</v>
      </c>
      <c r="N96" s="1155">
        <v>571900</v>
      </c>
      <c r="O96" s="1155">
        <v>114400</v>
      </c>
      <c r="P96" s="1155" t="s">
        <v>3693</v>
      </c>
      <c r="Q96" s="1155">
        <v>722000</v>
      </c>
      <c r="R96" s="1155">
        <v>217506.56</v>
      </c>
      <c r="S96" s="1155">
        <v>14500.44</v>
      </c>
      <c r="T96" s="1155">
        <v>67202</v>
      </c>
      <c r="U96" s="1155" t="s">
        <v>3485</v>
      </c>
      <c r="V96" s="1155">
        <v>26.25</v>
      </c>
      <c r="W96" s="1155" t="s">
        <v>3485</v>
      </c>
      <c r="X96" s="1155" t="s">
        <v>3485</v>
      </c>
      <c r="Y96" s="1155" t="s">
        <v>3485</v>
      </c>
      <c r="Z96" s="1155" t="s">
        <v>3485</v>
      </c>
      <c r="AA96" s="1155" t="s">
        <v>3486</v>
      </c>
    </row>
    <row r="97" spans="1:27">
      <c r="A97" s="1155" t="s">
        <v>3694</v>
      </c>
      <c r="B97" s="1155" t="s">
        <v>3409</v>
      </c>
      <c r="C97" s="1155" t="s">
        <v>3695</v>
      </c>
      <c r="D97" s="1155">
        <v>80892.990000000005</v>
      </c>
      <c r="E97" s="1155">
        <v>112042</v>
      </c>
      <c r="F97" s="1155" t="s">
        <v>3497</v>
      </c>
      <c r="G97" s="1155" t="s">
        <v>3696</v>
      </c>
      <c r="H97" s="1155" t="s">
        <v>3697</v>
      </c>
      <c r="I97" s="1155" t="s">
        <v>3479</v>
      </c>
      <c r="J97" s="1155" t="s">
        <v>3485</v>
      </c>
      <c r="K97" s="1155" t="s">
        <v>3698</v>
      </c>
      <c r="L97" s="1155" t="s">
        <v>3482</v>
      </c>
      <c r="M97" s="1155" t="s">
        <v>3699</v>
      </c>
      <c r="N97" s="1155">
        <v>460000</v>
      </c>
      <c r="O97" s="1155">
        <v>92000</v>
      </c>
      <c r="P97" s="1155" t="s">
        <v>3700</v>
      </c>
      <c r="Q97" s="1155">
        <v>460000</v>
      </c>
      <c r="R97" s="1155">
        <v>56865.25</v>
      </c>
      <c r="S97" s="1155">
        <v>3791.02</v>
      </c>
      <c r="T97" s="1155">
        <v>41056</v>
      </c>
      <c r="U97" s="1155" t="s">
        <v>3485</v>
      </c>
      <c r="V97" s="1155">
        <v>0</v>
      </c>
      <c r="W97" s="1155" t="s">
        <v>3485</v>
      </c>
      <c r="X97" s="1155" t="s">
        <v>3485</v>
      </c>
      <c r="Y97" s="1155" t="s">
        <v>3485</v>
      </c>
      <c r="Z97" s="1155" t="s">
        <v>3485</v>
      </c>
      <c r="AA97" s="1155" t="s">
        <v>3522</v>
      </c>
    </row>
    <row r="98" spans="1:27">
      <c r="A98" s="1155" t="s">
        <v>3701</v>
      </c>
      <c r="B98" s="1155" t="s">
        <v>3409</v>
      </c>
      <c r="C98" s="1155" t="s">
        <v>3702</v>
      </c>
      <c r="D98" s="1155">
        <v>67309.960000000006</v>
      </c>
      <c r="E98" s="1155">
        <v>162845</v>
      </c>
      <c r="F98" s="1155" t="s">
        <v>3497</v>
      </c>
      <c r="G98" s="1155" t="s">
        <v>3703</v>
      </c>
      <c r="H98" s="1155" t="s">
        <v>3704</v>
      </c>
      <c r="I98" s="1155" t="s">
        <v>3479</v>
      </c>
      <c r="J98" s="1155" t="s">
        <v>3485</v>
      </c>
      <c r="K98" s="1155" t="s">
        <v>3705</v>
      </c>
      <c r="L98" s="1155" t="s">
        <v>3482</v>
      </c>
      <c r="M98" s="1155" t="s">
        <v>3706</v>
      </c>
      <c r="N98" s="1155">
        <v>603400</v>
      </c>
      <c r="O98" s="1155">
        <v>121000</v>
      </c>
      <c r="P98" s="1155" t="s">
        <v>3707</v>
      </c>
      <c r="Q98" s="1155">
        <v>760000</v>
      </c>
      <c r="R98" s="1155">
        <v>112910.48</v>
      </c>
      <c r="S98" s="1155">
        <v>7527.37</v>
      </c>
      <c r="T98" s="1155">
        <v>46670</v>
      </c>
      <c r="U98" s="1155" t="s">
        <v>3485</v>
      </c>
      <c r="V98" s="1155">
        <v>25.95</v>
      </c>
      <c r="W98" s="1155" t="s">
        <v>3485</v>
      </c>
      <c r="X98" s="1155" t="s">
        <v>3485</v>
      </c>
      <c r="Y98" s="1155" t="s">
        <v>3485</v>
      </c>
      <c r="Z98" s="1155" t="s">
        <v>3485</v>
      </c>
      <c r="AA98" s="1155" t="s">
        <v>3494</v>
      </c>
    </row>
    <row r="99" spans="1:27">
      <c r="A99" s="1155" t="s">
        <v>3708</v>
      </c>
      <c r="B99" s="1155" t="s">
        <v>3409</v>
      </c>
      <c r="C99" s="1155" t="s">
        <v>3709</v>
      </c>
      <c r="D99" s="1155">
        <v>47115.37</v>
      </c>
      <c r="E99" s="1155">
        <v>99865</v>
      </c>
      <c r="F99" s="1155" t="s">
        <v>3497</v>
      </c>
      <c r="G99" s="1155" t="s">
        <v>3540</v>
      </c>
      <c r="H99" s="1155" t="s">
        <v>3710</v>
      </c>
      <c r="I99" s="1155" t="s">
        <v>3711</v>
      </c>
      <c r="J99" s="1155" t="s">
        <v>3485</v>
      </c>
      <c r="K99" s="1155" t="s">
        <v>3712</v>
      </c>
      <c r="L99" s="1155" t="s">
        <v>3482</v>
      </c>
      <c r="M99" s="1155" t="s">
        <v>3713</v>
      </c>
      <c r="N99" s="1155" t="s">
        <v>3485</v>
      </c>
      <c r="O99" s="1155">
        <v>56500</v>
      </c>
      <c r="P99" s="1155" t="s">
        <v>3714</v>
      </c>
      <c r="Q99" s="1155">
        <v>278800</v>
      </c>
      <c r="R99" s="1155">
        <v>59173.89</v>
      </c>
      <c r="S99" s="1155">
        <v>3944.93</v>
      </c>
      <c r="T99" s="1155">
        <v>27918</v>
      </c>
      <c r="U99" s="1155" t="s">
        <v>3485</v>
      </c>
      <c r="V99" s="1155">
        <v>0</v>
      </c>
      <c r="W99" s="1155" t="s">
        <v>3485</v>
      </c>
      <c r="X99" s="1155" t="s">
        <v>3485</v>
      </c>
      <c r="Y99" s="1155">
        <v>44800</v>
      </c>
      <c r="Z99" s="1155" t="s">
        <v>3485</v>
      </c>
      <c r="AA99" s="1155" t="s">
        <v>3531</v>
      </c>
    </row>
    <row r="100" spans="1:27">
      <c r="A100" s="1155" t="s">
        <v>3715</v>
      </c>
      <c r="B100" s="1155" t="s">
        <v>3409</v>
      </c>
      <c r="C100" s="1155" t="s">
        <v>3716</v>
      </c>
      <c r="D100" s="1155">
        <v>48727.09</v>
      </c>
      <c r="E100" s="1155">
        <v>107538</v>
      </c>
      <c r="F100" s="1155" t="s">
        <v>3497</v>
      </c>
      <c r="G100" s="1155" t="s">
        <v>3540</v>
      </c>
      <c r="H100" s="1155" t="s">
        <v>3717</v>
      </c>
      <c r="I100" s="1155" t="s">
        <v>3479</v>
      </c>
      <c r="J100" s="1155" t="s">
        <v>3485</v>
      </c>
      <c r="K100" s="1155" t="s">
        <v>3718</v>
      </c>
      <c r="L100" s="1155" t="s">
        <v>3482</v>
      </c>
      <c r="M100" s="1155" t="s">
        <v>3719</v>
      </c>
      <c r="N100" s="1155">
        <v>431000</v>
      </c>
      <c r="O100" s="1155">
        <v>86200</v>
      </c>
      <c r="P100" s="1155" t="s">
        <v>3720</v>
      </c>
      <c r="Q100" s="1155">
        <v>544000</v>
      </c>
      <c r="R100" s="1155">
        <v>111642.21</v>
      </c>
      <c r="S100" s="1155">
        <v>7442.81</v>
      </c>
      <c r="T100" s="1155">
        <v>50587</v>
      </c>
      <c r="U100" s="1155" t="s">
        <v>3485</v>
      </c>
      <c r="V100" s="1155">
        <v>26.22</v>
      </c>
      <c r="W100" s="1155" t="s">
        <v>3485</v>
      </c>
      <c r="X100" s="1155" t="s">
        <v>3485</v>
      </c>
      <c r="Y100" s="1155" t="s">
        <v>3485</v>
      </c>
      <c r="Z100" s="1155" t="s">
        <v>3485</v>
      </c>
      <c r="AA100" s="1155" t="s">
        <v>3494</v>
      </c>
    </row>
    <row r="101" spans="1:27">
      <c r="A101" s="1155" t="s">
        <v>3721</v>
      </c>
      <c r="B101" s="1155" t="s">
        <v>3409</v>
      </c>
      <c r="C101" s="1155" t="s">
        <v>3722</v>
      </c>
      <c r="D101" s="1155">
        <v>51339.15</v>
      </c>
      <c r="E101" s="1155">
        <v>77009</v>
      </c>
      <c r="F101" s="1155" t="s">
        <v>3476</v>
      </c>
      <c r="G101" s="1155" t="s">
        <v>3477</v>
      </c>
      <c r="H101" s="1155" t="s">
        <v>3723</v>
      </c>
      <c r="I101" s="1155" t="s">
        <v>3479</v>
      </c>
      <c r="J101" s="1155" t="s">
        <v>3485</v>
      </c>
      <c r="K101" s="1155" t="s">
        <v>3724</v>
      </c>
      <c r="L101" s="1155" t="s">
        <v>3482</v>
      </c>
      <c r="M101" s="1155" t="s">
        <v>3725</v>
      </c>
      <c r="N101" s="1155">
        <v>539600</v>
      </c>
      <c r="O101" s="1155">
        <v>108000</v>
      </c>
      <c r="P101" s="1155" t="s">
        <v>3726</v>
      </c>
      <c r="Q101" s="1155">
        <v>539600</v>
      </c>
      <c r="R101" s="1155">
        <v>105104.98</v>
      </c>
      <c r="S101" s="1155">
        <v>7007</v>
      </c>
      <c r="T101" s="1155">
        <v>70070</v>
      </c>
      <c r="U101" s="1155" t="s">
        <v>3485</v>
      </c>
      <c r="V101" s="1155">
        <v>0</v>
      </c>
      <c r="W101" s="1155" t="s">
        <v>3485</v>
      </c>
      <c r="X101" s="1155" t="s">
        <v>3485</v>
      </c>
      <c r="Y101" s="1155" t="s">
        <v>3485</v>
      </c>
      <c r="Z101" s="1155" t="s">
        <v>3485</v>
      </c>
      <c r="AA101" s="1155" t="s">
        <v>3531</v>
      </c>
    </row>
  </sheetData>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G1" zoomScale="90" zoomScaleNormal="90" workbookViewId="0">
      <selection activeCell="A15" sqref="A15:XFD15"/>
    </sheetView>
  </sheetViews>
  <sheetFormatPr defaultRowHeight="14.4"/>
  <cols>
    <col min="1" max="1" width="13.88671875" customWidth="1"/>
    <col min="11" max="17" width="0" hidden="1" customWidth="1"/>
    <col min="25" max="30" width="0" hidden="1" customWidth="1"/>
  </cols>
  <sheetData>
    <row r="1" spans="1:44">
      <c r="A1" s="2935">
        <f>基准地价修正!G23</f>
        <v>45825</v>
      </c>
      <c r="B1" s="2927" t="s">
        <v>3371</v>
      </c>
      <c r="C1" s="2928"/>
      <c r="D1" s="2928"/>
      <c r="E1" s="2928"/>
      <c r="F1" s="2928"/>
      <c r="G1" s="2928"/>
      <c r="H1" s="2928"/>
      <c r="I1" s="2928"/>
      <c r="J1" s="2894"/>
      <c r="K1" s="2928" t="s">
        <v>454</v>
      </c>
      <c r="L1" s="2928"/>
      <c r="M1" s="2928"/>
      <c r="N1" s="2928"/>
      <c r="O1" s="2928"/>
      <c r="P1" s="2928"/>
      <c r="Q1" s="2894"/>
      <c r="R1" s="3536" t="s">
        <v>456</v>
      </c>
      <c r="S1" s="3537"/>
      <c r="T1" s="3537"/>
      <c r="U1" s="3537"/>
      <c r="V1" s="3537"/>
      <c r="W1" s="3537"/>
      <c r="X1" s="2894"/>
      <c r="Y1" s="3536" t="s">
        <v>457</v>
      </c>
      <c r="Z1" s="3537"/>
      <c r="AA1" s="3537"/>
      <c r="AB1" s="3537"/>
      <c r="AC1" s="3537"/>
      <c r="AD1" s="3537"/>
    </row>
    <row r="2" spans="1:44" s="2009" customFormat="1" ht="15" thickBot="1">
      <c r="B2" s="2879"/>
      <c r="C2" s="2880"/>
      <c r="D2" s="2010" t="s">
        <v>2803</v>
      </c>
      <c r="E2" s="2011" t="s">
        <v>2804</v>
      </c>
      <c r="F2" s="2011" t="s">
        <v>2805</v>
      </c>
      <c r="G2" s="2011" t="s">
        <v>2806</v>
      </c>
      <c r="H2" s="2011" t="s">
        <v>2807</v>
      </c>
      <c r="I2" s="2011" t="s">
        <v>2624</v>
      </c>
      <c r="J2" s="2881"/>
      <c r="K2" s="2010" t="s">
        <v>2803</v>
      </c>
      <c r="L2" s="2011" t="s">
        <v>2804</v>
      </c>
      <c r="M2" s="2011" t="s">
        <v>2805</v>
      </c>
      <c r="N2" s="2011" t="s">
        <v>2806</v>
      </c>
      <c r="O2" s="2011" t="s">
        <v>2808</v>
      </c>
      <c r="P2" s="2011" t="s">
        <v>2624</v>
      </c>
      <c r="Q2" s="2881"/>
      <c r="R2" s="2010" t="s">
        <v>2803</v>
      </c>
      <c r="S2" s="2011" t="s">
        <v>2804</v>
      </c>
      <c r="T2" s="2011" t="s">
        <v>2805</v>
      </c>
      <c r="U2" s="2011" t="s">
        <v>2809</v>
      </c>
      <c r="V2" s="2011" t="s">
        <v>2810</v>
      </c>
      <c r="W2" s="2011" t="s">
        <v>2624</v>
      </c>
      <c r="X2" s="2881"/>
      <c r="Y2" s="2010" t="s">
        <v>2803</v>
      </c>
      <c r="Z2" s="2011" t="s">
        <v>2804</v>
      </c>
      <c r="AA2" s="2011" t="s">
        <v>2805</v>
      </c>
      <c r="AB2" s="2011" t="s">
        <v>2811</v>
      </c>
      <c r="AC2" s="2011" t="s">
        <v>2810</v>
      </c>
      <c r="AD2" s="2011" t="s">
        <v>2624</v>
      </c>
      <c r="AF2" t="s">
        <v>3398</v>
      </c>
      <c r="AG2" t="s">
        <v>673</v>
      </c>
      <c r="AH2" t="s">
        <v>21</v>
      </c>
      <c r="AI2" t="s">
        <v>3399</v>
      </c>
      <c r="AJ2" t="s">
        <v>3</v>
      </c>
      <c r="AK2" t="s">
        <v>3400</v>
      </c>
      <c r="AM2" t="s">
        <v>3398</v>
      </c>
      <c r="AN2" t="s">
        <v>673</v>
      </c>
      <c r="AO2" t="s">
        <v>21</v>
      </c>
      <c r="AP2" t="s">
        <v>3399</v>
      </c>
      <c r="AQ2" t="s">
        <v>3</v>
      </c>
      <c r="AR2" t="s">
        <v>3400</v>
      </c>
    </row>
    <row r="3" spans="1:44" s="2884" customFormat="1" ht="13.2">
      <c r="A3" s="2882" t="s">
        <v>2812</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3397</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3396</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3395</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3403</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3402</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3375</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3369</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3368</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3364</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3363</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3361</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3360</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3359</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3357</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3348</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2813</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2814</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2815</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2816</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2817</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3374</v>
      </c>
    </row>
    <row r="27" spans="1:44">
      <c r="I27" s="1404" t="s">
        <v>2818</v>
      </c>
    </row>
    <row r="29" spans="1:44" s="2008" customFormat="1" ht="13.2">
      <c r="B29" s="2927" t="s">
        <v>3372</v>
      </c>
      <c r="C29" s="2928"/>
      <c r="D29" s="2928"/>
      <c r="E29" s="2928"/>
      <c r="F29" s="2928"/>
      <c r="G29" s="2928"/>
      <c r="H29" s="2928"/>
      <c r="I29" s="2928"/>
      <c r="J29" s="2894"/>
      <c r="K29" s="2928" t="s">
        <v>2819</v>
      </c>
      <c r="L29" s="2928"/>
      <c r="M29" s="2928"/>
      <c r="N29" s="2928"/>
      <c r="O29" s="2928"/>
      <c r="P29" s="2928"/>
      <c r="Q29" s="2894"/>
      <c r="R29" s="3536" t="s">
        <v>2820</v>
      </c>
      <c r="S29" s="3537"/>
      <c r="T29" s="3537"/>
      <c r="U29" s="3537"/>
      <c r="V29" s="3537"/>
      <c r="W29" s="3537"/>
      <c r="X29" s="2894"/>
      <c r="Y29" s="3536" t="s">
        <v>2821</v>
      </c>
      <c r="Z29" s="3537"/>
      <c r="AA29" s="3537"/>
      <c r="AB29" s="3537"/>
      <c r="AC29" s="3537"/>
      <c r="AD29" s="3537"/>
    </row>
    <row r="30" spans="1:44" s="2009" customFormat="1" ht="15" thickBot="1">
      <c r="B30" s="2879"/>
      <c r="C30" s="2880"/>
      <c r="D30" s="2010" t="s">
        <v>2822</v>
      </c>
      <c r="E30" s="2011" t="s">
        <v>2823</v>
      </c>
      <c r="F30" s="2011" t="s">
        <v>2824</v>
      </c>
      <c r="G30" s="2011" t="s">
        <v>2825</v>
      </c>
      <c r="H30" s="2011"/>
      <c r="I30" s="2011" t="s">
        <v>2826</v>
      </c>
      <c r="J30" s="2881"/>
      <c r="K30" s="2010" t="s">
        <v>2822</v>
      </c>
      <c r="L30" s="2011" t="s">
        <v>2823</v>
      </c>
      <c r="M30" s="2011" t="s">
        <v>2824</v>
      </c>
      <c r="N30" s="2011" t="s">
        <v>2825</v>
      </c>
      <c r="O30" s="2011"/>
      <c r="P30" s="2011" t="s">
        <v>2826</v>
      </c>
      <c r="Q30" s="2881"/>
      <c r="R30" s="2010" t="s">
        <v>2822</v>
      </c>
      <c r="S30" s="2011" t="s">
        <v>2823</v>
      </c>
      <c r="T30" s="2011" t="s">
        <v>2824</v>
      </c>
      <c r="U30" s="2011" t="s">
        <v>2825</v>
      </c>
      <c r="V30" s="2011"/>
      <c r="W30" s="2011" t="s">
        <v>2826</v>
      </c>
      <c r="X30" s="2881"/>
      <c r="Y30" s="2010" t="s">
        <v>2822</v>
      </c>
      <c r="Z30" s="2011" t="s">
        <v>2823</v>
      </c>
      <c r="AA30" s="2011" t="s">
        <v>2824</v>
      </c>
      <c r="AB30" s="2011" t="s">
        <v>2825</v>
      </c>
      <c r="AC30" s="2011"/>
      <c r="AD30" s="2011" t="s">
        <v>2826</v>
      </c>
      <c r="AG30" t="s">
        <v>673</v>
      </c>
      <c r="AH30" t="s">
        <v>21</v>
      </c>
      <c r="AI30" t="s">
        <v>3399</v>
      </c>
      <c r="AJ30"/>
      <c r="AK30" t="s">
        <v>3400</v>
      </c>
      <c r="AN30" t="s">
        <v>673</v>
      </c>
      <c r="AO30" t="s">
        <v>21</v>
      </c>
      <c r="AP30" t="s">
        <v>3399</v>
      </c>
      <c r="AQ30"/>
      <c r="AR30" t="s">
        <v>3400</v>
      </c>
    </row>
    <row r="31" spans="1:44" s="2884" customFormat="1" ht="13.2">
      <c r="A31" s="2882" t="s">
        <v>2827</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3397</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3396</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3404</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3401</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3402</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3366</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3370</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3367</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3365</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3363</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3362</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3360</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3359</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3358</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3348</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2828</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2829</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2830</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2831</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2817</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3373</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41" t="s">
        <v>452</v>
      </c>
      <c r="C1" s="3541"/>
      <c r="D1" s="3541"/>
      <c r="E1" s="3541"/>
      <c r="F1" s="3541"/>
      <c r="G1" s="3537" t="s">
        <v>453</v>
      </c>
      <c r="H1" s="3537"/>
      <c r="I1" s="3537"/>
      <c r="J1" s="3537"/>
      <c r="K1" s="3537"/>
      <c r="L1" s="3537"/>
      <c r="N1" s="3537" t="s">
        <v>454</v>
      </c>
      <c r="O1" s="3537"/>
      <c r="P1" s="3537"/>
      <c r="Q1" s="3537"/>
      <c r="S1" s="3537" t="s">
        <v>455</v>
      </c>
      <c r="T1" s="3537"/>
      <c r="U1" s="3537"/>
      <c r="V1" s="3537"/>
      <c r="X1" s="3536" t="s">
        <v>456</v>
      </c>
      <c r="Y1" s="3537"/>
      <c r="Z1" s="3537"/>
      <c r="AA1" s="3537"/>
      <c r="AB1" s="3537"/>
      <c r="AD1" s="3536" t="s">
        <v>457</v>
      </c>
      <c r="AE1" s="3537"/>
      <c r="AF1" s="3537"/>
      <c r="AG1" s="3537"/>
      <c r="AH1" s="3537"/>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2111</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2112</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2127</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2125</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2124</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2123</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2121</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2120</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2122</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3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2118</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3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2117</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3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2110</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4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2108</v>
      </c>
      <c r="B25" s="2048">
        <v>439</v>
      </c>
      <c r="C25" s="2048">
        <v>327</v>
      </c>
      <c r="D25" s="2048">
        <f>C25</f>
        <v>327</v>
      </c>
      <c r="E25" s="2048">
        <v>627</v>
      </c>
      <c r="F25" s="2049">
        <v>283</v>
      </c>
      <c r="G25" s="354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2109</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3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3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4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4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3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3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4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3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3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3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4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3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3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3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4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4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4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4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4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3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3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3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4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3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3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3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4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3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3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3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4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3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3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3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4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3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3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3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4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3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3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3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4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3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3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3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4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3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3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3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4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3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3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3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4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3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3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3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4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3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3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3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4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49" t="s">
        <v>2832</v>
      </c>
      <c r="B1" s="3549"/>
      <c r="C1" s="3549"/>
      <c r="D1" s="3549"/>
      <c r="E1" s="3549"/>
      <c r="F1" s="3549"/>
      <c r="G1" s="3550"/>
      <c r="I1" s="2936" t="s">
        <v>2833</v>
      </c>
      <c r="J1" s="2937" t="s">
        <v>2834</v>
      </c>
      <c r="K1" s="2937" t="s">
        <v>2835</v>
      </c>
      <c r="L1" s="2937" t="s">
        <v>2836</v>
      </c>
      <c r="M1" s="2937" t="s">
        <v>2837</v>
      </c>
      <c r="N1" s="2937" t="s">
        <v>2838</v>
      </c>
      <c r="O1" s="2937" t="s">
        <v>2839</v>
      </c>
      <c r="P1" s="2937" t="s">
        <v>2840</v>
      </c>
      <c r="Q1" s="2937" t="s">
        <v>2841</v>
      </c>
      <c r="R1" s="2937" t="s">
        <v>2842</v>
      </c>
      <c r="S1" s="2937" t="s">
        <v>2843</v>
      </c>
      <c r="T1" s="2938" t="s">
        <v>2844</v>
      </c>
    </row>
    <row r="2" spans="1:20" ht="11.4" thickBot="1">
      <c r="A2" s="2939" t="s">
        <v>2845</v>
      </c>
      <c r="B2" s="2939"/>
      <c r="C2" s="2939"/>
      <c r="D2" s="2939"/>
      <c r="E2" s="2939"/>
      <c r="F2" s="2939"/>
      <c r="G2" s="2940" t="s">
        <v>2846</v>
      </c>
      <c r="I2" s="2941" t="s">
        <v>2847</v>
      </c>
      <c r="J2" s="2941" t="s">
        <v>2848</v>
      </c>
      <c r="K2" s="2941" t="s">
        <v>2849</v>
      </c>
      <c r="L2" s="2941" t="s">
        <v>2850</v>
      </c>
      <c r="M2" s="2941" t="s">
        <v>2851</v>
      </c>
      <c r="N2" s="2941" t="s">
        <v>2852</v>
      </c>
      <c r="O2" s="2941" t="s">
        <v>2853</v>
      </c>
      <c r="P2" s="2941" t="s">
        <v>2854</v>
      </c>
      <c r="Q2" s="2941" t="s">
        <v>2855</v>
      </c>
      <c r="R2" s="2941" t="s">
        <v>2856</v>
      </c>
      <c r="S2" s="2941" t="s">
        <v>2857</v>
      </c>
      <c r="T2" s="2941" t="s">
        <v>2858</v>
      </c>
    </row>
    <row r="3" spans="1:20" s="2947" customFormat="1">
      <c r="A3" s="3547" t="s">
        <v>2859</v>
      </c>
      <c r="B3" s="2942"/>
      <c r="C3" s="2943" t="s">
        <v>2804</v>
      </c>
      <c r="D3" s="2943" t="s">
        <v>2860</v>
      </c>
      <c r="E3" s="2943" t="s">
        <v>2806</v>
      </c>
      <c r="F3" s="2943" t="s">
        <v>2861</v>
      </c>
      <c r="G3" s="2943" t="s">
        <v>2624</v>
      </c>
      <c r="H3" s="2944"/>
      <c r="I3" s="2945" t="s">
        <v>2862</v>
      </c>
      <c r="J3" s="2946" t="s">
        <v>128</v>
      </c>
      <c r="K3" s="2946" t="s">
        <v>129</v>
      </c>
      <c r="L3" s="2945" t="s">
        <v>130</v>
      </c>
      <c r="M3" s="2945" t="s">
        <v>131</v>
      </c>
      <c r="N3" s="2945" t="s">
        <v>132</v>
      </c>
      <c r="O3" s="2945" t="s">
        <v>133</v>
      </c>
      <c r="P3" s="2945" t="s">
        <v>134</v>
      </c>
      <c r="Q3" s="2945" t="s">
        <v>135</v>
      </c>
      <c r="R3" s="2945" t="s">
        <v>136</v>
      </c>
      <c r="S3" s="2945" t="s">
        <v>2863</v>
      </c>
      <c r="T3" s="2945" t="s">
        <v>2864</v>
      </c>
    </row>
    <row r="4" spans="1:20" s="2947" customFormat="1" ht="11.4" thickBot="1">
      <c r="A4" s="3548"/>
      <c r="B4" s="2948" t="s">
        <v>2865</v>
      </c>
      <c r="C4" s="2948" t="s">
        <v>2866</v>
      </c>
      <c r="D4" s="2948" t="s">
        <v>2866</v>
      </c>
      <c r="E4" s="2948" t="s">
        <v>2866</v>
      </c>
      <c r="F4" s="2949" t="s">
        <v>2866</v>
      </c>
      <c r="G4" s="2949" t="s">
        <v>2866</v>
      </c>
      <c r="H4" s="2944"/>
      <c r="I4" s="2946" t="s">
        <v>137</v>
      </c>
      <c r="J4" s="2946" t="s">
        <v>111</v>
      </c>
      <c r="K4" s="2946" t="s">
        <v>138</v>
      </c>
      <c r="L4" s="2945" t="s">
        <v>139</v>
      </c>
      <c r="M4" s="2945" t="s">
        <v>140</v>
      </c>
      <c r="N4" s="2945" t="s">
        <v>141</v>
      </c>
      <c r="O4" s="2945" t="s">
        <v>142</v>
      </c>
      <c r="P4" s="2945" t="s">
        <v>143</v>
      </c>
      <c r="Q4" s="2945" t="s">
        <v>2867</v>
      </c>
      <c r="R4" s="2945" t="s">
        <v>2868</v>
      </c>
      <c r="S4" s="2945" t="s">
        <v>2869</v>
      </c>
      <c r="T4" s="2945" t="s">
        <v>2870</v>
      </c>
    </row>
    <row r="5" spans="1:20">
      <c r="A5" s="2950" t="s">
        <v>2833</v>
      </c>
      <c r="B5" s="2941" t="s">
        <v>2847</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2871</v>
      </c>
      <c r="R5" s="2945" t="s">
        <v>2872</v>
      </c>
      <c r="S5" s="2945" t="s">
        <v>153</v>
      </c>
      <c r="T5" s="2945" t="s">
        <v>2873</v>
      </c>
    </row>
    <row r="6" spans="1:20" ht="11.4" thickBot="1">
      <c r="A6" s="2945" t="s">
        <v>144</v>
      </c>
      <c r="B6" s="2945" t="s">
        <v>2862</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2874</v>
      </c>
      <c r="Q6" s="2945" t="s">
        <v>2875</v>
      </c>
      <c r="R6" s="2945" t="s">
        <v>161</v>
      </c>
      <c r="S6" s="2945" t="s">
        <v>2876</v>
      </c>
      <c r="T6" s="2945" t="s">
        <v>2877</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2878</v>
      </c>
      <c r="Q7" s="2945" t="s">
        <v>2879</v>
      </c>
      <c r="R7" s="2945" t="s">
        <v>2880</v>
      </c>
      <c r="S7" s="2945" t="s">
        <v>2881</v>
      </c>
      <c r="T7" s="2945" t="s">
        <v>2882</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2883</v>
      </c>
      <c r="Q8" s="2945" t="s">
        <v>174</v>
      </c>
      <c r="R8" s="2945" t="s">
        <v>2884</v>
      </c>
      <c r="S8" s="2945" t="s">
        <v>2885</v>
      </c>
      <c r="T8" s="2952" t="s">
        <v>2886</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2887</v>
      </c>
      <c r="Q9" s="2945" t="s">
        <v>182</v>
      </c>
      <c r="R9" s="2945" t="s">
        <v>183</v>
      </c>
      <c r="S9" s="2945" t="s">
        <v>200</v>
      </c>
    </row>
    <row r="10" spans="1:20">
      <c r="A10" s="2950" t="s">
        <v>184</v>
      </c>
      <c r="B10" s="2941" t="s">
        <v>2848</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2888</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2889</v>
      </c>
      <c r="P11" s="2945" t="s">
        <v>191</v>
      </c>
      <c r="Q11" s="2945" t="s">
        <v>199</v>
      </c>
      <c r="R11" s="2945" t="s">
        <v>2890</v>
      </c>
      <c r="S11" s="2945" t="s">
        <v>2891</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2892</v>
      </c>
      <c r="P12" s="2945" t="s">
        <v>2893</v>
      </c>
      <c r="Q12" s="2945" t="s">
        <v>2894</v>
      </c>
      <c r="R12" s="2945" t="s">
        <v>2895</v>
      </c>
      <c r="S12" s="2945" t="s">
        <v>2896</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2897</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2898</v>
      </c>
      <c r="K14" s="2946" t="s">
        <v>215</v>
      </c>
      <c r="L14" s="2945" t="s">
        <v>216</v>
      </c>
      <c r="M14" s="2945" t="s">
        <v>217</v>
      </c>
      <c r="N14" s="2945" t="s">
        <v>218</v>
      </c>
      <c r="O14" s="2945" t="s">
        <v>240</v>
      </c>
      <c r="P14" s="2945" t="s">
        <v>213</v>
      </c>
      <c r="Q14" s="2945" t="s">
        <v>2899</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2900</v>
      </c>
      <c r="P15" s="2945" t="s">
        <v>2901</v>
      </c>
      <c r="Q15" s="2945" t="s">
        <v>242</v>
      </c>
      <c r="R15" s="2945" t="s">
        <v>2902</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2903</v>
      </c>
      <c r="P16" s="2945" t="s">
        <v>227</v>
      </c>
      <c r="Q16" s="2945" t="s">
        <v>250</v>
      </c>
      <c r="R16" s="2945" t="s">
        <v>207</v>
      </c>
      <c r="S16" s="2945" t="s">
        <v>2904</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2905</v>
      </c>
      <c r="P17" s="2945" t="s">
        <v>2906</v>
      </c>
      <c r="Q17" s="2945" t="s">
        <v>256</v>
      </c>
      <c r="R17" s="2945" t="s">
        <v>2907</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2908</v>
      </c>
      <c r="P18" s="2945" t="s">
        <v>241</v>
      </c>
      <c r="Q18" s="2945" t="s">
        <v>2909</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2910</v>
      </c>
      <c r="P19" s="2945" t="s">
        <v>249</v>
      </c>
      <c r="Q19" s="2945" t="s">
        <v>2911</v>
      </c>
      <c r="R19" s="2945" t="s">
        <v>265</v>
      </c>
      <c r="S19" s="2945" t="s">
        <v>2912</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2913</v>
      </c>
      <c r="P20" s="2945" t="s">
        <v>2914</v>
      </c>
      <c r="Q20" s="2945" t="s">
        <v>290</v>
      </c>
      <c r="R20" s="2945" t="s">
        <v>2915</v>
      </c>
      <c r="S20" s="2945" t="s">
        <v>277</v>
      </c>
    </row>
    <row r="21" spans="1:19" ht="14.25" customHeight="1" thickBot="1">
      <c r="A21" s="2945" t="s">
        <v>184</v>
      </c>
      <c r="B21" s="2946" t="s">
        <v>208</v>
      </c>
      <c r="C21" s="2945">
        <v>32370</v>
      </c>
      <c r="D21" s="2945">
        <v>26730</v>
      </c>
      <c r="E21" s="2945">
        <v>26640</v>
      </c>
      <c r="F21" s="2945"/>
      <c r="G21" s="2945">
        <v>19440</v>
      </c>
      <c r="J21" s="2952" t="s">
        <v>2916</v>
      </c>
      <c r="K21" s="2946" t="s">
        <v>267</v>
      </c>
      <c r="L21" s="2945" t="s">
        <v>268</v>
      </c>
      <c r="M21" s="2945" t="s">
        <v>269</v>
      </c>
      <c r="N21" s="2945" t="s">
        <v>270</v>
      </c>
      <c r="O21" s="2945" t="s">
        <v>264</v>
      </c>
      <c r="P21" s="2945" t="s">
        <v>283</v>
      </c>
      <c r="Q21" s="2945" t="s">
        <v>293</v>
      </c>
      <c r="R21" s="2945" t="s">
        <v>2917</v>
      </c>
      <c r="S21" s="2952" t="s">
        <v>2918</v>
      </c>
    </row>
    <row r="22" spans="1:19" ht="14.25" customHeight="1">
      <c r="A22" s="2945" t="s">
        <v>184</v>
      </c>
      <c r="B22" s="2946" t="s">
        <v>2898</v>
      </c>
      <c r="C22" s="2945">
        <v>29830</v>
      </c>
      <c r="D22" s="2945">
        <v>27600</v>
      </c>
      <c r="E22" s="2945">
        <v>28150</v>
      </c>
      <c r="F22" s="2945"/>
      <c r="G22" s="2945">
        <v>20080</v>
      </c>
      <c r="K22" s="2946" t="s">
        <v>2919</v>
      </c>
      <c r="L22" s="2945" t="s">
        <v>272</v>
      </c>
      <c r="M22" s="2945" t="s">
        <v>273</v>
      </c>
      <c r="N22" s="2945" t="s">
        <v>274</v>
      </c>
      <c r="O22" s="2945" t="s">
        <v>2920</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2921</v>
      </c>
      <c r="L23" s="2945" t="s">
        <v>278</v>
      </c>
      <c r="M23" s="2945" t="s">
        <v>279</v>
      </c>
      <c r="N23" s="2945" t="s">
        <v>2922</v>
      </c>
      <c r="O23" s="2945" t="s">
        <v>2923</v>
      </c>
      <c r="P23" s="2945" t="s">
        <v>289</v>
      </c>
      <c r="Q23" s="2945" t="s">
        <v>298</v>
      </c>
      <c r="R23" s="2945" t="s">
        <v>2924</v>
      </c>
    </row>
    <row r="24" spans="1:19" ht="14.25" customHeight="1">
      <c r="A24" s="2945" t="s">
        <v>184</v>
      </c>
      <c r="B24" s="2946" t="s">
        <v>230</v>
      </c>
      <c r="C24" s="2945">
        <v>27930</v>
      </c>
      <c r="D24" s="2945">
        <v>32260</v>
      </c>
      <c r="E24" s="2945">
        <v>32120</v>
      </c>
      <c r="F24" s="2945"/>
      <c r="G24" s="2945">
        <v>23470</v>
      </c>
      <c r="K24" s="2946" t="s">
        <v>2925</v>
      </c>
      <c r="L24" s="2945" t="s">
        <v>281</v>
      </c>
      <c r="M24" s="2945" t="s">
        <v>282</v>
      </c>
      <c r="N24" s="2945" t="s">
        <v>2926</v>
      </c>
      <c r="O24" s="2945" t="s">
        <v>285</v>
      </c>
      <c r="P24" s="2945" t="s">
        <v>2927</v>
      </c>
      <c r="Q24" s="2954" t="s">
        <v>2928</v>
      </c>
      <c r="R24" s="2945" t="s">
        <v>2929</v>
      </c>
    </row>
    <row r="25" spans="1:19" ht="14.25" customHeight="1">
      <c r="A25" s="2945" t="s">
        <v>184</v>
      </c>
      <c r="B25" s="2946" t="s">
        <v>235</v>
      </c>
      <c r="C25" s="2945">
        <v>32230</v>
      </c>
      <c r="D25" s="2945">
        <v>29640</v>
      </c>
      <c r="E25" s="2945">
        <v>29510</v>
      </c>
      <c r="F25" s="2945"/>
      <c r="G25" s="2945">
        <v>21560</v>
      </c>
      <c r="K25" s="2946" t="s">
        <v>2930</v>
      </c>
      <c r="L25" s="2945" t="s">
        <v>2931</v>
      </c>
      <c r="M25" s="2945" t="s">
        <v>284</v>
      </c>
      <c r="N25" s="2945" t="s">
        <v>292</v>
      </c>
      <c r="O25" s="2945" t="s">
        <v>288</v>
      </c>
      <c r="P25" s="2945" t="s">
        <v>275</v>
      </c>
      <c r="Q25" s="2954" t="s">
        <v>271</v>
      </c>
      <c r="R25" s="2945" t="s">
        <v>2932</v>
      </c>
    </row>
    <row r="26" spans="1:19" ht="14.25" customHeight="1" thickBot="1">
      <c r="A26" s="2945" t="s">
        <v>184</v>
      </c>
      <c r="B26" s="2946" t="s">
        <v>244</v>
      </c>
      <c r="C26" s="2945">
        <v>31690</v>
      </c>
      <c r="D26" s="2945">
        <v>27650</v>
      </c>
      <c r="E26" s="2945">
        <v>28200</v>
      </c>
      <c r="F26" s="2945"/>
      <c r="G26" s="2945">
        <v>20110</v>
      </c>
      <c r="K26" s="2951" t="s">
        <v>2933</v>
      </c>
      <c r="L26" s="2945" t="s">
        <v>2934</v>
      </c>
      <c r="M26" s="2945" t="s">
        <v>287</v>
      </c>
      <c r="N26" s="2945" t="s">
        <v>294</v>
      </c>
      <c r="O26" s="2945" t="s">
        <v>2935</v>
      </c>
      <c r="P26" s="2945" t="s">
        <v>2936</v>
      </c>
      <c r="Q26" s="2954" t="s">
        <v>276</v>
      </c>
      <c r="R26" s="2945" t="s">
        <v>2937</v>
      </c>
    </row>
    <row r="27" spans="1:19" ht="14.25" customHeight="1">
      <c r="A27" s="2945" t="s">
        <v>184</v>
      </c>
      <c r="B27" s="2946" t="s">
        <v>251</v>
      </c>
      <c r="C27" s="2945">
        <v>29610</v>
      </c>
      <c r="D27" s="2945">
        <v>27770</v>
      </c>
      <c r="E27" s="2945">
        <v>28300</v>
      </c>
      <c r="F27" s="2945"/>
      <c r="G27" s="2945">
        <v>20210</v>
      </c>
      <c r="L27" s="2945" t="s">
        <v>2938</v>
      </c>
      <c r="M27" s="2945" t="s">
        <v>291</v>
      </c>
      <c r="N27" s="2945" t="s">
        <v>297</v>
      </c>
      <c r="O27" s="2945" t="s">
        <v>2939</v>
      </c>
      <c r="P27" s="2945" t="s">
        <v>2940</v>
      </c>
      <c r="Q27" s="2945" t="s">
        <v>2941</v>
      </c>
      <c r="R27" s="2945" t="s">
        <v>2942</v>
      </c>
    </row>
    <row r="28" spans="1:19" ht="14.25" customHeight="1">
      <c r="A28" s="2945" t="s">
        <v>184</v>
      </c>
      <c r="B28" s="2946" t="s">
        <v>259</v>
      </c>
      <c r="C28" s="2945"/>
      <c r="D28" s="2945">
        <v>31520</v>
      </c>
      <c r="E28" s="2945">
        <v>31410</v>
      </c>
      <c r="F28" s="2945"/>
      <c r="G28" s="2945">
        <v>22940</v>
      </c>
      <c r="L28" s="2945" t="s">
        <v>2943</v>
      </c>
      <c r="M28" s="2945" t="s">
        <v>2944</v>
      </c>
      <c r="N28" s="2945" t="s">
        <v>2945</v>
      </c>
      <c r="O28" s="2945" t="s">
        <v>2946</v>
      </c>
      <c r="P28" s="2945" t="s">
        <v>2947</v>
      </c>
      <c r="Q28" s="2945" t="s">
        <v>2948</v>
      </c>
      <c r="R28" s="2945" t="s">
        <v>2949</v>
      </c>
    </row>
    <row r="29" spans="1:19" ht="14.25" customHeight="1" thickBot="1">
      <c r="A29" s="2953" t="s">
        <v>184</v>
      </c>
      <c r="B29" s="2955" t="s">
        <v>2916</v>
      </c>
      <c r="C29" s="2956"/>
      <c r="D29" s="2956">
        <v>29460</v>
      </c>
      <c r="E29" s="2956">
        <v>28640</v>
      </c>
      <c r="F29" s="2956"/>
      <c r="G29" s="2956">
        <v>21430</v>
      </c>
      <c r="L29" s="2945" t="s">
        <v>2950</v>
      </c>
      <c r="M29" s="2945" t="s">
        <v>2951</v>
      </c>
      <c r="N29" s="2945" t="s">
        <v>2952</v>
      </c>
      <c r="O29" s="2945" t="s">
        <v>2953</v>
      </c>
      <c r="P29" s="2945" t="s">
        <v>2954</v>
      </c>
      <c r="Q29" s="2945" t="s">
        <v>2955</v>
      </c>
      <c r="R29" s="2945" t="s">
        <v>280</v>
      </c>
    </row>
    <row r="30" spans="1:19" ht="14.25" customHeight="1">
      <c r="A30" s="2950" t="s">
        <v>296</v>
      </c>
      <c r="B30" s="2941" t="s">
        <v>2849</v>
      </c>
      <c r="C30" s="2941">
        <v>26890</v>
      </c>
      <c r="D30" s="2941">
        <v>26770</v>
      </c>
      <c r="E30" s="2941">
        <v>25700</v>
      </c>
      <c r="F30" s="2941">
        <v>8180</v>
      </c>
      <c r="G30" s="2957">
        <v>18740</v>
      </c>
      <c r="L30" s="2945" t="s">
        <v>2956</v>
      </c>
      <c r="M30" s="2945" t="s">
        <v>2957</v>
      </c>
      <c r="N30" s="2945" t="s">
        <v>2958</v>
      </c>
      <c r="O30" s="2945" t="s">
        <v>2959</v>
      </c>
      <c r="P30" s="2945" t="s">
        <v>2960</v>
      </c>
      <c r="Q30" s="2945" t="s">
        <v>2961</v>
      </c>
      <c r="R30" s="2945" t="s">
        <v>2962</v>
      </c>
    </row>
    <row r="31" spans="1:19" ht="14.25" customHeight="1">
      <c r="A31" s="2945" t="s">
        <v>296</v>
      </c>
      <c r="B31" s="2946" t="s">
        <v>129</v>
      </c>
      <c r="C31" s="2945">
        <v>24550</v>
      </c>
      <c r="D31" s="2945">
        <v>23990</v>
      </c>
      <c r="E31" s="2945">
        <v>22930</v>
      </c>
      <c r="F31" s="2945">
        <v>7470</v>
      </c>
      <c r="G31" s="2958">
        <v>16790</v>
      </c>
      <c r="L31" s="2945" t="s">
        <v>2963</v>
      </c>
      <c r="M31" s="2945" t="s">
        <v>2964</v>
      </c>
      <c r="N31" s="2945" t="s">
        <v>2965</v>
      </c>
      <c r="O31" s="2945" t="s">
        <v>2966</v>
      </c>
      <c r="P31" s="2945" t="s">
        <v>2967</v>
      </c>
      <c r="Q31" s="2945" t="s">
        <v>2968</v>
      </c>
      <c r="R31" s="2945" t="s">
        <v>2969</v>
      </c>
    </row>
    <row r="32" spans="1:19" ht="14.25" customHeight="1" thickBot="1">
      <c r="A32" s="2945" t="s">
        <v>296</v>
      </c>
      <c r="B32" s="2946" t="s">
        <v>138</v>
      </c>
      <c r="C32" s="2945">
        <v>27210</v>
      </c>
      <c r="D32" s="2945">
        <v>23240</v>
      </c>
      <c r="E32" s="2945">
        <v>23260</v>
      </c>
      <c r="F32" s="2945">
        <v>7130</v>
      </c>
      <c r="G32" s="2958">
        <v>16270</v>
      </c>
      <c r="L32" s="2945" t="s">
        <v>2970</v>
      </c>
      <c r="M32" s="2945" t="s">
        <v>2971</v>
      </c>
      <c r="N32" s="2945" t="s">
        <v>300</v>
      </c>
      <c r="O32" s="2945" t="s">
        <v>2972</v>
      </c>
      <c r="P32" s="2945" t="s">
        <v>299</v>
      </c>
      <c r="Q32" s="2945" t="s">
        <v>2973</v>
      </c>
      <c r="R32" s="2952" t="s">
        <v>2974</v>
      </c>
    </row>
    <row r="33" spans="1:17" ht="14.25" customHeight="1" thickBot="1">
      <c r="A33" s="2945" t="s">
        <v>296</v>
      </c>
      <c r="B33" s="2946" t="s">
        <v>147</v>
      </c>
      <c r="C33" s="2945">
        <v>27300</v>
      </c>
      <c r="D33" s="2945">
        <v>22980</v>
      </c>
      <c r="E33" s="2945">
        <v>24260</v>
      </c>
      <c r="F33" s="2945">
        <v>5860</v>
      </c>
      <c r="G33" s="2958">
        <v>16090</v>
      </c>
      <c r="L33" s="2952" t="s">
        <v>2975</v>
      </c>
      <c r="M33" s="2945" t="s">
        <v>2976</v>
      </c>
      <c r="N33" s="2945" t="s">
        <v>301</v>
      </c>
      <c r="O33" s="2945" t="s">
        <v>2977</v>
      </c>
      <c r="P33" s="2945" t="s">
        <v>2978</v>
      </c>
      <c r="Q33" s="2945" t="s">
        <v>2979</v>
      </c>
    </row>
    <row r="34" spans="1:17" ht="14.25" customHeight="1">
      <c r="A34" s="2945" t="s">
        <v>296</v>
      </c>
      <c r="B34" s="2946" t="s">
        <v>156</v>
      </c>
      <c r="C34" s="2945">
        <v>23090</v>
      </c>
      <c r="D34" s="2945">
        <v>23390</v>
      </c>
      <c r="E34" s="2945">
        <v>23510</v>
      </c>
      <c r="F34" s="2945">
        <v>6700</v>
      </c>
      <c r="G34" s="2958">
        <v>16370</v>
      </c>
      <c r="M34" s="2945" t="s">
        <v>2980</v>
      </c>
      <c r="N34" s="2945" t="s">
        <v>302</v>
      </c>
      <c r="O34" s="2945" t="s">
        <v>2981</v>
      </c>
      <c r="P34" s="2945" t="s">
        <v>2982</v>
      </c>
      <c r="Q34" s="2945" t="s">
        <v>2983</v>
      </c>
    </row>
    <row r="35" spans="1:17" ht="14.25" customHeight="1">
      <c r="A35" s="2945" t="s">
        <v>296</v>
      </c>
      <c r="B35" s="2946" t="s">
        <v>163</v>
      </c>
      <c r="C35" s="2945">
        <v>27270</v>
      </c>
      <c r="D35" s="2945">
        <v>24270</v>
      </c>
      <c r="E35" s="2945">
        <v>24950</v>
      </c>
      <c r="F35" s="2945">
        <v>6600</v>
      </c>
      <c r="G35" s="2958">
        <v>16990</v>
      </c>
      <c r="M35" s="2945" t="s">
        <v>2984</v>
      </c>
      <c r="N35" s="2945" t="s">
        <v>2985</v>
      </c>
      <c r="O35" s="2945" t="s">
        <v>2986</v>
      </c>
      <c r="P35" s="2945" t="s">
        <v>2987</v>
      </c>
      <c r="Q35" s="2945" t="s">
        <v>2988</v>
      </c>
    </row>
    <row r="36" spans="1:17" ht="14.25" customHeight="1">
      <c r="A36" s="2945" t="s">
        <v>296</v>
      </c>
      <c r="B36" s="2946" t="s">
        <v>169</v>
      </c>
      <c r="C36" s="2945">
        <v>23490</v>
      </c>
      <c r="D36" s="2945">
        <v>23020</v>
      </c>
      <c r="E36" s="2945">
        <v>25230</v>
      </c>
      <c r="F36" s="2945">
        <v>6780</v>
      </c>
      <c r="G36" s="2958">
        <v>16120</v>
      </c>
      <c r="M36" s="2945" t="s">
        <v>2989</v>
      </c>
      <c r="N36" s="2945" t="s">
        <v>2990</v>
      </c>
      <c r="O36" s="2945" t="s">
        <v>2991</v>
      </c>
      <c r="P36" s="2945" t="s">
        <v>2992</v>
      </c>
      <c r="Q36" s="2945" t="s">
        <v>2993</v>
      </c>
    </row>
    <row r="37" spans="1:17" ht="14.25" customHeight="1">
      <c r="A37" s="2945" t="s">
        <v>296</v>
      </c>
      <c r="B37" s="2946" t="s">
        <v>176</v>
      </c>
      <c r="C37" s="2945">
        <v>24380</v>
      </c>
      <c r="D37" s="2945">
        <v>22240</v>
      </c>
      <c r="E37" s="2945">
        <v>25980</v>
      </c>
      <c r="F37" s="2945">
        <v>8160</v>
      </c>
      <c r="G37" s="2958">
        <v>15570</v>
      </c>
      <c r="M37" s="2945" t="s">
        <v>2994</v>
      </c>
      <c r="N37" s="2945" t="s">
        <v>2995</v>
      </c>
      <c r="O37" s="2945" t="s">
        <v>2996</v>
      </c>
      <c r="P37" s="2945" t="s">
        <v>2997</v>
      </c>
      <c r="Q37" s="2945" t="s">
        <v>2998</v>
      </c>
    </row>
    <row r="38" spans="1:17" ht="14.25" customHeight="1">
      <c r="A38" s="2945" t="s">
        <v>296</v>
      </c>
      <c r="B38" s="2946" t="s">
        <v>186</v>
      </c>
      <c r="C38" s="2945">
        <v>23120</v>
      </c>
      <c r="D38" s="2945">
        <v>24630</v>
      </c>
      <c r="E38" s="2945">
        <v>25030</v>
      </c>
      <c r="F38" s="2945">
        <v>7710</v>
      </c>
      <c r="G38" s="2958">
        <v>17240</v>
      </c>
      <c r="M38" s="2945" t="s">
        <v>2999</v>
      </c>
      <c r="N38" s="2945" t="s">
        <v>3000</v>
      </c>
      <c r="O38" s="2945" t="s">
        <v>3001</v>
      </c>
      <c r="P38" s="2945" t="s">
        <v>3002</v>
      </c>
      <c r="Q38" s="2945" t="s">
        <v>3003</v>
      </c>
    </row>
    <row r="39" spans="1:17" ht="14.25" customHeight="1">
      <c r="A39" s="2945" t="s">
        <v>296</v>
      </c>
      <c r="B39" s="2946" t="s">
        <v>195</v>
      </c>
      <c r="C39" s="2945">
        <v>22330</v>
      </c>
      <c r="D39" s="2945">
        <v>21140</v>
      </c>
      <c r="E39" s="2945">
        <v>23970</v>
      </c>
      <c r="F39" s="2945">
        <v>7940</v>
      </c>
      <c r="G39" s="2958">
        <v>14790</v>
      </c>
      <c r="M39" s="2945" t="s">
        <v>3004</v>
      </c>
      <c r="N39" s="2945" t="s">
        <v>3005</v>
      </c>
      <c r="O39" s="2945" t="s">
        <v>3006</v>
      </c>
      <c r="P39" s="2945" t="s">
        <v>3007</v>
      </c>
      <c r="Q39" s="2945" t="s">
        <v>3008</v>
      </c>
    </row>
    <row r="40" spans="1:17" ht="14.25" customHeight="1">
      <c r="A40" s="2945" t="s">
        <v>296</v>
      </c>
      <c r="B40" s="2946" t="s">
        <v>202</v>
      </c>
      <c r="C40" s="2945">
        <v>24740</v>
      </c>
      <c r="D40" s="2945">
        <v>24690</v>
      </c>
      <c r="E40" s="2945">
        <v>22610</v>
      </c>
      <c r="F40" s="2945"/>
      <c r="G40" s="2958">
        <v>17280</v>
      </c>
      <c r="M40" s="2945" t="s">
        <v>3009</v>
      </c>
      <c r="N40" s="2945" t="s">
        <v>3010</v>
      </c>
      <c r="O40" s="2945" t="s">
        <v>3011</v>
      </c>
      <c r="P40" s="2945" t="s">
        <v>3012</v>
      </c>
      <c r="Q40" s="2945" t="s">
        <v>3013</v>
      </c>
    </row>
    <row r="41" spans="1:17" ht="14.25" customHeight="1" thickBot="1">
      <c r="A41" s="2945" t="s">
        <v>296</v>
      </c>
      <c r="B41" s="2946" t="s">
        <v>209</v>
      </c>
      <c r="C41" s="2945">
        <v>21220</v>
      </c>
      <c r="D41" s="2945">
        <v>21120</v>
      </c>
      <c r="E41" s="2945">
        <v>22590</v>
      </c>
      <c r="F41" s="2945"/>
      <c r="G41" s="2958">
        <v>14780</v>
      </c>
      <c r="M41" s="2952" t="s">
        <v>3014</v>
      </c>
      <c r="N41" s="2945" t="s">
        <v>3015</v>
      </c>
      <c r="O41" s="2945" t="s">
        <v>3016</v>
      </c>
      <c r="P41" s="2945" t="s">
        <v>3017</v>
      </c>
      <c r="Q41" s="2945" t="s">
        <v>3018</v>
      </c>
    </row>
    <row r="42" spans="1:17" ht="14.25" customHeight="1">
      <c r="A42" s="2945" t="s">
        <v>296</v>
      </c>
      <c r="B42" s="2946" t="s">
        <v>215</v>
      </c>
      <c r="C42" s="2945">
        <v>24800</v>
      </c>
      <c r="D42" s="2945">
        <v>22280</v>
      </c>
      <c r="E42" s="2945">
        <v>24350</v>
      </c>
      <c r="F42" s="2945"/>
      <c r="G42" s="2958">
        <v>15590</v>
      </c>
      <c r="N42" s="2945" t="s">
        <v>3019</v>
      </c>
      <c r="O42" s="2945" t="s">
        <v>3020</v>
      </c>
      <c r="P42" s="2945" t="s">
        <v>3021</v>
      </c>
      <c r="Q42" s="2945" t="s">
        <v>3022</v>
      </c>
    </row>
    <row r="43" spans="1:17" ht="14.25" customHeight="1">
      <c r="A43" s="2945" t="s">
        <v>3023</v>
      </c>
      <c r="B43" s="2946" t="s">
        <v>223</v>
      </c>
      <c r="C43" s="2945">
        <v>21210</v>
      </c>
      <c r="D43" s="2945">
        <v>21160</v>
      </c>
      <c r="E43" s="2945">
        <v>22650</v>
      </c>
      <c r="F43" s="2945"/>
      <c r="G43" s="2958">
        <v>14800</v>
      </c>
      <c r="N43" s="2945" t="s">
        <v>3024</v>
      </c>
      <c r="O43" s="2945" t="s">
        <v>3025</v>
      </c>
      <c r="P43" s="2945" t="s">
        <v>3026</v>
      </c>
      <c r="Q43" s="2945" t="s">
        <v>3027</v>
      </c>
    </row>
    <row r="44" spans="1:17" ht="14.25" customHeight="1" thickBot="1">
      <c r="A44" s="2945" t="s">
        <v>296</v>
      </c>
      <c r="B44" s="2946" t="s">
        <v>231</v>
      </c>
      <c r="C44" s="2945">
        <v>22370</v>
      </c>
      <c r="D44" s="2945">
        <v>23140</v>
      </c>
      <c r="E44" s="2945">
        <v>25090</v>
      </c>
      <c r="F44" s="2945"/>
      <c r="G44" s="2958">
        <v>16190</v>
      </c>
      <c r="N44" s="2945" t="s">
        <v>3028</v>
      </c>
      <c r="O44" s="2945" t="s">
        <v>3029</v>
      </c>
      <c r="P44" s="2952" t="s">
        <v>3030</v>
      </c>
      <c r="Q44" s="2945" t="s">
        <v>3031</v>
      </c>
    </row>
    <row r="45" spans="1:17" ht="14.25" customHeight="1" thickBot="1">
      <c r="A45" s="2945" t="s">
        <v>296</v>
      </c>
      <c r="B45" s="2946" t="s">
        <v>236</v>
      </c>
      <c r="C45" s="2945">
        <v>21240</v>
      </c>
      <c r="D45" s="2945">
        <v>27050</v>
      </c>
      <c r="E45" s="2945">
        <v>28000</v>
      </c>
      <c r="F45" s="2945"/>
      <c r="G45" s="2958">
        <v>18940</v>
      </c>
      <c r="N45" s="2945" t="s">
        <v>3032</v>
      </c>
      <c r="O45" s="2952" t="s">
        <v>3033</v>
      </c>
      <c r="Q45" s="2945" t="s">
        <v>3034</v>
      </c>
    </row>
    <row r="46" spans="1:17" ht="14.25" customHeight="1">
      <c r="A46" s="2945" t="s">
        <v>296</v>
      </c>
      <c r="B46" s="2946" t="s">
        <v>245</v>
      </c>
      <c r="C46" s="2945">
        <v>23240</v>
      </c>
      <c r="D46" s="2945">
        <v>23000</v>
      </c>
      <c r="E46" s="2945">
        <v>24980</v>
      </c>
      <c r="F46" s="2945"/>
      <c r="G46" s="2958">
        <v>16100</v>
      </c>
      <c r="N46" s="2945" t="s">
        <v>3035</v>
      </c>
      <c r="Q46" s="2945" t="s">
        <v>3036</v>
      </c>
    </row>
    <row r="47" spans="1:17" ht="14.25" customHeight="1">
      <c r="A47" s="2945" t="s">
        <v>296</v>
      </c>
      <c r="B47" s="2946" t="s">
        <v>252</v>
      </c>
      <c r="C47" s="2945">
        <v>27150</v>
      </c>
      <c r="D47" s="2945">
        <v>23310</v>
      </c>
      <c r="E47" s="2945">
        <v>25150</v>
      </c>
      <c r="F47" s="2945"/>
      <c r="G47" s="2958">
        <v>16310</v>
      </c>
      <c r="N47" s="2945" t="s">
        <v>3037</v>
      </c>
      <c r="Q47" s="2945" t="s">
        <v>3038</v>
      </c>
    </row>
    <row r="48" spans="1:17" ht="14.25" customHeight="1">
      <c r="A48" s="2945" t="s">
        <v>296</v>
      </c>
      <c r="B48" s="2946" t="s">
        <v>260</v>
      </c>
      <c r="C48" s="2945">
        <v>23100</v>
      </c>
      <c r="D48" s="2945">
        <v>21110</v>
      </c>
      <c r="E48" s="2945">
        <v>23080</v>
      </c>
      <c r="F48" s="2945"/>
      <c r="G48" s="2958">
        <v>14780</v>
      </c>
      <c r="N48" s="2945" t="s">
        <v>3039</v>
      </c>
      <c r="Q48" s="2945" t="s">
        <v>3040</v>
      </c>
    </row>
    <row r="49" spans="1:17" ht="14.25" customHeight="1">
      <c r="A49" s="2945" t="s">
        <v>296</v>
      </c>
      <c r="B49" s="2946" t="s">
        <v>267</v>
      </c>
      <c r="C49" s="2945">
        <v>23400</v>
      </c>
      <c r="D49" s="2945">
        <v>22920</v>
      </c>
      <c r="E49" s="2945">
        <v>24900</v>
      </c>
      <c r="F49" s="2945"/>
      <c r="G49" s="2958">
        <v>16040</v>
      </c>
      <c r="N49" s="2945" t="s">
        <v>3041</v>
      </c>
      <c r="Q49" s="2945" t="s">
        <v>3042</v>
      </c>
    </row>
    <row r="50" spans="1:17" ht="14.25" customHeight="1">
      <c r="A50" s="2945" t="s">
        <v>296</v>
      </c>
      <c r="B50" s="2946" t="s">
        <v>2919</v>
      </c>
      <c r="C50" s="2945">
        <v>21200</v>
      </c>
      <c r="D50" s="2945">
        <v>26540</v>
      </c>
      <c r="E50" s="2945">
        <v>23200</v>
      </c>
      <c r="F50" s="2945"/>
      <c r="G50" s="2958">
        <v>18580</v>
      </c>
      <c r="N50" s="2945" t="s">
        <v>3043</v>
      </c>
      <c r="Q50" s="2946" t="s">
        <v>3044</v>
      </c>
    </row>
    <row r="51" spans="1:17" ht="14.25" customHeight="1" thickBot="1">
      <c r="A51" s="2945" t="s">
        <v>296</v>
      </c>
      <c r="B51" s="2946" t="s">
        <v>2921</v>
      </c>
      <c r="C51" s="2945">
        <v>23000</v>
      </c>
      <c r="D51" s="2945">
        <v>23460</v>
      </c>
      <c r="E51" s="2945">
        <v>25290</v>
      </c>
      <c r="F51" s="2945"/>
      <c r="G51" s="2958">
        <v>16420</v>
      </c>
      <c r="N51" s="2945" t="s">
        <v>3045</v>
      </c>
      <c r="Q51" s="2952" t="s">
        <v>3046</v>
      </c>
    </row>
    <row r="52" spans="1:17" ht="14.25" customHeight="1">
      <c r="A52" s="2945" t="s">
        <v>296</v>
      </c>
      <c r="B52" s="2946" t="s">
        <v>2925</v>
      </c>
      <c r="C52" s="2945">
        <v>26660</v>
      </c>
      <c r="D52" s="2945">
        <v>22350</v>
      </c>
      <c r="E52" s="2945">
        <v>22920</v>
      </c>
      <c r="F52" s="2945"/>
      <c r="G52" s="2958">
        <v>15640</v>
      </c>
      <c r="N52" s="2945" t="s">
        <v>3047</v>
      </c>
    </row>
    <row r="53" spans="1:17" ht="14.25" customHeight="1">
      <c r="A53" s="2945" t="s">
        <v>296</v>
      </c>
      <c r="B53" s="2946" t="s">
        <v>2930</v>
      </c>
      <c r="C53" s="2945">
        <v>23580</v>
      </c>
      <c r="D53" s="2945"/>
      <c r="E53" s="2945">
        <v>24280</v>
      </c>
      <c r="F53" s="2945"/>
      <c r="G53" s="2958"/>
      <c r="N53" s="2945" t="s">
        <v>3048</v>
      </c>
    </row>
    <row r="54" spans="1:17" ht="14.25" customHeight="1" thickBot="1">
      <c r="A54" s="2959" t="s">
        <v>296</v>
      </c>
      <c r="B54" s="2951" t="s">
        <v>2933</v>
      </c>
      <c r="C54" s="2952">
        <v>22460</v>
      </c>
      <c r="D54" s="2952"/>
      <c r="E54" s="2952"/>
      <c r="F54" s="2952"/>
      <c r="G54" s="2960"/>
      <c r="N54" s="2945" t="s">
        <v>3049</v>
      </c>
    </row>
    <row r="55" spans="1:17" ht="14.25" customHeight="1">
      <c r="A55" s="2950" t="s">
        <v>110</v>
      </c>
      <c r="B55" s="2941" t="s">
        <v>3050</v>
      </c>
      <c r="C55" s="2945">
        <v>21970</v>
      </c>
      <c r="D55" s="2945">
        <v>20370</v>
      </c>
      <c r="E55" s="2945">
        <v>20180</v>
      </c>
      <c r="F55" s="2945">
        <v>5730</v>
      </c>
      <c r="G55" s="2945">
        <v>13820</v>
      </c>
      <c r="N55" s="2945" t="s">
        <v>3051</v>
      </c>
    </row>
    <row r="56" spans="1:17" ht="14.25" customHeight="1">
      <c r="A56" s="2945" t="s">
        <v>110</v>
      </c>
      <c r="B56" s="2945" t="s">
        <v>130</v>
      </c>
      <c r="C56" s="2945">
        <v>20470</v>
      </c>
      <c r="D56" s="2945">
        <v>20700</v>
      </c>
      <c r="E56" s="2945">
        <v>20380</v>
      </c>
      <c r="F56" s="2945">
        <v>4760</v>
      </c>
      <c r="G56" s="2945">
        <v>14050</v>
      </c>
      <c r="N56" s="2945" t="s">
        <v>3052</v>
      </c>
    </row>
    <row r="57" spans="1:17" ht="14.25" customHeight="1">
      <c r="A57" s="2945" t="s">
        <v>110</v>
      </c>
      <c r="B57" s="2945" t="s">
        <v>139</v>
      </c>
      <c r="C57" s="2945">
        <v>20790</v>
      </c>
      <c r="D57" s="2945">
        <v>21370</v>
      </c>
      <c r="E57" s="2945">
        <v>20890</v>
      </c>
      <c r="F57" s="2945">
        <v>4910</v>
      </c>
      <c r="G57" s="2945">
        <v>14510</v>
      </c>
      <c r="N57" s="2945" t="s">
        <v>3053</v>
      </c>
    </row>
    <row r="58" spans="1:17" ht="14.25" customHeight="1">
      <c r="A58" s="2945" t="s">
        <v>110</v>
      </c>
      <c r="B58" s="2945" t="s">
        <v>148</v>
      </c>
      <c r="C58" s="2945">
        <v>21460</v>
      </c>
      <c r="D58" s="2945">
        <v>20920</v>
      </c>
      <c r="E58" s="2945">
        <v>23410</v>
      </c>
      <c r="F58" s="2945">
        <v>5100</v>
      </c>
      <c r="G58" s="2945">
        <v>14200</v>
      </c>
      <c r="N58" s="2945" t="s">
        <v>3054</v>
      </c>
    </row>
    <row r="59" spans="1:17" ht="14.25" customHeight="1">
      <c r="A59" s="2945" t="s">
        <v>110</v>
      </c>
      <c r="B59" s="2945" t="s">
        <v>157</v>
      </c>
      <c r="C59" s="2945">
        <v>21000</v>
      </c>
      <c r="D59" s="2945">
        <v>21550</v>
      </c>
      <c r="E59" s="2945">
        <v>21150</v>
      </c>
      <c r="F59" s="2945">
        <v>5250</v>
      </c>
      <c r="G59" s="2945">
        <v>14630</v>
      </c>
      <c r="N59" s="2945" t="s">
        <v>3055</v>
      </c>
    </row>
    <row r="60" spans="1:17" ht="14.25" customHeight="1">
      <c r="A60" s="2945" t="s">
        <v>110</v>
      </c>
      <c r="B60" s="2945" t="s">
        <v>164</v>
      </c>
      <c r="C60" s="2945">
        <v>21640</v>
      </c>
      <c r="D60" s="2945">
        <v>21260</v>
      </c>
      <c r="E60" s="2945">
        <v>24040</v>
      </c>
      <c r="F60" s="2945">
        <v>4470</v>
      </c>
      <c r="G60" s="2945">
        <v>14430</v>
      </c>
      <c r="N60" s="2945" t="s">
        <v>3056</v>
      </c>
    </row>
    <row r="61" spans="1:17" ht="14.25" customHeight="1">
      <c r="A61" s="2945" t="s">
        <v>110</v>
      </c>
      <c r="B61" s="2945" t="s">
        <v>170</v>
      </c>
      <c r="C61" s="2945">
        <v>21330</v>
      </c>
      <c r="D61" s="2945">
        <v>18640</v>
      </c>
      <c r="E61" s="2945">
        <v>21190</v>
      </c>
      <c r="F61" s="2945">
        <v>4180</v>
      </c>
      <c r="G61" s="2945">
        <v>12650</v>
      </c>
      <c r="N61" s="2945" t="s">
        <v>3057</v>
      </c>
    </row>
    <row r="62" spans="1:17" ht="14.25" customHeight="1">
      <c r="A62" s="2945" t="s">
        <v>110</v>
      </c>
      <c r="B62" s="2945" t="s">
        <v>177</v>
      </c>
      <c r="C62" s="2945">
        <v>18710</v>
      </c>
      <c r="D62" s="2945">
        <v>19400</v>
      </c>
      <c r="E62" s="2945">
        <v>23750</v>
      </c>
      <c r="F62" s="2945">
        <v>4860</v>
      </c>
      <c r="G62" s="2945">
        <v>13170</v>
      </c>
      <c r="N62" s="2945" t="s">
        <v>3058</v>
      </c>
    </row>
    <row r="63" spans="1:17" ht="14.25" customHeight="1">
      <c r="A63" s="2945" t="s">
        <v>110</v>
      </c>
      <c r="B63" s="2945" t="s">
        <v>187</v>
      </c>
      <c r="C63" s="2945">
        <v>19480</v>
      </c>
      <c r="D63" s="2945">
        <v>16830</v>
      </c>
      <c r="E63" s="2945">
        <v>21590</v>
      </c>
      <c r="F63" s="2945">
        <v>4560</v>
      </c>
      <c r="G63" s="2945">
        <v>11420</v>
      </c>
      <c r="N63" s="2945" t="s">
        <v>3059</v>
      </c>
    </row>
    <row r="64" spans="1:17" ht="14.25" customHeight="1" thickBot="1">
      <c r="A64" s="2945" t="s">
        <v>110</v>
      </c>
      <c r="B64" s="2945" t="s">
        <v>196</v>
      </c>
      <c r="C64" s="2945">
        <v>16920</v>
      </c>
      <c r="D64" s="2945">
        <v>19190</v>
      </c>
      <c r="E64" s="2945">
        <v>22200</v>
      </c>
      <c r="F64" s="2945">
        <v>4390</v>
      </c>
      <c r="G64" s="2945">
        <v>13030</v>
      </c>
      <c r="N64" s="2952" t="s">
        <v>3060</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2931</v>
      </c>
      <c r="C78" s="2945">
        <v>19820</v>
      </c>
      <c r="D78" s="2945">
        <v>19780</v>
      </c>
      <c r="E78" s="2945">
        <v>18560</v>
      </c>
      <c r="F78" s="2945"/>
      <c r="G78" s="2945">
        <v>13430</v>
      </c>
    </row>
    <row r="79" spans="1:7" s="2779" customFormat="1" ht="14.25" customHeight="1">
      <c r="A79" s="2945" t="s">
        <v>110</v>
      </c>
      <c r="B79" s="2945" t="s">
        <v>2934</v>
      </c>
      <c r="C79" s="2945">
        <v>21660</v>
      </c>
      <c r="D79" s="2945">
        <v>18000</v>
      </c>
      <c r="E79" s="2945">
        <v>22570</v>
      </c>
      <c r="F79" s="2945"/>
      <c r="G79" s="2945">
        <v>12220</v>
      </c>
    </row>
    <row r="80" spans="1:7" s="2779" customFormat="1" ht="14.25" customHeight="1">
      <c r="A80" s="2945" t="s">
        <v>110</v>
      </c>
      <c r="B80" s="2945" t="s">
        <v>2938</v>
      </c>
      <c r="C80" s="2945">
        <v>19850</v>
      </c>
      <c r="D80" s="2945"/>
      <c r="E80" s="2945">
        <v>21700</v>
      </c>
      <c r="F80" s="2945"/>
      <c r="G80" s="2945"/>
    </row>
    <row r="81" spans="1:7" s="2779" customFormat="1" ht="14.25" customHeight="1">
      <c r="A81" s="2945" t="s">
        <v>110</v>
      </c>
      <c r="B81" s="2945" t="s">
        <v>2943</v>
      </c>
      <c r="C81" s="2945">
        <v>18080</v>
      </c>
      <c r="D81" s="2945"/>
      <c r="E81" s="2945">
        <v>20900</v>
      </c>
      <c r="F81" s="2945"/>
      <c r="G81" s="2945"/>
    </row>
    <row r="82" spans="1:7" s="2779" customFormat="1" ht="14.25" customHeight="1">
      <c r="A82" s="2945" t="s">
        <v>110</v>
      </c>
      <c r="B82" s="2945" t="s">
        <v>2950</v>
      </c>
      <c r="C82" s="2945"/>
      <c r="D82" s="2945"/>
      <c r="E82" s="2945">
        <v>20840</v>
      </c>
      <c r="F82" s="2945"/>
      <c r="G82" s="2945"/>
    </row>
    <row r="83" spans="1:7" s="2779" customFormat="1" ht="14.25" customHeight="1">
      <c r="A83" s="2945" t="s">
        <v>110</v>
      </c>
      <c r="B83" s="2945" t="s">
        <v>3061</v>
      </c>
      <c r="C83" s="2945"/>
      <c r="D83" s="2945"/>
      <c r="E83" s="2945"/>
      <c r="F83" s="2945">
        <v>4770</v>
      </c>
      <c r="G83" s="2945"/>
    </row>
    <row r="84" spans="1:7" s="2779" customFormat="1" ht="14.25" customHeight="1">
      <c r="A84" s="2945" t="s">
        <v>110</v>
      </c>
      <c r="B84" s="2945" t="s">
        <v>3062</v>
      </c>
      <c r="C84" s="2945"/>
      <c r="D84" s="2945"/>
      <c r="E84" s="2945"/>
      <c r="F84" s="2945">
        <v>4600</v>
      </c>
      <c r="G84" s="2945"/>
    </row>
    <row r="85" spans="1:7" s="2779" customFormat="1" ht="14.25" customHeight="1">
      <c r="A85" s="2945" t="s">
        <v>110</v>
      </c>
      <c r="B85" s="2945" t="s">
        <v>3063</v>
      </c>
      <c r="C85" s="2945"/>
      <c r="D85" s="2945"/>
      <c r="E85" s="2945"/>
      <c r="F85" s="2945">
        <v>4680</v>
      </c>
      <c r="G85" s="2945"/>
    </row>
    <row r="86" spans="1:7" s="2779" customFormat="1" ht="14.25" customHeight="1" thickBot="1">
      <c r="A86" s="2953" t="s">
        <v>110</v>
      </c>
      <c r="B86" s="2955" t="s">
        <v>3064</v>
      </c>
      <c r="C86" s="2956">
        <v>16610</v>
      </c>
      <c r="D86" s="2956">
        <v>16540</v>
      </c>
      <c r="E86" s="2956">
        <v>18850</v>
      </c>
      <c r="F86" s="2956"/>
      <c r="G86" s="2956">
        <v>11220</v>
      </c>
    </row>
    <row r="87" spans="1:7" s="2779" customFormat="1" ht="14.25" customHeight="1">
      <c r="A87" s="2950" t="s">
        <v>303</v>
      </c>
      <c r="B87" s="2941" t="s">
        <v>3065</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2944</v>
      </c>
      <c r="C113" s="2945">
        <v>15520</v>
      </c>
      <c r="D113" s="2945">
        <v>15450</v>
      </c>
      <c r="E113" s="2945"/>
      <c r="F113" s="2945"/>
      <c r="G113" s="2958">
        <v>10210</v>
      </c>
    </row>
    <row r="114" spans="1:7" s="2779" customFormat="1" ht="14.25" customHeight="1">
      <c r="A114" s="2945" t="s">
        <v>303</v>
      </c>
      <c r="B114" s="2945" t="s">
        <v>2951</v>
      </c>
      <c r="C114" s="2945">
        <v>13110</v>
      </c>
      <c r="D114" s="2945">
        <v>13050</v>
      </c>
      <c r="E114" s="2945"/>
      <c r="F114" s="2945"/>
      <c r="G114" s="2958">
        <v>8620</v>
      </c>
    </row>
    <row r="115" spans="1:7" s="2779" customFormat="1" ht="14.25" customHeight="1">
      <c r="A115" s="2945" t="s">
        <v>303</v>
      </c>
      <c r="B115" s="2945" t="s">
        <v>2957</v>
      </c>
      <c r="C115" s="2945">
        <v>12460</v>
      </c>
      <c r="D115" s="2945">
        <v>12390</v>
      </c>
      <c r="E115" s="2945"/>
      <c r="F115" s="2945"/>
      <c r="G115" s="2958">
        <v>8190</v>
      </c>
    </row>
    <row r="116" spans="1:7" s="2779" customFormat="1" ht="14.25" customHeight="1">
      <c r="A116" s="2945" t="s">
        <v>303</v>
      </c>
      <c r="B116" s="2945" t="s">
        <v>2964</v>
      </c>
      <c r="C116" s="2945">
        <v>13580</v>
      </c>
      <c r="D116" s="2945">
        <v>13520</v>
      </c>
      <c r="E116" s="2945"/>
      <c r="F116" s="2945"/>
      <c r="G116" s="2958">
        <v>8930</v>
      </c>
    </row>
    <row r="117" spans="1:7" s="2779" customFormat="1" ht="14.25" customHeight="1">
      <c r="A117" s="2945" t="s">
        <v>303</v>
      </c>
      <c r="B117" s="2945" t="s">
        <v>2971</v>
      </c>
      <c r="C117" s="2945">
        <v>17120</v>
      </c>
      <c r="D117" s="2945">
        <v>17040</v>
      </c>
      <c r="E117" s="2945"/>
      <c r="F117" s="2945"/>
      <c r="G117" s="2958">
        <v>11260</v>
      </c>
    </row>
    <row r="118" spans="1:7" s="2779" customFormat="1" ht="14.25" customHeight="1">
      <c r="A118" s="2945" t="s">
        <v>303</v>
      </c>
      <c r="B118" s="2945" t="s">
        <v>2976</v>
      </c>
      <c r="C118" s="2945">
        <v>14860</v>
      </c>
      <c r="D118" s="2945">
        <v>14790</v>
      </c>
      <c r="E118" s="2945"/>
      <c r="F118" s="2945"/>
      <c r="G118" s="2958">
        <v>9780</v>
      </c>
    </row>
    <row r="119" spans="1:7" s="2779" customFormat="1" ht="14.25" customHeight="1">
      <c r="A119" s="2945" t="s">
        <v>303</v>
      </c>
      <c r="B119" s="2945" t="s">
        <v>2980</v>
      </c>
      <c r="C119" s="2945">
        <v>16470</v>
      </c>
      <c r="D119" s="2945">
        <v>16400</v>
      </c>
      <c r="E119" s="2945"/>
      <c r="F119" s="2945"/>
      <c r="G119" s="2958">
        <v>10840</v>
      </c>
    </row>
    <row r="120" spans="1:7" s="2779" customFormat="1" ht="14.25" customHeight="1">
      <c r="A120" s="2945" t="s">
        <v>303</v>
      </c>
      <c r="B120" s="2945" t="s">
        <v>3066</v>
      </c>
      <c r="C120" s="2945"/>
      <c r="D120" s="2945"/>
      <c r="E120" s="2945"/>
      <c r="F120" s="2945">
        <v>4160</v>
      </c>
      <c r="G120" s="2958"/>
    </row>
    <row r="121" spans="1:7" s="2779" customFormat="1" ht="14.25" customHeight="1">
      <c r="A121" s="2945" t="s">
        <v>303</v>
      </c>
      <c r="B121" s="2945" t="s">
        <v>3067</v>
      </c>
      <c r="C121" s="2945"/>
      <c r="D121" s="2945"/>
      <c r="E121" s="2945"/>
      <c r="F121" s="2945">
        <v>3880</v>
      </c>
      <c r="G121" s="2958"/>
    </row>
    <row r="122" spans="1:7" s="2779" customFormat="1" ht="14.25" customHeight="1">
      <c r="A122" s="2945" t="s">
        <v>303</v>
      </c>
      <c r="B122" s="2945" t="s">
        <v>3068</v>
      </c>
      <c r="C122" s="2945">
        <v>13750</v>
      </c>
      <c r="D122" s="2945">
        <v>13680</v>
      </c>
      <c r="E122" s="2945">
        <v>16460</v>
      </c>
      <c r="F122" s="2945">
        <v>2880</v>
      </c>
      <c r="G122" s="2958">
        <v>9040</v>
      </c>
    </row>
    <row r="123" spans="1:7" s="2779" customFormat="1" ht="14.25" customHeight="1">
      <c r="A123" s="2945" t="s">
        <v>303</v>
      </c>
      <c r="B123" s="2945" t="s">
        <v>2999</v>
      </c>
      <c r="C123" s="2945">
        <v>13590</v>
      </c>
      <c r="D123" s="2945">
        <v>13520</v>
      </c>
      <c r="E123" s="2945">
        <v>16290</v>
      </c>
      <c r="F123" s="2945">
        <v>2790</v>
      </c>
      <c r="G123" s="2958">
        <v>8930</v>
      </c>
    </row>
    <row r="124" spans="1:7" s="2779" customFormat="1" ht="14.25" customHeight="1">
      <c r="A124" s="2945" t="s">
        <v>303</v>
      </c>
      <c r="B124" s="2945" t="s">
        <v>3004</v>
      </c>
      <c r="C124" s="2945">
        <v>13400</v>
      </c>
      <c r="D124" s="2945">
        <v>13320</v>
      </c>
      <c r="E124" s="2945">
        <v>16100</v>
      </c>
      <c r="F124" s="2945">
        <v>2320</v>
      </c>
      <c r="G124" s="2958">
        <v>8800</v>
      </c>
    </row>
    <row r="125" spans="1:7" s="2779" customFormat="1" ht="14.25" customHeight="1">
      <c r="A125" s="2945" t="s">
        <v>303</v>
      </c>
      <c r="B125" s="2945" t="s">
        <v>3009</v>
      </c>
      <c r="C125" s="2945">
        <v>12860</v>
      </c>
      <c r="D125" s="2945">
        <v>12790</v>
      </c>
      <c r="E125" s="2945">
        <v>15370</v>
      </c>
      <c r="F125" s="2945">
        <v>2280</v>
      </c>
      <c r="G125" s="2958">
        <v>8450</v>
      </c>
    </row>
    <row r="126" spans="1:7" s="2779" customFormat="1" ht="14.25" customHeight="1" thickBot="1">
      <c r="A126" s="2959" t="s">
        <v>303</v>
      </c>
      <c r="B126" s="2952" t="s">
        <v>3014</v>
      </c>
      <c r="C126" s="2952">
        <v>12960</v>
      </c>
      <c r="D126" s="2952">
        <v>12890</v>
      </c>
      <c r="E126" s="2952">
        <v>15530</v>
      </c>
      <c r="F126" s="2952">
        <v>2910</v>
      </c>
      <c r="G126" s="2960">
        <v>8520</v>
      </c>
    </row>
    <row r="127" spans="1:7" s="2779" customFormat="1" ht="14.25" customHeight="1">
      <c r="A127" s="2950" t="s">
        <v>29</v>
      </c>
      <c r="B127" s="2941" t="s">
        <v>3069</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3070</v>
      </c>
      <c r="C148" s="2945">
        <v>10370</v>
      </c>
      <c r="D148" s="2945">
        <v>10310</v>
      </c>
      <c r="E148" s="2945">
        <v>12970</v>
      </c>
      <c r="F148" s="2945"/>
      <c r="G148" s="2945">
        <v>6630</v>
      </c>
    </row>
    <row r="149" spans="1:7" s="2779" customFormat="1" ht="14.25" customHeight="1">
      <c r="A149" s="2945" t="s">
        <v>29</v>
      </c>
      <c r="B149" s="2945" t="s">
        <v>3071</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2945</v>
      </c>
      <c r="C153" s="2945">
        <v>10880</v>
      </c>
      <c r="D153" s="2945">
        <v>10820</v>
      </c>
      <c r="E153" s="2945">
        <v>13660</v>
      </c>
      <c r="F153" s="2945">
        <v>2260</v>
      </c>
      <c r="G153" s="2945">
        <v>6970</v>
      </c>
    </row>
    <row r="154" spans="1:7" s="2779" customFormat="1" ht="14.25" customHeight="1">
      <c r="A154" s="2945" t="s">
        <v>29</v>
      </c>
      <c r="B154" s="2945" t="s">
        <v>3072</v>
      </c>
      <c r="C154" s="2945">
        <v>11220</v>
      </c>
      <c r="D154" s="2945">
        <v>11160</v>
      </c>
      <c r="E154" s="2945">
        <v>14130</v>
      </c>
      <c r="F154" s="2945">
        <v>2230</v>
      </c>
      <c r="G154" s="2945">
        <v>7180</v>
      </c>
    </row>
    <row r="155" spans="1:7" s="2779" customFormat="1" ht="14.25" customHeight="1">
      <c r="A155" s="2945" t="s">
        <v>29</v>
      </c>
      <c r="B155" s="2945" t="s">
        <v>2958</v>
      </c>
      <c r="C155" s="2945">
        <v>10430</v>
      </c>
      <c r="D155" s="2945">
        <v>10380</v>
      </c>
      <c r="E155" s="2945">
        <v>13140</v>
      </c>
      <c r="F155" s="2945">
        <v>2080</v>
      </c>
      <c r="G155" s="2945">
        <v>6650</v>
      </c>
    </row>
    <row r="156" spans="1:7" s="2779" customFormat="1" ht="14.25" customHeight="1">
      <c r="A156" s="2945" t="s">
        <v>29</v>
      </c>
      <c r="B156" s="2945" t="s">
        <v>3073</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3074</v>
      </c>
      <c r="C160" s="2945">
        <v>11180</v>
      </c>
      <c r="D160" s="2945">
        <v>11140</v>
      </c>
      <c r="E160" s="2945">
        <v>14050</v>
      </c>
      <c r="F160" s="2945">
        <v>2270</v>
      </c>
      <c r="G160" s="2945">
        <v>7170</v>
      </c>
    </row>
    <row r="161" spans="1:7" s="2779" customFormat="1" ht="14.25" customHeight="1">
      <c r="A161" s="2945" t="s">
        <v>29</v>
      </c>
      <c r="B161" s="2945" t="s">
        <v>2990</v>
      </c>
      <c r="C161" s="2945">
        <v>11160</v>
      </c>
      <c r="D161" s="2945">
        <v>11120</v>
      </c>
      <c r="E161" s="2945">
        <v>14020</v>
      </c>
      <c r="F161" s="2945">
        <v>2150</v>
      </c>
      <c r="G161" s="2945">
        <v>7160</v>
      </c>
    </row>
    <row r="162" spans="1:7" s="2779" customFormat="1" ht="14.25" customHeight="1">
      <c r="A162" s="2945" t="s">
        <v>29</v>
      </c>
      <c r="B162" s="2945" t="s">
        <v>2995</v>
      </c>
      <c r="C162" s="2945">
        <v>9620</v>
      </c>
      <c r="D162" s="2945">
        <v>9570</v>
      </c>
      <c r="E162" s="2945">
        <v>12320</v>
      </c>
      <c r="F162" s="2945">
        <v>2010</v>
      </c>
      <c r="G162" s="2945">
        <v>6160</v>
      </c>
    </row>
    <row r="163" spans="1:7" s="2779" customFormat="1" ht="14.25" customHeight="1">
      <c r="A163" s="2945" t="s">
        <v>29</v>
      </c>
      <c r="B163" s="2945" t="s">
        <v>3000</v>
      </c>
      <c r="C163" s="2945">
        <v>9320</v>
      </c>
      <c r="D163" s="2945">
        <v>9270</v>
      </c>
      <c r="E163" s="2945">
        <v>11790</v>
      </c>
      <c r="F163" s="2945">
        <v>1920</v>
      </c>
      <c r="G163" s="2945">
        <v>5960</v>
      </c>
    </row>
    <row r="164" spans="1:7" s="2779" customFormat="1" ht="14.25" customHeight="1">
      <c r="A164" s="2945" t="s">
        <v>29</v>
      </c>
      <c r="B164" s="2945" t="s">
        <v>3005</v>
      </c>
      <c r="C164" s="2945"/>
      <c r="D164" s="2945"/>
      <c r="E164" s="2945"/>
      <c r="F164" s="2945">
        <v>1980</v>
      </c>
      <c r="G164" s="2945"/>
    </row>
    <row r="165" spans="1:7" s="2779" customFormat="1" ht="14.25" customHeight="1">
      <c r="A165" s="2945" t="s">
        <v>29</v>
      </c>
      <c r="B165" s="2945" t="s">
        <v>3075</v>
      </c>
      <c r="C165" s="2945">
        <v>11060</v>
      </c>
      <c r="D165" s="2945">
        <v>11030</v>
      </c>
      <c r="E165" s="2945">
        <v>13850</v>
      </c>
      <c r="F165" s="2945">
        <v>2170</v>
      </c>
      <c r="G165" s="2945">
        <v>7090</v>
      </c>
    </row>
    <row r="166" spans="1:7" s="2779" customFormat="1" ht="14.25" customHeight="1">
      <c r="A166" s="2945" t="s">
        <v>29</v>
      </c>
      <c r="B166" s="2945" t="s">
        <v>3015</v>
      </c>
      <c r="C166" s="2945">
        <v>11050</v>
      </c>
      <c r="D166" s="2945">
        <v>11010</v>
      </c>
      <c r="E166" s="2945">
        <v>13920</v>
      </c>
      <c r="F166" s="2945">
        <v>2140</v>
      </c>
      <c r="G166" s="2945">
        <v>7080</v>
      </c>
    </row>
    <row r="167" spans="1:7" s="2779" customFormat="1" ht="14.25" customHeight="1">
      <c r="A167" s="2945" t="s">
        <v>29</v>
      </c>
      <c r="B167" s="2945" t="s">
        <v>3019</v>
      </c>
      <c r="C167" s="2945">
        <v>10930</v>
      </c>
      <c r="D167" s="2945">
        <v>10890</v>
      </c>
      <c r="E167" s="2945">
        <v>13790</v>
      </c>
      <c r="F167" s="2945">
        <v>2010</v>
      </c>
      <c r="G167" s="2945">
        <v>7000</v>
      </c>
    </row>
    <row r="168" spans="1:7" s="2779" customFormat="1" ht="14.25" customHeight="1">
      <c r="A168" s="2945" t="s">
        <v>29</v>
      </c>
      <c r="B168" s="2945" t="s">
        <v>3024</v>
      </c>
      <c r="C168" s="2945">
        <v>9420</v>
      </c>
      <c r="D168" s="2945">
        <v>9380</v>
      </c>
      <c r="E168" s="2945">
        <v>11970</v>
      </c>
      <c r="F168" s="2945"/>
      <c r="G168" s="2945">
        <v>6040</v>
      </c>
    </row>
    <row r="169" spans="1:7" s="2779" customFormat="1" ht="14.25" customHeight="1">
      <c r="A169" s="2945" t="s">
        <v>29</v>
      </c>
      <c r="B169" s="2945" t="s">
        <v>3076</v>
      </c>
      <c r="C169" s="2945"/>
      <c r="D169" s="2945"/>
      <c r="E169" s="2945"/>
      <c r="F169" s="2945">
        <v>2880</v>
      </c>
      <c r="G169" s="2945"/>
    </row>
    <row r="170" spans="1:7" s="2779" customFormat="1" ht="14.25" customHeight="1">
      <c r="A170" s="2945" t="s">
        <v>29</v>
      </c>
      <c r="B170" s="2945" t="s">
        <v>3032</v>
      </c>
      <c r="C170" s="2945"/>
      <c r="D170" s="2945"/>
      <c r="E170" s="2945"/>
      <c r="F170" s="2945">
        <v>2880</v>
      </c>
      <c r="G170" s="2945"/>
    </row>
    <row r="171" spans="1:7" s="2779" customFormat="1" ht="14.25" customHeight="1">
      <c r="A171" s="2945" t="s">
        <v>29</v>
      </c>
      <c r="B171" s="2945" t="s">
        <v>3035</v>
      </c>
      <c r="C171" s="2945"/>
      <c r="D171" s="2945"/>
      <c r="E171" s="2945"/>
      <c r="F171" s="2945">
        <v>2880</v>
      </c>
      <c r="G171" s="2945"/>
    </row>
    <row r="172" spans="1:7" s="2779" customFormat="1" ht="14.25" customHeight="1">
      <c r="A172" s="2945" t="s">
        <v>29</v>
      </c>
      <c r="B172" s="2945" t="s">
        <v>3037</v>
      </c>
      <c r="C172" s="2945"/>
      <c r="D172" s="2945"/>
      <c r="E172" s="2945"/>
      <c r="F172" s="2945">
        <v>2880</v>
      </c>
      <c r="G172" s="2945"/>
    </row>
    <row r="173" spans="1:7" s="2779" customFormat="1" ht="14.25" customHeight="1">
      <c r="A173" s="2945" t="s">
        <v>29</v>
      </c>
      <c r="B173" s="2945" t="s">
        <v>3039</v>
      </c>
      <c r="C173" s="2945"/>
      <c r="D173" s="2945"/>
      <c r="E173" s="2945"/>
      <c r="F173" s="2945">
        <v>2150</v>
      </c>
      <c r="G173" s="2945"/>
    </row>
    <row r="174" spans="1:7" s="2779" customFormat="1" ht="14.25" customHeight="1">
      <c r="A174" s="2945" t="s">
        <v>29</v>
      </c>
      <c r="B174" s="2945" t="s">
        <v>3041</v>
      </c>
      <c r="C174" s="2945"/>
      <c r="D174" s="2945"/>
      <c r="E174" s="2945"/>
      <c r="F174" s="2945">
        <v>2030</v>
      </c>
      <c r="G174" s="2945"/>
    </row>
    <row r="175" spans="1:7" s="2779" customFormat="1" ht="14.25" customHeight="1">
      <c r="A175" s="2945" t="s">
        <v>29</v>
      </c>
      <c r="B175" s="2945" t="s">
        <v>3043</v>
      </c>
      <c r="C175" s="2945"/>
      <c r="D175" s="2945"/>
      <c r="E175" s="2945"/>
      <c r="F175" s="2945">
        <v>2780</v>
      </c>
      <c r="G175" s="2945"/>
    </row>
    <row r="176" spans="1:7" s="2779" customFormat="1" ht="14.25" customHeight="1">
      <c r="A176" s="2945" t="s">
        <v>29</v>
      </c>
      <c r="B176" s="2945" t="s">
        <v>3045</v>
      </c>
      <c r="C176" s="2945"/>
      <c r="D176" s="2945"/>
      <c r="E176" s="2945"/>
      <c r="F176" s="2945">
        <v>2780</v>
      </c>
      <c r="G176" s="2945"/>
    </row>
    <row r="177" spans="1:7" s="2779" customFormat="1" ht="14.25" customHeight="1">
      <c r="A177" s="2945" t="s">
        <v>29</v>
      </c>
      <c r="B177" s="2945" t="s">
        <v>3077</v>
      </c>
      <c r="C177" s="2945"/>
      <c r="D177" s="2945"/>
      <c r="E177" s="2945"/>
      <c r="F177" s="2945">
        <v>2780</v>
      </c>
      <c r="G177" s="2945"/>
    </row>
    <row r="178" spans="1:7" s="2779" customFormat="1" ht="14.25" customHeight="1">
      <c r="A178" s="2945" t="s">
        <v>29</v>
      </c>
      <c r="B178" s="2945" t="s">
        <v>3078</v>
      </c>
      <c r="C178" s="2945"/>
      <c r="D178" s="2945"/>
      <c r="E178" s="2945"/>
      <c r="F178" s="2945">
        <v>2060</v>
      </c>
      <c r="G178" s="2945"/>
    </row>
    <row r="179" spans="1:7" s="2779" customFormat="1" ht="14.25" customHeight="1">
      <c r="A179" s="2945" t="s">
        <v>29</v>
      </c>
      <c r="B179" s="2945" t="s">
        <v>3079</v>
      </c>
      <c r="C179" s="2945"/>
      <c r="D179" s="2945"/>
      <c r="E179" s="2945"/>
      <c r="F179" s="2945">
        <v>2120</v>
      </c>
      <c r="G179" s="2945"/>
    </row>
    <row r="180" spans="1:7" s="2779" customFormat="1" ht="14.25" customHeight="1">
      <c r="A180" s="2945" t="s">
        <v>29</v>
      </c>
      <c r="B180" s="2945" t="s">
        <v>3051</v>
      </c>
      <c r="C180" s="2945"/>
      <c r="D180" s="2945"/>
      <c r="E180" s="2945"/>
      <c r="F180" s="2945">
        <v>2340</v>
      </c>
      <c r="G180" s="2945"/>
    </row>
    <row r="181" spans="1:7" s="2779" customFormat="1" ht="14.25" customHeight="1">
      <c r="A181" s="2945" t="s">
        <v>29</v>
      </c>
      <c r="B181" s="2945" t="s">
        <v>3052</v>
      </c>
      <c r="C181" s="2945"/>
      <c r="D181" s="2945"/>
      <c r="E181" s="2945"/>
      <c r="F181" s="2945">
        <v>2340</v>
      </c>
      <c r="G181" s="2945"/>
    </row>
    <row r="182" spans="1:7" s="2779" customFormat="1" ht="14.25" customHeight="1">
      <c r="A182" s="2945" t="s">
        <v>29</v>
      </c>
      <c r="B182" s="2945" t="s">
        <v>3053</v>
      </c>
      <c r="C182" s="2945"/>
      <c r="D182" s="2945"/>
      <c r="E182" s="2945"/>
      <c r="F182" s="2945">
        <v>2340</v>
      </c>
      <c r="G182" s="2945"/>
    </row>
    <row r="183" spans="1:7" s="2779" customFormat="1" ht="14.25" customHeight="1">
      <c r="A183" s="2945" t="s">
        <v>29</v>
      </c>
      <c r="B183" s="2945" t="s">
        <v>3054</v>
      </c>
      <c r="C183" s="2945"/>
      <c r="D183" s="2945"/>
      <c r="E183" s="2945"/>
      <c r="F183" s="2945">
        <v>2340</v>
      </c>
      <c r="G183" s="2945"/>
    </row>
    <row r="184" spans="1:7" s="2779" customFormat="1" ht="14.25" customHeight="1">
      <c r="A184" s="2945" t="s">
        <v>29</v>
      </c>
      <c r="B184" s="2945" t="s">
        <v>3055</v>
      </c>
      <c r="C184" s="2945"/>
      <c r="D184" s="2945"/>
      <c r="E184" s="2945"/>
      <c r="F184" s="2945">
        <v>2340</v>
      </c>
      <c r="G184" s="2945"/>
    </row>
    <row r="185" spans="1:7" s="2779" customFormat="1" ht="14.25" customHeight="1">
      <c r="A185" s="2945" t="s">
        <v>29</v>
      </c>
      <c r="B185" s="2945" t="s">
        <v>3056</v>
      </c>
      <c r="C185" s="2945"/>
      <c r="D185" s="2945"/>
      <c r="E185" s="2945"/>
      <c r="F185" s="2945">
        <v>2530</v>
      </c>
      <c r="G185" s="2945"/>
    </row>
    <row r="186" spans="1:7" s="2779" customFormat="1" ht="14.25" customHeight="1">
      <c r="A186" s="2945" t="s">
        <v>29</v>
      </c>
      <c r="B186" s="2945" t="s">
        <v>3057</v>
      </c>
      <c r="C186" s="2945"/>
      <c r="D186" s="2945"/>
      <c r="E186" s="2945"/>
      <c r="F186" s="2945">
        <v>2550</v>
      </c>
      <c r="G186" s="2945"/>
    </row>
    <row r="187" spans="1:7" s="2779" customFormat="1" ht="14.25" customHeight="1">
      <c r="A187" s="2945" t="s">
        <v>29</v>
      </c>
      <c r="B187" s="2945" t="s">
        <v>3058</v>
      </c>
      <c r="C187" s="2945"/>
      <c r="D187" s="2945"/>
      <c r="E187" s="2945"/>
      <c r="F187" s="2945">
        <v>2070</v>
      </c>
      <c r="G187" s="2945"/>
    </row>
    <row r="188" spans="1:7" s="2779" customFormat="1" ht="14.25" customHeight="1">
      <c r="A188" s="2945" t="s">
        <v>29</v>
      </c>
      <c r="B188" s="2945" t="s">
        <v>3059</v>
      </c>
      <c r="C188" s="2945"/>
      <c r="D188" s="2945"/>
      <c r="E188" s="2945"/>
      <c r="F188" s="2945">
        <v>2340</v>
      </c>
      <c r="G188" s="2945"/>
    </row>
    <row r="189" spans="1:7" s="2779" customFormat="1" ht="14.25" customHeight="1" thickBot="1">
      <c r="A189" s="2953" t="s">
        <v>29</v>
      </c>
      <c r="B189" s="2956" t="s">
        <v>3060</v>
      </c>
      <c r="C189" s="2956"/>
      <c r="D189" s="2956"/>
      <c r="E189" s="2956"/>
      <c r="F189" s="2956">
        <v>2050</v>
      </c>
      <c r="G189" s="2956"/>
    </row>
    <row r="190" spans="1:7" s="2779" customFormat="1" ht="14.25" customHeight="1">
      <c r="A190" s="2950" t="s">
        <v>304</v>
      </c>
      <c r="B190" s="2941" t="s">
        <v>3080</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3081</v>
      </c>
      <c r="C199" s="2945">
        <v>8690</v>
      </c>
      <c r="D199" s="2945">
        <v>8630</v>
      </c>
      <c r="E199" s="2945">
        <v>11350</v>
      </c>
      <c r="F199" s="2945">
        <v>1600</v>
      </c>
      <c r="G199" s="2958">
        <v>5450</v>
      </c>
    </row>
    <row r="200" spans="1:7" s="2779" customFormat="1" ht="14.25" customHeight="1">
      <c r="A200" s="2945" t="s">
        <v>304</v>
      </c>
      <c r="B200" s="2945" t="s">
        <v>2892</v>
      </c>
      <c r="C200" s="2945"/>
      <c r="D200" s="2945"/>
      <c r="E200" s="2945"/>
      <c r="F200" s="2945">
        <v>1510</v>
      </c>
      <c r="G200" s="2958"/>
    </row>
    <row r="201" spans="1:7" s="2779" customFormat="1" ht="14.25" customHeight="1">
      <c r="A201" s="2945" t="s">
        <v>304</v>
      </c>
      <c r="B201" s="2945" t="s">
        <v>3082</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3083</v>
      </c>
      <c r="C203" s="2945">
        <v>8130</v>
      </c>
      <c r="D203" s="2945">
        <v>8070</v>
      </c>
      <c r="E203" s="2945">
        <v>10820</v>
      </c>
      <c r="F203" s="2945">
        <v>1690</v>
      </c>
      <c r="G203" s="2958">
        <v>5100</v>
      </c>
    </row>
    <row r="204" spans="1:7" s="2779" customFormat="1" ht="14.25" customHeight="1">
      <c r="A204" s="2945" t="s">
        <v>304</v>
      </c>
      <c r="B204" s="2945" t="s">
        <v>2903</v>
      </c>
      <c r="C204" s="2945">
        <v>8350</v>
      </c>
      <c r="D204" s="2945">
        <v>8290</v>
      </c>
      <c r="E204" s="2945">
        <v>11080</v>
      </c>
      <c r="F204" s="2945">
        <v>1450</v>
      </c>
      <c r="G204" s="2958">
        <v>5240</v>
      </c>
    </row>
    <row r="205" spans="1:7" s="2779" customFormat="1" ht="14.25" customHeight="1">
      <c r="A205" s="2945" t="s">
        <v>304</v>
      </c>
      <c r="B205" s="2945" t="s">
        <v>2905</v>
      </c>
      <c r="C205" s="2945">
        <v>7190</v>
      </c>
      <c r="D205" s="2945">
        <v>7130</v>
      </c>
      <c r="E205" s="2945">
        <v>9490</v>
      </c>
      <c r="F205" s="2945">
        <v>1470</v>
      </c>
      <c r="G205" s="2958">
        <v>4510</v>
      </c>
    </row>
    <row r="206" spans="1:7" s="2779" customFormat="1" ht="14.25" customHeight="1">
      <c r="A206" s="2945" t="s">
        <v>304</v>
      </c>
      <c r="B206" s="2945" t="s">
        <v>2908</v>
      </c>
      <c r="C206" s="2945">
        <v>7000</v>
      </c>
      <c r="D206" s="2945">
        <v>6950</v>
      </c>
      <c r="E206" s="2945">
        <v>9170</v>
      </c>
      <c r="F206" s="2945">
        <v>1400</v>
      </c>
      <c r="G206" s="2958">
        <v>4380</v>
      </c>
    </row>
    <row r="207" spans="1:7" s="2779" customFormat="1" ht="14.25" customHeight="1">
      <c r="A207" s="2945" t="s">
        <v>304</v>
      </c>
      <c r="B207" s="2945" t="s">
        <v>2910</v>
      </c>
      <c r="C207" s="2945">
        <v>6950</v>
      </c>
      <c r="D207" s="2945">
        <v>6900</v>
      </c>
      <c r="E207" s="2945">
        <v>9110</v>
      </c>
      <c r="F207" s="2945">
        <v>1790</v>
      </c>
      <c r="G207" s="2958">
        <v>4360</v>
      </c>
    </row>
    <row r="208" spans="1:7" s="2779" customFormat="1" ht="14.25" customHeight="1">
      <c r="A208" s="2945" t="s">
        <v>304</v>
      </c>
      <c r="B208" s="2945" t="s">
        <v>3084</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2920</v>
      </c>
      <c r="C210" s="2945">
        <v>8710</v>
      </c>
      <c r="D210" s="2945">
        <v>8660</v>
      </c>
      <c r="E210" s="2945">
        <v>11440</v>
      </c>
      <c r="F210" s="2945">
        <v>1740</v>
      </c>
      <c r="G210" s="2958">
        <v>5470</v>
      </c>
    </row>
    <row r="211" spans="1:7" s="2779" customFormat="1" ht="14.25" customHeight="1">
      <c r="A211" s="2945" t="s">
        <v>304</v>
      </c>
      <c r="B211" s="2945" t="s">
        <v>3085</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3086</v>
      </c>
      <c r="C214" s="2945">
        <v>8090</v>
      </c>
      <c r="D214" s="2945">
        <v>8030</v>
      </c>
      <c r="E214" s="2945">
        <v>10780</v>
      </c>
      <c r="F214" s="2945">
        <v>1570</v>
      </c>
      <c r="G214" s="2958">
        <v>5070</v>
      </c>
    </row>
    <row r="215" spans="1:7" s="2779" customFormat="1" ht="14.25" customHeight="1">
      <c r="A215" s="2945" t="s">
        <v>304</v>
      </c>
      <c r="B215" s="2945" t="s">
        <v>3087</v>
      </c>
      <c r="C215" s="2945">
        <v>7950</v>
      </c>
      <c r="D215" s="2945">
        <v>7900</v>
      </c>
      <c r="E215" s="2945">
        <v>10560</v>
      </c>
      <c r="F215" s="2945">
        <v>1630</v>
      </c>
      <c r="G215" s="2958">
        <v>4990</v>
      </c>
    </row>
    <row r="216" spans="1:7" s="2779" customFormat="1" ht="14.25" customHeight="1">
      <c r="A216" s="2945" t="s">
        <v>304</v>
      </c>
      <c r="B216" s="2945" t="s">
        <v>3088</v>
      </c>
      <c r="C216" s="2945">
        <v>8490</v>
      </c>
      <c r="D216" s="2945">
        <v>8440</v>
      </c>
      <c r="E216" s="2945">
        <v>11260</v>
      </c>
      <c r="F216" s="2945">
        <v>1690</v>
      </c>
      <c r="G216" s="2958">
        <v>5330</v>
      </c>
    </row>
    <row r="217" spans="1:7" s="2779" customFormat="1" ht="14.25" customHeight="1">
      <c r="A217" s="2945" t="s">
        <v>304</v>
      </c>
      <c r="B217" s="2945" t="s">
        <v>2953</v>
      </c>
      <c r="C217" s="2945">
        <v>8200</v>
      </c>
      <c r="D217" s="2945">
        <v>8150</v>
      </c>
      <c r="E217" s="2945">
        <v>10910</v>
      </c>
      <c r="F217" s="2945">
        <v>1670</v>
      </c>
      <c r="G217" s="2958">
        <v>5150</v>
      </c>
    </row>
    <row r="218" spans="1:7" s="2779" customFormat="1" ht="14.25" customHeight="1">
      <c r="A218" s="2945" t="s">
        <v>304</v>
      </c>
      <c r="B218" s="2945" t="s">
        <v>3089</v>
      </c>
      <c r="C218" s="2945"/>
      <c r="D218" s="2945"/>
      <c r="E218" s="2945"/>
      <c r="F218" s="2945">
        <v>2040</v>
      </c>
      <c r="G218" s="2958"/>
    </row>
    <row r="219" spans="1:7" s="2779" customFormat="1" ht="14.25" customHeight="1">
      <c r="A219" s="2945" t="s">
        <v>304</v>
      </c>
      <c r="B219" s="2945" t="s">
        <v>3090</v>
      </c>
      <c r="C219" s="2945"/>
      <c r="D219" s="2945"/>
      <c r="E219" s="2945"/>
      <c r="F219" s="2945">
        <v>2040</v>
      </c>
      <c r="G219" s="2958"/>
    </row>
    <row r="220" spans="1:7" s="2779" customFormat="1" ht="14.25" customHeight="1">
      <c r="A220" s="2945" t="s">
        <v>304</v>
      </c>
      <c r="B220" s="2945" t="s">
        <v>3091</v>
      </c>
      <c r="C220" s="2945"/>
      <c r="D220" s="2945"/>
      <c r="E220" s="2945"/>
      <c r="F220" s="2945">
        <v>2040</v>
      </c>
      <c r="G220" s="2958"/>
    </row>
    <row r="221" spans="1:7" s="2779" customFormat="1" ht="14.25" customHeight="1">
      <c r="A221" s="2945" t="s">
        <v>304</v>
      </c>
      <c r="B221" s="2945" t="s">
        <v>3092</v>
      </c>
      <c r="C221" s="2945"/>
      <c r="D221" s="2945"/>
      <c r="E221" s="2945"/>
      <c r="F221" s="2945">
        <v>2040</v>
      </c>
      <c r="G221" s="2958"/>
    </row>
    <row r="222" spans="1:7" s="2779" customFormat="1" ht="14.25" customHeight="1">
      <c r="A222" s="2945" t="s">
        <v>304</v>
      </c>
      <c r="B222" s="2945" t="s">
        <v>3093</v>
      </c>
      <c r="C222" s="2945"/>
      <c r="D222" s="2945"/>
      <c r="E222" s="2945"/>
      <c r="F222" s="2945">
        <v>2040</v>
      </c>
      <c r="G222" s="2958"/>
    </row>
    <row r="223" spans="1:7" s="2779" customFormat="1" ht="14.25" customHeight="1">
      <c r="A223" s="2945" t="s">
        <v>304</v>
      </c>
      <c r="B223" s="2945" t="s">
        <v>3094</v>
      </c>
      <c r="C223" s="2945"/>
      <c r="D223" s="2945"/>
      <c r="E223" s="2945"/>
      <c r="F223" s="2945">
        <v>1930</v>
      </c>
      <c r="G223" s="2958"/>
    </row>
    <row r="224" spans="1:7" s="2779" customFormat="1" ht="14.25" customHeight="1">
      <c r="A224" s="2945" t="s">
        <v>304</v>
      </c>
      <c r="B224" s="2945" t="s">
        <v>3095</v>
      </c>
      <c r="C224" s="2945"/>
      <c r="D224" s="2945"/>
      <c r="E224" s="2945"/>
      <c r="F224" s="2945">
        <v>1930</v>
      </c>
      <c r="G224" s="2958"/>
    </row>
    <row r="225" spans="1:7" s="2779" customFormat="1" ht="14.25" customHeight="1">
      <c r="A225" s="2945" t="s">
        <v>304</v>
      </c>
      <c r="B225" s="2945" t="s">
        <v>3096</v>
      </c>
      <c r="C225" s="2945"/>
      <c r="D225" s="2945"/>
      <c r="E225" s="2945"/>
      <c r="F225" s="2945">
        <v>1930</v>
      </c>
      <c r="G225" s="2958"/>
    </row>
    <row r="226" spans="1:7" s="2779" customFormat="1" ht="14.25" customHeight="1">
      <c r="A226" s="2945" t="s">
        <v>304</v>
      </c>
      <c r="B226" s="2945" t="s">
        <v>3097</v>
      </c>
      <c r="C226" s="2945"/>
      <c r="D226" s="2945"/>
      <c r="E226" s="2945"/>
      <c r="F226" s="2945">
        <v>1700</v>
      </c>
      <c r="G226" s="2958"/>
    </row>
    <row r="227" spans="1:7" s="2779" customFormat="1" ht="14.25" customHeight="1">
      <c r="A227" s="2945" t="s">
        <v>304</v>
      </c>
      <c r="B227" s="2945" t="s">
        <v>3098</v>
      </c>
      <c r="C227" s="2945"/>
      <c r="D227" s="2945"/>
      <c r="E227" s="2945"/>
      <c r="F227" s="2945">
        <v>1520</v>
      </c>
      <c r="G227" s="2958"/>
    </row>
    <row r="228" spans="1:7" s="2779" customFormat="1" ht="14.25" customHeight="1">
      <c r="A228" s="2945" t="s">
        <v>304</v>
      </c>
      <c r="B228" s="2945" t="s">
        <v>3099</v>
      </c>
      <c r="C228" s="2945"/>
      <c r="D228" s="2945"/>
      <c r="E228" s="2945"/>
      <c r="F228" s="2945">
        <v>1520</v>
      </c>
      <c r="G228" s="2958"/>
    </row>
    <row r="229" spans="1:7" s="2779" customFormat="1" ht="14.25" customHeight="1">
      <c r="A229" s="2945" t="s">
        <v>304</v>
      </c>
      <c r="B229" s="2945" t="s">
        <v>3016</v>
      </c>
      <c r="C229" s="2945"/>
      <c r="D229" s="2945"/>
      <c r="E229" s="2945"/>
      <c r="F229" s="2945">
        <v>1520</v>
      </c>
      <c r="G229" s="2958"/>
    </row>
    <row r="230" spans="1:7" s="2779" customFormat="1" ht="14.25" customHeight="1">
      <c r="A230" s="2945" t="s">
        <v>304</v>
      </c>
      <c r="B230" s="2945" t="s">
        <v>3100</v>
      </c>
      <c r="C230" s="2945"/>
      <c r="D230" s="2945"/>
      <c r="E230" s="2945"/>
      <c r="F230" s="2945">
        <v>1820</v>
      </c>
      <c r="G230" s="2958"/>
    </row>
    <row r="231" spans="1:7" s="2779" customFormat="1" ht="14.25" customHeight="1">
      <c r="A231" s="2945" t="s">
        <v>304</v>
      </c>
      <c r="B231" s="2945" t="s">
        <v>3101</v>
      </c>
      <c r="C231" s="2945"/>
      <c r="D231" s="2945"/>
      <c r="E231" s="2945"/>
      <c r="F231" s="2945">
        <v>1760</v>
      </c>
      <c r="G231" s="2958"/>
    </row>
    <row r="232" spans="1:7" s="2779" customFormat="1" ht="14.25" customHeight="1">
      <c r="A232" s="2945" t="s">
        <v>304</v>
      </c>
      <c r="B232" s="2945" t="s">
        <v>3102</v>
      </c>
      <c r="C232" s="2945"/>
      <c r="D232" s="2945"/>
      <c r="E232" s="2945"/>
      <c r="F232" s="2945">
        <v>1840</v>
      </c>
      <c r="G232" s="2958"/>
    </row>
    <row r="233" spans="1:7" s="2779" customFormat="1" ht="14.25" customHeight="1" thickBot="1">
      <c r="A233" s="2959" t="s">
        <v>304</v>
      </c>
      <c r="B233" s="2952" t="s">
        <v>3033</v>
      </c>
      <c r="C233" s="2952"/>
      <c r="D233" s="2952"/>
      <c r="E233" s="2952"/>
      <c r="F233" s="2952">
        <v>1770</v>
      </c>
      <c r="G233" s="2960"/>
    </row>
    <row r="234" spans="1:7" s="2779" customFormat="1" ht="14.25" customHeight="1">
      <c r="A234" s="2950" t="s">
        <v>305</v>
      </c>
      <c r="B234" s="2941" t="s">
        <v>3103</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2874</v>
      </c>
      <c r="C238" s="2945">
        <v>6920</v>
      </c>
      <c r="D238" s="2945">
        <v>6890</v>
      </c>
      <c r="E238" s="2945">
        <v>8640</v>
      </c>
      <c r="F238" s="2945">
        <v>1310</v>
      </c>
      <c r="G238" s="2945">
        <v>4230</v>
      </c>
    </row>
    <row r="239" spans="1:7" s="2779" customFormat="1" ht="14.25" customHeight="1">
      <c r="A239" s="2945" t="s">
        <v>305</v>
      </c>
      <c r="B239" s="2945" t="s">
        <v>3104</v>
      </c>
      <c r="C239" s="2945">
        <v>6780</v>
      </c>
      <c r="D239" s="2945">
        <v>6750</v>
      </c>
      <c r="E239" s="2945">
        <v>8440</v>
      </c>
      <c r="F239" s="2945">
        <v>1160</v>
      </c>
      <c r="G239" s="2945">
        <v>4140</v>
      </c>
    </row>
    <row r="240" spans="1:7" s="2779" customFormat="1" ht="14.25" customHeight="1">
      <c r="A240" s="2945" t="s">
        <v>305</v>
      </c>
      <c r="B240" s="2945" t="s">
        <v>3105</v>
      </c>
      <c r="C240" s="2945">
        <v>5420</v>
      </c>
      <c r="D240" s="2945">
        <v>5380</v>
      </c>
      <c r="E240" s="2945">
        <v>6640</v>
      </c>
      <c r="F240" s="2945">
        <v>1020</v>
      </c>
      <c r="G240" s="2945">
        <v>3300</v>
      </c>
    </row>
    <row r="241" spans="1:7" s="2779" customFormat="1" ht="14.25" customHeight="1">
      <c r="A241" s="2945" t="s">
        <v>305</v>
      </c>
      <c r="B241" s="2945" t="s">
        <v>3106</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3107</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3108</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3109</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3110</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3111</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2936</v>
      </c>
      <c r="C258" s="2945">
        <v>6190</v>
      </c>
      <c r="D258" s="2945">
        <v>6160</v>
      </c>
      <c r="E258" s="2945">
        <v>7680</v>
      </c>
      <c r="F258" s="2945">
        <v>1170</v>
      </c>
      <c r="G258" s="2945">
        <v>3780</v>
      </c>
    </row>
    <row r="259" spans="1:7" s="2779" customFormat="1" ht="14.25" customHeight="1">
      <c r="A259" s="2945" t="s">
        <v>305</v>
      </c>
      <c r="B259" s="2945" t="s">
        <v>3112</v>
      </c>
      <c r="C259" s="2945">
        <v>7610</v>
      </c>
      <c r="D259" s="2945">
        <v>7570</v>
      </c>
      <c r="E259" s="2945">
        <v>9350</v>
      </c>
      <c r="F259" s="2945">
        <v>1350</v>
      </c>
      <c r="G259" s="2945">
        <v>4650</v>
      </c>
    </row>
    <row r="260" spans="1:7" s="2779" customFormat="1" ht="14.25" customHeight="1">
      <c r="A260" s="2945" t="s">
        <v>305</v>
      </c>
      <c r="B260" s="2945" t="s">
        <v>3113</v>
      </c>
      <c r="C260" s="2945">
        <v>6920</v>
      </c>
      <c r="D260" s="2945">
        <v>6880</v>
      </c>
      <c r="E260" s="2945">
        <v>8380</v>
      </c>
      <c r="F260" s="2945">
        <v>1160</v>
      </c>
      <c r="G260" s="2945">
        <v>4220</v>
      </c>
    </row>
    <row r="261" spans="1:7" s="2779" customFormat="1" ht="14.25" customHeight="1">
      <c r="A261" s="2945" t="s">
        <v>305</v>
      </c>
      <c r="B261" s="2945" t="s">
        <v>3114</v>
      </c>
      <c r="C261" s="2945">
        <v>6850</v>
      </c>
      <c r="D261" s="2945">
        <v>6810</v>
      </c>
      <c r="E261" s="2945">
        <v>8290</v>
      </c>
      <c r="F261" s="2945">
        <v>1130</v>
      </c>
      <c r="G261" s="2945">
        <v>4180</v>
      </c>
    </row>
    <row r="262" spans="1:7" s="2779" customFormat="1" ht="14.25" customHeight="1">
      <c r="A262" s="2945" t="s">
        <v>305</v>
      </c>
      <c r="B262" s="2945" t="s">
        <v>3115</v>
      </c>
      <c r="C262" s="2945">
        <v>5860</v>
      </c>
      <c r="D262" s="2945">
        <v>5820</v>
      </c>
      <c r="E262" s="2945">
        <v>7640</v>
      </c>
      <c r="F262" s="2945">
        <v>1070</v>
      </c>
      <c r="G262" s="2945">
        <v>3570</v>
      </c>
    </row>
    <row r="263" spans="1:7" s="2779" customFormat="1" ht="14.25" customHeight="1">
      <c r="A263" s="2945" t="s">
        <v>305</v>
      </c>
      <c r="B263" s="2945" t="s">
        <v>3116</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3117</v>
      </c>
      <c r="C265" s="2945"/>
      <c r="D265" s="2945"/>
      <c r="E265" s="2945"/>
      <c r="F265" s="2945">
        <v>1500</v>
      </c>
      <c r="G265" s="2945"/>
    </row>
    <row r="266" spans="1:7" s="2779" customFormat="1" ht="14.25" customHeight="1">
      <c r="A266" s="2945" t="s">
        <v>305</v>
      </c>
      <c r="B266" s="2945" t="s">
        <v>3118</v>
      </c>
      <c r="C266" s="2945"/>
      <c r="D266" s="2945"/>
      <c r="E266" s="2945"/>
      <c r="F266" s="2945">
        <v>1500</v>
      </c>
      <c r="G266" s="2945"/>
    </row>
    <row r="267" spans="1:7" s="2779" customFormat="1" ht="14.25" customHeight="1">
      <c r="A267" s="2945" t="s">
        <v>305</v>
      </c>
      <c r="B267" s="2945" t="s">
        <v>3119</v>
      </c>
      <c r="C267" s="2945"/>
      <c r="D267" s="2945"/>
      <c r="E267" s="2945"/>
      <c r="F267" s="2945">
        <v>1500</v>
      </c>
      <c r="G267" s="2945"/>
    </row>
    <row r="268" spans="1:7" s="2779" customFormat="1" ht="14.25" customHeight="1">
      <c r="A268" s="2945" t="s">
        <v>305</v>
      </c>
      <c r="B268" s="2945" t="s">
        <v>3120</v>
      </c>
      <c r="C268" s="2945"/>
      <c r="D268" s="2945"/>
      <c r="E268" s="2945"/>
      <c r="F268" s="2945">
        <v>1290</v>
      </c>
      <c r="G268" s="2945"/>
    </row>
    <row r="269" spans="1:7" s="2779" customFormat="1" ht="14.25" customHeight="1">
      <c r="A269" s="2945" t="s">
        <v>305</v>
      </c>
      <c r="B269" s="2945" t="s">
        <v>3121</v>
      </c>
      <c r="C269" s="2945"/>
      <c r="D269" s="2945"/>
      <c r="E269" s="2945"/>
      <c r="F269" s="2945">
        <v>1150</v>
      </c>
      <c r="G269" s="2945"/>
    </row>
    <row r="270" spans="1:7" s="2779" customFormat="1" ht="14.25" customHeight="1">
      <c r="A270" s="2945" t="s">
        <v>305</v>
      </c>
      <c r="B270" s="2945" t="s">
        <v>3122</v>
      </c>
      <c r="C270" s="2945"/>
      <c r="D270" s="2945"/>
      <c r="E270" s="2945"/>
      <c r="F270" s="2945">
        <v>1380</v>
      </c>
      <c r="G270" s="2945"/>
    </row>
    <row r="271" spans="1:7" s="2779" customFormat="1" ht="14.25" customHeight="1">
      <c r="A271" s="2945" t="s">
        <v>305</v>
      </c>
      <c r="B271" s="2945" t="s">
        <v>3123</v>
      </c>
      <c r="C271" s="2945"/>
      <c r="D271" s="2945"/>
      <c r="E271" s="2945"/>
      <c r="F271" s="2945">
        <v>1460</v>
      </c>
      <c r="G271" s="2945"/>
    </row>
    <row r="272" spans="1:7" s="2779" customFormat="1" ht="14.25" customHeight="1">
      <c r="A272" s="2945" t="s">
        <v>305</v>
      </c>
      <c r="B272" s="2945" t="s">
        <v>3124</v>
      </c>
      <c r="C272" s="2945"/>
      <c r="D272" s="2945"/>
      <c r="E272" s="2945"/>
      <c r="F272" s="2945">
        <v>1460</v>
      </c>
      <c r="G272" s="2945"/>
    </row>
    <row r="273" spans="1:7" s="2779" customFormat="1" ht="14.25" customHeight="1">
      <c r="A273" s="2945" t="s">
        <v>305</v>
      </c>
      <c r="B273" s="2945" t="s">
        <v>3017</v>
      </c>
      <c r="C273" s="2945"/>
      <c r="D273" s="2945"/>
      <c r="E273" s="2945"/>
      <c r="F273" s="2945">
        <v>1490</v>
      </c>
      <c r="G273" s="2945"/>
    </row>
    <row r="274" spans="1:7" s="2779" customFormat="1" ht="14.25" customHeight="1">
      <c r="A274" s="2945" t="s">
        <v>305</v>
      </c>
      <c r="B274" s="2945" t="s">
        <v>3125</v>
      </c>
      <c r="C274" s="2945"/>
      <c r="D274" s="2945"/>
      <c r="E274" s="2945"/>
      <c r="F274" s="2945">
        <v>1490</v>
      </c>
      <c r="G274" s="2945"/>
    </row>
    <row r="275" spans="1:7" s="2779" customFormat="1" ht="14.25" customHeight="1">
      <c r="A275" s="2945" t="s">
        <v>305</v>
      </c>
      <c r="B275" s="2945" t="s">
        <v>3126</v>
      </c>
      <c r="C275" s="2945"/>
      <c r="D275" s="2945"/>
      <c r="E275" s="2945"/>
      <c r="F275" s="2945">
        <v>1220</v>
      </c>
      <c r="G275" s="2945"/>
    </row>
    <row r="276" spans="1:7" s="2779" customFormat="1" ht="14.25" customHeight="1" thickBot="1">
      <c r="A276" s="2953" t="s">
        <v>305</v>
      </c>
      <c r="B276" s="2955" t="s">
        <v>3127</v>
      </c>
      <c r="C276" s="2956"/>
      <c r="D276" s="2956"/>
      <c r="E276" s="2956"/>
      <c r="F276" s="2956">
        <v>1380</v>
      </c>
      <c r="G276" s="2956"/>
    </row>
    <row r="277" spans="1:7" s="2779" customFormat="1" ht="14.25" customHeight="1">
      <c r="A277" s="2950" t="s">
        <v>306</v>
      </c>
      <c r="B277" s="2941" t="s">
        <v>3128</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3129</v>
      </c>
      <c r="C279" s="2945">
        <v>4760</v>
      </c>
      <c r="D279" s="2945">
        <v>4720</v>
      </c>
      <c r="E279" s="2945">
        <v>5540</v>
      </c>
      <c r="F279" s="2945">
        <v>810</v>
      </c>
      <c r="G279" s="2958">
        <v>2850</v>
      </c>
    </row>
    <row r="280" spans="1:7" s="2779" customFormat="1" ht="14.25" customHeight="1">
      <c r="A280" s="2945" t="s">
        <v>306</v>
      </c>
      <c r="B280" s="2945" t="s">
        <v>3130</v>
      </c>
      <c r="C280" s="2945">
        <v>4010</v>
      </c>
      <c r="D280" s="2945">
        <v>3950</v>
      </c>
      <c r="E280" s="2945">
        <v>4710</v>
      </c>
      <c r="F280" s="2945">
        <v>800</v>
      </c>
      <c r="G280" s="2958">
        <v>2390</v>
      </c>
    </row>
    <row r="281" spans="1:7" s="2779" customFormat="1" ht="14.25" customHeight="1">
      <c r="A281" s="2945" t="s">
        <v>306</v>
      </c>
      <c r="B281" s="2945" t="s">
        <v>3131</v>
      </c>
      <c r="C281" s="2945">
        <v>4480</v>
      </c>
      <c r="D281" s="2945">
        <v>4420</v>
      </c>
      <c r="E281" s="2945">
        <v>5230</v>
      </c>
      <c r="F281" s="2945">
        <v>870</v>
      </c>
      <c r="G281" s="2958">
        <v>2660</v>
      </c>
    </row>
    <row r="282" spans="1:7" s="2779" customFormat="1" ht="14.25" customHeight="1">
      <c r="A282" s="2945" t="s">
        <v>306</v>
      </c>
      <c r="B282" s="2945" t="s">
        <v>3132</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3133</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3134</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2909</v>
      </c>
      <c r="C293" s="2945">
        <v>5320</v>
      </c>
      <c r="D293" s="2945">
        <v>5270</v>
      </c>
      <c r="E293" s="2945">
        <v>6160</v>
      </c>
      <c r="F293" s="2945">
        <v>990</v>
      </c>
      <c r="G293" s="2958">
        <v>3170</v>
      </c>
    </row>
    <row r="294" spans="1:7" s="2779" customFormat="1" ht="14.25" customHeight="1">
      <c r="A294" s="2945" t="s">
        <v>306</v>
      </c>
      <c r="B294" s="2945" t="s">
        <v>3135</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2928</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3136</v>
      </c>
      <c r="C302" s="2945">
        <v>5520</v>
      </c>
      <c r="D302" s="2945">
        <v>5470</v>
      </c>
      <c r="E302" s="2945">
        <v>6410</v>
      </c>
      <c r="F302" s="2945">
        <v>950</v>
      </c>
      <c r="G302" s="2958">
        <v>3300</v>
      </c>
    </row>
    <row r="303" spans="1:7" s="2779" customFormat="1" ht="14.25" customHeight="1">
      <c r="A303" s="2945" t="s">
        <v>306</v>
      </c>
      <c r="B303" s="2945" t="s">
        <v>2948</v>
      </c>
      <c r="C303" s="2945">
        <v>5630</v>
      </c>
      <c r="D303" s="2945">
        <v>5590</v>
      </c>
      <c r="E303" s="2945">
        <v>6550</v>
      </c>
      <c r="F303" s="2945">
        <v>1010</v>
      </c>
      <c r="G303" s="2958">
        <v>3370</v>
      </c>
    </row>
    <row r="304" spans="1:7" s="2779" customFormat="1" ht="14.25" customHeight="1">
      <c r="A304" s="2945" t="s">
        <v>306</v>
      </c>
      <c r="B304" s="2945" t="s">
        <v>2955</v>
      </c>
      <c r="C304" s="2945">
        <v>5680</v>
      </c>
      <c r="D304" s="2945">
        <v>5620</v>
      </c>
      <c r="E304" s="2945">
        <v>6620</v>
      </c>
      <c r="F304" s="2945">
        <v>1050</v>
      </c>
      <c r="G304" s="2958">
        <v>3390</v>
      </c>
    </row>
    <row r="305" spans="1:7" s="2779" customFormat="1" ht="14.25" customHeight="1">
      <c r="A305" s="2945" t="s">
        <v>306</v>
      </c>
      <c r="B305" s="2945" t="s">
        <v>2961</v>
      </c>
      <c r="C305" s="2945">
        <v>5590</v>
      </c>
      <c r="D305" s="2945">
        <v>5530</v>
      </c>
      <c r="E305" s="2945">
        <v>6460</v>
      </c>
      <c r="F305" s="2945">
        <v>900</v>
      </c>
      <c r="G305" s="2958">
        <v>3340</v>
      </c>
    </row>
    <row r="306" spans="1:7" s="2779" customFormat="1" ht="14.25" customHeight="1">
      <c r="A306" s="2945" t="s">
        <v>306</v>
      </c>
      <c r="B306" s="2945" t="s">
        <v>3137</v>
      </c>
      <c r="C306" s="2945">
        <v>5560</v>
      </c>
      <c r="D306" s="2945">
        <v>5510</v>
      </c>
      <c r="E306" s="2945">
        <v>6440</v>
      </c>
      <c r="F306" s="2945">
        <v>900</v>
      </c>
      <c r="G306" s="2958">
        <v>3320</v>
      </c>
    </row>
    <row r="307" spans="1:7" s="2779" customFormat="1" ht="14.25" customHeight="1">
      <c r="A307" s="2945" t="s">
        <v>306</v>
      </c>
      <c r="B307" s="2945" t="s">
        <v>2973</v>
      </c>
      <c r="C307" s="2945">
        <v>5650</v>
      </c>
      <c r="D307" s="2945">
        <v>5600</v>
      </c>
      <c r="E307" s="2945">
        <v>6590</v>
      </c>
      <c r="F307" s="2945">
        <v>930</v>
      </c>
      <c r="G307" s="2958">
        <v>3380</v>
      </c>
    </row>
    <row r="308" spans="1:7" s="2779" customFormat="1" ht="14.25" customHeight="1">
      <c r="A308" s="2945" t="s">
        <v>306</v>
      </c>
      <c r="B308" s="2945" t="s">
        <v>3138</v>
      </c>
      <c r="C308" s="2945">
        <v>5620</v>
      </c>
      <c r="D308" s="2945">
        <v>5580</v>
      </c>
      <c r="E308" s="2945">
        <v>6540</v>
      </c>
      <c r="F308" s="2945">
        <v>910</v>
      </c>
      <c r="G308" s="2958">
        <v>3370</v>
      </c>
    </row>
    <row r="309" spans="1:7" s="2779" customFormat="1" ht="14.25" customHeight="1">
      <c r="A309" s="2945" t="s">
        <v>306</v>
      </c>
      <c r="B309" s="2945" t="s">
        <v>3139</v>
      </c>
      <c r="C309" s="2945">
        <v>5060</v>
      </c>
      <c r="D309" s="2945">
        <v>5020</v>
      </c>
      <c r="E309" s="2945">
        <v>6370</v>
      </c>
      <c r="F309" s="2945">
        <v>800</v>
      </c>
      <c r="G309" s="2958">
        <v>3020</v>
      </c>
    </row>
    <row r="310" spans="1:7" s="2779" customFormat="1" ht="14.25" customHeight="1">
      <c r="A310" s="2945" t="s">
        <v>306</v>
      </c>
      <c r="B310" s="2945" t="s">
        <v>2988</v>
      </c>
      <c r="C310" s="2945">
        <v>5150</v>
      </c>
      <c r="D310" s="2945">
        <v>5110</v>
      </c>
      <c r="E310" s="2945">
        <v>6500</v>
      </c>
      <c r="F310" s="2945">
        <v>880</v>
      </c>
      <c r="G310" s="2958">
        <v>3080</v>
      </c>
    </row>
    <row r="311" spans="1:7" s="2779" customFormat="1" ht="14.25" customHeight="1">
      <c r="A311" s="2945" t="s">
        <v>306</v>
      </c>
      <c r="B311" s="2945" t="s">
        <v>3140</v>
      </c>
      <c r="C311" s="2945">
        <v>4750</v>
      </c>
      <c r="D311" s="2945">
        <v>4710</v>
      </c>
      <c r="E311" s="2945">
        <v>5510</v>
      </c>
      <c r="F311" s="2945">
        <v>880</v>
      </c>
      <c r="G311" s="2958">
        <v>2840</v>
      </c>
    </row>
    <row r="312" spans="1:7" s="2779" customFormat="1" ht="14.25" customHeight="1">
      <c r="A312" s="2945" t="s">
        <v>306</v>
      </c>
      <c r="B312" s="2945" t="s">
        <v>2998</v>
      </c>
      <c r="C312" s="2945">
        <v>4690</v>
      </c>
      <c r="D312" s="2945">
        <v>4640</v>
      </c>
      <c r="E312" s="2945">
        <v>5420</v>
      </c>
      <c r="F312" s="2945">
        <v>800</v>
      </c>
      <c r="G312" s="2958">
        <v>2800</v>
      </c>
    </row>
    <row r="313" spans="1:7" s="2779" customFormat="1" ht="14.25" customHeight="1">
      <c r="A313" s="2945" t="s">
        <v>306</v>
      </c>
      <c r="B313" s="2945" t="s">
        <v>3003</v>
      </c>
      <c r="C313" s="2945">
        <v>4810</v>
      </c>
      <c r="D313" s="2945">
        <v>4760</v>
      </c>
      <c r="E313" s="2945">
        <v>5550</v>
      </c>
      <c r="F313" s="2945">
        <v>920</v>
      </c>
      <c r="G313" s="2958">
        <v>2870</v>
      </c>
    </row>
    <row r="314" spans="1:7" s="2779" customFormat="1" ht="14.25" customHeight="1">
      <c r="A314" s="2945" t="s">
        <v>306</v>
      </c>
      <c r="B314" s="2945" t="s">
        <v>3141</v>
      </c>
      <c r="C314" s="2945"/>
      <c r="D314" s="2945"/>
      <c r="E314" s="2945"/>
      <c r="F314" s="2945">
        <v>1020</v>
      </c>
      <c r="G314" s="2958"/>
    </row>
    <row r="315" spans="1:7" s="2779" customFormat="1" ht="14.25" customHeight="1">
      <c r="A315" s="2945" t="s">
        <v>306</v>
      </c>
      <c r="B315" s="2945" t="s">
        <v>3142</v>
      </c>
      <c r="C315" s="2945"/>
      <c r="D315" s="2945"/>
      <c r="E315" s="2945"/>
      <c r="F315" s="2945">
        <v>1050</v>
      </c>
      <c r="G315" s="2958"/>
    </row>
    <row r="316" spans="1:7" s="2779" customFormat="1" ht="14.25" customHeight="1">
      <c r="A316" s="2945" t="s">
        <v>306</v>
      </c>
      <c r="B316" s="2945" t="s">
        <v>3018</v>
      </c>
      <c r="C316" s="2945"/>
      <c r="D316" s="2945"/>
      <c r="E316" s="2945"/>
      <c r="F316" s="2945">
        <v>900</v>
      </c>
      <c r="G316" s="2958"/>
    </row>
    <row r="317" spans="1:7" s="2779" customFormat="1" ht="14.25" customHeight="1">
      <c r="A317" s="2945" t="s">
        <v>306</v>
      </c>
      <c r="B317" s="2945" t="s">
        <v>3143</v>
      </c>
      <c r="C317" s="2945"/>
      <c r="D317" s="2945"/>
      <c r="E317" s="2945"/>
      <c r="F317" s="2945">
        <v>920</v>
      </c>
      <c r="G317" s="2958"/>
    </row>
    <row r="318" spans="1:7" s="2779" customFormat="1" ht="14.25" customHeight="1">
      <c r="A318" s="2945" t="s">
        <v>306</v>
      </c>
      <c r="B318" s="2945" t="s">
        <v>3144</v>
      </c>
      <c r="C318" s="2945"/>
      <c r="D318" s="2945"/>
      <c r="E318" s="2945"/>
      <c r="F318" s="2945">
        <v>1080</v>
      </c>
      <c r="G318" s="2958"/>
    </row>
    <row r="319" spans="1:7" s="2779" customFormat="1" ht="14.25" customHeight="1">
      <c r="A319" s="2945" t="s">
        <v>306</v>
      </c>
      <c r="B319" s="2945" t="s">
        <v>3031</v>
      </c>
      <c r="C319" s="2945"/>
      <c r="D319" s="2945"/>
      <c r="E319" s="2945"/>
      <c r="F319" s="2945">
        <v>1020</v>
      </c>
      <c r="G319" s="2958"/>
    </row>
    <row r="320" spans="1:7" s="2779" customFormat="1" ht="14.25" customHeight="1">
      <c r="A320" s="2945" t="s">
        <v>306</v>
      </c>
      <c r="B320" s="2945" t="s">
        <v>3034</v>
      </c>
      <c r="C320" s="2945"/>
      <c r="D320" s="2945"/>
      <c r="E320" s="2945"/>
      <c r="F320" s="2945">
        <v>1050</v>
      </c>
      <c r="G320" s="2958"/>
    </row>
    <row r="321" spans="1:7" s="2779" customFormat="1" ht="14.25" customHeight="1">
      <c r="A321" s="2945" t="s">
        <v>306</v>
      </c>
      <c r="B321" s="2945" t="s">
        <v>3036</v>
      </c>
      <c r="C321" s="2945"/>
      <c r="D321" s="2945"/>
      <c r="E321" s="2945"/>
      <c r="F321" s="2945">
        <v>960</v>
      </c>
      <c r="G321" s="2958"/>
    </row>
    <row r="322" spans="1:7" s="2779" customFormat="1" ht="14.25" customHeight="1">
      <c r="A322" s="2945" t="s">
        <v>306</v>
      </c>
      <c r="B322" s="2945" t="s">
        <v>3038</v>
      </c>
      <c r="C322" s="2945"/>
      <c r="D322" s="2945"/>
      <c r="E322" s="2945"/>
      <c r="F322" s="2945">
        <v>960</v>
      </c>
      <c r="G322" s="2958"/>
    </row>
    <row r="323" spans="1:7" s="2779" customFormat="1" ht="14.25" customHeight="1">
      <c r="A323" s="2945" t="s">
        <v>306</v>
      </c>
      <c r="B323" s="2945" t="s">
        <v>3040</v>
      </c>
      <c r="C323" s="2945"/>
      <c r="D323" s="2945"/>
      <c r="E323" s="2945"/>
      <c r="F323" s="2945">
        <v>880</v>
      </c>
      <c r="G323" s="2958"/>
    </row>
    <row r="324" spans="1:7" s="2779" customFormat="1" ht="14.25" customHeight="1">
      <c r="A324" s="2945" t="s">
        <v>306</v>
      </c>
      <c r="B324" s="2945" t="s">
        <v>3042</v>
      </c>
      <c r="C324" s="2945"/>
      <c r="D324" s="2945"/>
      <c r="E324" s="2945"/>
      <c r="F324" s="2945">
        <v>930</v>
      </c>
      <c r="G324" s="2958"/>
    </row>
    <row r="325" spans="1:7" s="2779" customFormat="1" ht="14.25" customHeight="1">
      <c r="A325" s="2945" t="s">
        <v>306</v>
      </c>
      <c r="B325" s="2946" t="s">
        <v>3044</v>
      </c>
      <c r="C325" s="2945"/>
      <c r="D325" s="2945"/>
      <c r="E325" s="2945"/>
      <c r="F325" s="2945">
        <v>900</v>
      </c>
      <c r="G325" s="2958"/>
    </row>
    <row r="326" spans="1:7" s="2779" customFormat="1" ht="14.25" customHeight="1" thickBot="1">
      <c r="A326" s="2959" t="s">
        <v>306</v>
      </c>
      <c r="B326" s="2952" t="s">
        <v>3046</v>
      </c>
      <c r="C326" s="2952"/>
      <c r="D326" s="2952"/>
      <c r="E326" s="2952"/>
      <c r="F326" s="2952">
        <v>790</v>
      </c>
      <c r="G326" s="2960"/>
    </row>
    <row r="327" spans="1:7" s="2779" customFormat="1" ht="14.25" customHeight="1">
      <c r="A327" s="2950" t="s">
        <v>307</v>
      </c>
      <c r="B327" s="2941" t="s">
        <v>3145</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3146</v>
      </c>
      <c r="C329" s="2945">
        <v>2730</v>
      </c>
      <c r="D329" s="2945">
        <v>2690</v>
      </c>
      <c r="E329" s="2945">
        <v>3100</v>
      </c>
      <c r="F329" s="2945">
        <v>660</v>
      </c>
      <c r="G329" s="2945">
        <v>1610</v>
      </c>
    </row>
    <row r="330" spans="1:7" s="2779" customFormat="1" ht="14.25" customHeight="1">
      <c r="A330" s="2945" t="s">
        <v>307</v>
      </c>
      <c r="B330" s="2945" t="s">
        <v>3147</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2880</v>
      </c>
      <c r="C332" s="2945">
        <v>3520</v>
      </c>
      <c r="D332" s="2945">
        <v>3480</v>
      </c>
      <c r="E332" s="2945">
        <v>3830</v>
      </c>
      <c r="F332" s="2945">
        <v>720</v>
      </c>
      <c r="G332" s="2945">
        <v>2090</v>
      </c>
    </row>
    <row r="333" spans="1:7" s="2779" customFormat="1" ht="14.25" customHeight="1">
      <c r="A333" s="2945" t="s">
        <v>307</v>
      </c>
      <c r="B333" s="2945" t="s">
        <v>3148</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2890</v>
      </c>
      <c r="C336" s="2945">
        <v>3570</v>
      </c>
      <c r="D336" s="2945">
        <v>3530</v>
      </c>
      <c r="E336" s="2945">
        <v>3880</v>
      </c>
      <c r="F336" s="2945">
        <v>770</v>
      </c>
      <c r="G336" s="2945">
        <v>2110</v>
      </c>
    </row>
    <row r="337" spans="1:10" s="2779" customFormat="1" ht="14.25" customHeight="1">
      <c r="A337" s="2945" t="s">
        <v>307</v>
      </c>
      <c r="B337" s="2945" t="s">
        <v>3149</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3150</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3151</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2915</v>
      </c>
      <c r="C345" s="2945">
        <v>3190</v>
      </c>
      <c r="D345" s="2945">
        <v>3140</v>
      </c>
      <c r="E345" s="2945">
        <v>3450</v>
      </c>
      <c r="F345" s="2945">
        <v>720</v>
      </c>
      <c r="G345" s="2945">
        <v>1880</v>
      </c>
      <c r="J345" s="2779"/>
    </row>
    <row r="346" spans="1:10">
      <c r="A346" s="2945" t="s">
        <v>307</v>
      </c>
      <c r="B346" s="2945" t="s">
        <v>3152</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2924</v>
      </c>
      <c r="C348" s="2945">
        <v>4000</v>
      </c>
      <c r="D348" s="2945">
        <v>3950</v>
      </c>
      <c r="E348" s="2945">
        <v>4430</v>
      </c>
      <c r="F348" s="2945">
        <v>760</v>
      </c>
      <c r="G348" s="2945">
        <v>2360</v>
      </c>
      <c r="J348" s="2779"/>
    </row>
    <row r="349" spans="1:10">
      <c r="A349" s="2945" t="s">
        <v>307</v>
      </c>
      <c r="B349" s="2945" t="s">
        <v>2929</v>
      </c>
      <c r="C349" s="2945">
        <v>3820</v>
      </c>
      <c r="D349" s="2945">
        <v>3780</v>
      </c>
      <c r="E349" s="2945">
        <v>4170</v>
      </c>
      <c r="F349" s="2945">
        <v>710</v>
      </c>
      <c r="G349" s="2945">
        <v>2260</v>
      </c>
      <c r="J349" s="2779"/>
    </row>
    <row r="350" spans="1:10">
      <c r="A350" s="2945" t="s">
        <v>307</v>
      </c>
      <c r="B350" s="2945" t="s">
        <v>3153</v>
      </c>
      <c r="C350" s="2945">
        <v>3760</v>
      </c>
      <c r="D350" s="2945">
        <v>3730</v>
      </c>
      <c r="E350" s="2945">
        <v>4100</v>
      </c>
      <c r="F350" s="2945">
        <v>800</v>
      </c>
      <c r="G350" s="2945">
        <v>2230</v>
      </c>
      <c r="J350" s="2779"/>
    </row>
    <row r="351" spans="1:10">
      <c r="A351" s="2945" t="s">
        <v>307</v>
      </c>
      <c r="B351" s="2945" t="s">
        <v>2937</v>
      </c>
      <c r="C351" s="2945">
        <v>3610</v>
      </c>
      <c r="D351" s="2945">
        <v>3580</v>
      </c>
      <c r="E351" s="2945">
        <v>3930</v>
      </c>
      <c r="F351" s="2945">
        <v>700</v>
      </c>
      <c r="G351" s="2945">
        <v>2140</v>
      </c>
      <c r="J351" s="2779"/>
    </row>
    <row r="352" spans="1:10">
      <c r="A352" s="2945" t="s">
        <v>307</v>
      </c>
      <c r="B352" s="2945" t="s">
        <v>2942</v>
      </c>
      <c r="C352" s="2945">
        <v>3670</v>
      </c>
      <c r="D352" s="2945">
        <v>3630</v>
      </c>
      <c r="E352" s="2945">
        <v>4000</v>
      </c>
      <c r="F352" s="2945">
        <v>750</v>
      </c>
      <c r="G352" s="2945">
        <v>2180</v>
      </c>
    </row>
    <row r="353" spans="1:7" s="2780" customFormat="1">
      <c r="A353" s="2945" t="s">
        <v>307</v>
      </c>
      <c r="B353" s="2945" t="s">
        <v>3154</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2962</v>
      </c>
      <c r="C355" s="2945">
        <v>3650</v>
      </c>
      <c r="D355" s="2945">
        <v>3610</v>
      </c>
      <c r="E355" s="2945">
        <v>4200</v>
      </c>
      <c r="F355" s="2945">
        <v>640</v>
      </c>
      <c r="G355" s="2945">
        <v>2160</v>
      </c>
    </row>
    <row r="356" spans="1:7" s="2780" customFormat="1">
      <c r="A356" s="2945" t="s">
        <v>307</v>
      </c>
      <c r="B356" s="2945" t="s">
        <v>2969</v>
      </c>
      <c r="C356" s="2945">
        <v>3260</v>
      </c>
      <c r="D356" s="2945">
        <v>3230</v>
      </c>
      <c r="E356" s="2945">
        <v>3740</v>
      </c>
      <c r="F356" s="2945">
        <v>600</v>
      </c>
      <c r="G356" s="2945">
        <v>1930</v>
      </c>
    </row>
    <row r="357" spans="1:7" s="2780" customFormat="1" ht="11.4" thickBot="1">
      <c r="A357" s="2953" t="s">
        <v>307</v>
      </c>
      <c r="B357" s="2956" t="s">
        <v>3155</v>
      </c>
      <c r="C357" s="2956">
        <v>3690</v>
      </c>
      <c r="D357" s="2956">
        <v>3650</v>
      </c>
      <c r="E357" s="2956">
        <v>4020</v>
      </c>
      <c r="F357" s="2956">
        <v>700</v>
      </c>
      <c r="G357" s="2956">
        <v>2190</v>
      </c>
    </row>
    <row r="358" spans="1:7" s="2780" customFormat="1">
      <c r="A358" s="2950" t="s">
        <v>3156</v>
      </c>
      <c r="B358" s="2941" t="s">
        <v>3157</v>
      </c>
      <c r="C358" s="2941">
        <v>2080</v>
      </c>
      <c r="D358" s="2941">
        <v>2040</v>
      </c>
      <c r="E358" s="2941">
        <v>2010</v>
      </c>
      <c r="F358" s="2941">
        <v>530</v>
      </c>
      <c r="G358" s="2957">
        <v>1230</v>
      </c>
    </row>
    <row r="359" spans="1:7" s="2780" customFormat="1">
      <c r="A359" s="2945" t="s">
        <v>3156</v>
      </c>
      <c r="B359" s="2945" t="s">
        <v>3158</v>
      </c>
      <c r="C359" s="2945">
        <v>1850</v>
      </c>
      <c r="D359" s="2945">
        <v>1820</v>
      </c>
      <c r="E359" s="2945">
        <v>1780</v>
      </c>
      <c r="F359" s="2945">
        <v>520</v>
      </c>
      <c r="G359" s="2958">
        <v>1100</v>
      </c>
    </row>
    <row r="360" spans="1:7" s="2780" customFormat="1">
      <c r="A360" s="2945" t="s">
        <v>3156</v>
      </c>
      <c r="B360" s="2945" t="s">
        <v>3159</v>
      </c>
      <c r="C360" s="2945">
        <v>2020</v>
      </c>
      <c r="D360" s="2945">
        <v>1990</v>
      </c>
      <c r="E360" s="2945">
        <v>1950</v>
      </c>
      <c r="F360" s="2945">
        <v>500</v>
      </c>
      <c r="G360" s="2958">
        <v>1200</v>
      </c>
    </row>
    <row r="361" spans="1:7" s="2780" customFormat="1">
      <c r="A361" s="2945" t="s">
        <v>3156</v>
      </c>
      <c r="B361" s="2945" t="s">
        <v>153</v>
      </c>
      <c r="C361" s="2945">
        <v>2260</v>
      </c>
      <c r="D361" s="2945">
        <v>2220</v>
      </c>
      <c r="E361" s="2945">
        <v>2180</v>
      </c>
      <c r="F361" s="2945">
        <v>580</v>
      </c>
      <c r="G361" s="2958">
        <v>1340</v>
      </c>
    </row>
    <row r="362" spans="1:7" s="2780" customFormat="1">
      <c r="A362" s="2945" t="s">
        <v>3156</v>
      </c>
      <c r="B362" s="2945" t="s">
        <v>3160</v>
      </c>
      <c r="C362" s="2945">
        <v>2650</v>
      </c>
      <c r="D362" s="2945">
        <v>2610</v>
      </c>
      <c r="E362" s="2945">
        <v>2570</v>
      </c>
      <c r="F362" s="2945">
        <v>630</v>
      </c>
      <c r="G362" s="2958">
        <v>1570</v>
      </c>
    </row>
    <row r="363" spans="1:7" s="2780" customFormat="1">
      <c r="A363" s="2945" t="s">
        <v>3156</v>
      </c>
      <c r="B363" s="2945" t="s">
        <v>2881</v>
      </c>
      <c r="C363" s="2945">
        <v>2390</v>
      </c>
      <c r="D363" s="2945">
        <v>2360</v>
      </c>
      <c r="E363" s="2945">
        <v>2320</v>
      </c>
      <c r="F363" s="2945">
        <v>600</v>
      </c>
      <c r="G363" s="2958">
        <v>1420</v>
      </c>
    </row>
    <row r="364" spans="1:7" s="2780" customFormat="1">
      <c r="A364" s="2945" t="s">
        <v>3156</v>
      </c>
      <c r="B364" s="2945" t="s">
        <v>3161</v>
      </c>
      <c r="C364" s="2945">
        <v>2050</v>
      </c>
      <c r="D364" s="2945">
        <v>2030</v>
      </c>
      <c r="E364" s="2945">
        <v>1990</v>
      </c>
      <c r="F364" s="2945">
        <v>550</v>
      </c>
      <c r="G364" s="2958">
        <v>1220</v>
      </c>
    </row>
    <row r="365" spans="1:7" s="2780" customFormat="1">
      <c r="A365" s="2945" t="s">
        <v>3156</v>
      </c>
      <c r="B365" s="2945" t="s">
        <v>200</v>
      </c>
      <c r="C365" s="2945">
        <v>2140</v>
      </c>
      <c r="D365" s="2945">
        <v>2100</v>
      </c>
      <c r="E365" s="2945">
        <v>2060</v>
      </c>
      <c r="F365" s="2945">
        <v>540</v>
      </c>
      <c r="G365" s="2958">
        <v>1270</v>
      </c>
    </row>
    <row r="366" spans="1:7" s="2780" customFormat="1">
      <c r="A366" s="2945" t="s">
        <v>3156</v>
      </c>
      <c r="B366" s="2945" t="s">
        <v>2888</v>
      </c>
      <c r="C366" s="2945">
        <v>2410</v>
      </c>
      <c r="D366" s="2945">
        <v>2370</v>
      </c>
      <c r="E366" s="2945">
        <v>2330</v>
      </c>
      <c r="F366" s="2945">
        <v>570</v>
      </c>
      <c r="G366" s="2958">
        <v>1440</v>
      </c>
    </row>
    <row r="367" spans="1:7" s="2780" customFormat="1">
      <c r="A367" s="2945" t="s">
        <v>3156</v>
      </c>
      <c r="B367" s="2945" t="s">
        <v>3162</v>
      </c>
      <c r="C367" s="2945">
        <v>2300</v>
      </c>
      <c r="D367" s="2945">
        <v>2260</v>
      </c>
      <c r="E367" s="2945">
        <v>2220</v>
      </c>
      <c r="F367" s="2945">
        <v>560</v>
      </c>
      <c r="G367" s="2958">
        <v>1370</v>
      </c>
    </row>
    <row r="368" spans="1:7" s="2780" customFormat="1">
      <c r="A368" s="2945" t="s">
        <v>3156</v>
      </c>
      <c r="B368" s="2945" t="s">
        <v>3163</v>
      </c>
      <c r="C368" s="2945">
        <v>2430</v>
      </c>
      <c r="D368" s="2945">
        <v>2390</v>
      </c>
      <c r="E368" s="2945">
        <v>2350</v>
      </c>
      <c r="F368" s="2945">
        <v>570</v>
      </c>
      <c r="G368" s="2958">
        <v>1450</v>
      </c>
    </row>
    <row r="369" spans="1:7" s="2780" customFormat="1">
      <c r="A369" s="2945" t="s">
        <v>3156</v>
      </c>
      <c r="B369" s="2945" t="s">
        <v>214</v>
      </c>
      <c r="C369" s="2945">
        <v>2320</v>
      </c>
      <c r="D369" s="2945">
        <v>2290</v>
      </c>
      <c r="E369" s="2945">
        <v>2250</v>
      </c>
      <c r="F369" s="2945">
        <v>550</v>
      </c>
      <c r="G369" s="2958">
        <v>1380</v>
      </c>
    </row>
    <row r="370" spans="1:7" s="2780" customFormat="1">
      <c r="A370" s="2945" t="s">
        <v>3156</v>
      </c>
      <c r="B370" s="2945" t="s">
        <v>221</v>
      </c>
      <c r="C370" s="2945">
        <v>2190</v>
      </c>
      <c r="D370" s="2945">
        <v>2170</v>
      </c>
      <c r="E370" s="2945">
        <v>2130</v>
      </c>
      <c r="F370" s="2945">
        <v>530</v>
      </c>
      <c r="G370" s="2958">
        <v>1310</v>
      </c>
    </row>
    <row r="371" spans="1:7" s="2780" customFormat="1">
      <c r="A371" s="2945" t="s">
        <v>3156</v>
      </c>
      <c r="B371" s="2945" t="s">
        <v>229</v>
      </c>
      <c r="C371" s="2945">
        <v>2460</v>
      </c>
      <c r="D371" s="2945">
        <v>2420</v>
      </c>
      <c r="E371" s="2945">
        <v>2370</v>
      </c>
      <c r="F371" s="2945">
        <v>560</v>
      </c>
      <c r="G371" s="2958">
        <v>1470</v>
      </c>
    </row>
    <row r="372" spans="1:7" s="2780" customFormat="1">
      <c r="A372" s="2945" t="s">
        <v>3156</v>
      </c>
      <c r="B372" s="2945" t="s">
        <v>3164</v>
      </c>
      <c r="C372" s="2945">
        <v>2250</v>
      </c>
      <c r="D372" s="2945">
        <v>2210</v>
      </c>
      <c r="E372" s="2945">
        <v>2180</v>
      </c>
      <c r="F372" s="2945">
        <v>550</v>
      </c>
      <c r="G372" s="2958">
        <v>1340</v>
      </c>
    </row>
    <row r="373" spans="1:7" s="2780" customFormat="1">
      <c r="A373" s="2945" t="s">
        <v>3156</v>
      </c>
      <c r="B373" s="2945" t="s">
        <v>258</v>
      </c>
      <c r="C373" s="2945">
        <v>2210</v>
      </c>
      <c r="D373" s="2945">
        <v>2190</v>
      </c>
      <c r="E373" s="2945">
        <v>2150</v>
      </c>
      <c r="F373" s="2945">
        <v>530</v>
      </c>
      <c r="G373" s="2958">
        <v>1320</v>
      </c>
    </row>
    <row r="374" spans="1:7" s="2780" customFormat="1">
      <c r="A374" s="2945" t="s">
        <v>3156</v>
      </c>
      <c r="B374" s="2945" t="s">
        <v>266</v>
      </c>
      <c r="C374" s="2945">
        <v>2320</v>
      </c>
      <c r="D374" s="2945">
        <v>2280</v>
      </c>
      <c r="E374" s="2945">
        <v>2230</v>
      </c>
      <c r="F374" s="2945">
        <v>580</v>
      </c>
      <c r="G374" s="2958">
        <v>1380</v>
      </c>
    </row>
    <row r="375" spans="1:7" s="2780" customFormat="1">
      <c r="A375" s="2945" t="s">
        <v>3156</v>
      </c>
      <c r="B375" s="2945" t="s">
        <v>3165</v>
      </c>
      <c r="C375" s="2945">
        <v>2090</v>
      </c>
      <c r="D375" s="2945">
        <v>2050</v>
      </c>
      <c r="E375" s="2945">
        <v>2020</v>
      </c>
      <c r="F375" s="2945">
        <v>520</v>
      </c>
      <c r="G375" s="2958">
        <v>1240</v>
      </c>
    </row>
    <row r="376" spans="1:7" s="2780" customFormat="1">
      <c r="A376" s="2945" t="s">
        <v>3156</v>
      </c>
      <c r="B376" s="2945" t="s">
        <v>277</v>
      </c>
      <c r="C376" s="2945">
        <v>2010</v>
      </c>
      <c r="D376" s="2945">
        <v>1980</v>
      </c>
      <c r="E376" s="2945">
        <v>1940</v>
      </c>
      <c r="F376" s="2945">
        <v>540</v>
      </c>
      <c r="G376" s="2958">
        <v>1190</v>
      </c>
    </row>
    <row r="377" spans="1:7" s="2780" customFormat="1" ht="11.4" thickBot="1">
      <c r="A377" s="2953" t="s">
        <v>3156</v>
      </c>
      <c r="B377" s="2956" t="s">
        <v>2918</v>
      </c>
      <c r="C377" s="2956">
        <v>1930</v>
      </c>
      <c r="D377" s="2956">
        <v>1890</v>
      </c>
      <c r="E377" s="2956">
        <v>1860</v>
      </c>
      <c r="F377" s="2956">
        <v>530</v>
      </c>
      <c r="G377" s="2961">
        <v>1150</v>
      </c>
    </row>
    <row r="378" spans="1:7" s="2780" customFormat="1">
      <c r="A378" s="2962" t="s">
        <v>3166</v>
      </c>
      <c r="B378" s="2941" t="s">
        <v>3167</v>
      </c>
      <c r="C378" s="2941">
        <v>1520</v>
      </c>
      <c r="D378" s="2941">
        <v>1490</v>
      </c>
      <c r="E378" s="2941">
        <v>1460</v>
      </c>
      <c r="F378" s="2941">
        <v>460</v>
      </c>
      <c r="G378" s="2957">
        <v>940</v>
      </c>
    </row>
    <row r="379" spans="1:7" s="2780" customFormat="1">
      <c r="A379" s="2963" t="s">
        <v>3166</v>
      </c>
      <c r="B379" s="2945" t="s">
        <v>3168</v>
      </c>
      <c r="C379" s="2945">
        <v>1500</v>
      </c>
      <c r="D379" s="2945">
        <v>1470</v>
      </c>
      <c r="E379" s="2945">
        <v>1430</v>
      </c>
      <c r="F379" s="2945">
        <v>460</v>
      </c>
      <c r="G379" s="2958">
        <v>920</v>
      </c>
    </row>
    <row r="380" spans="1:7" s="2780" customFormat="1">
      <c r="A380" s="2963" t="s">
        <v>3166</v>
      </c>
      <c r="B380" s="2945" t="s">
        <v>3169</v>
      </c>
      <c r="C380" s="2945">
        <v>1620</v>
      </c>
      <c r="D380" s="2945">
        <v>1590</v>
      </c>
      <c r="E380" s="2945">
        <v>1560</v>
      </c>
      <c r="F380" s="2945">
        <v>480</v>
      </c>
      <c r="G380" s="2958">
        <v>1000</v>
      </c>
    </row>
    <row r="381" spans="1:7" s="2780" customFormat="1">
      <c r="A381" s="2963" t="s">
        <v>3166</v>
      </c>
      <c r="B381" s="2945" t="s">
        <v>3170</v>
      </c>
      <c r="C381" s="2945">
        <v>1460</v>
      </c>
      <c r="D381" s="2945">
        <v>1430</v>
      </c>
      <c r="E381" s="2945">
        <v>1390</v>
      </c>
      <c r="F381" s="2945">
        <v>450</v>
      </c>
      <c r="G381" s="2958">
        <v>900</v>
      </c>
    </row>
    <row r="382" spans="1:7" s="2780" customFormat="1">
      <c r="A382" s="2963" t="s">
        <v>3166</v>
      </c>
      <c r="B382" s="2945" t="s">
        <v>3171</v>
      </c>
      <c r="C382" s="2945">
        <v>1310</v>
      </c>
      <c r="D382" s="2945">
        <v>1280</v>
      </c>
      <c r="E382" s="2945">
        <v>1250</v>
      </c>
      <c r="F382" s="2945">
        <v>440</v>
      </c>
      <c r="G382" s="2958">
        <v>800</v>
      </c>
    </row>
    <row r="383" spans="1:7" s="2780" customFormat="1">
      <c r="A383" s="2963" t="s">
        <v>3166</v>
      </c>
      <c r="B383" s="2945" t="s">
        <v>3172</v>
      </c>
      <c r="C383" s="2945">
        <v>1260</v>
      </c>
      <c r="D383" s="2945">
        <v>1230</v>
      </c>
      <c r="E383" s="2945">
        <v>1200</v>
      </c>
      <c r="F383" s="2945">
        <v>420</v>
      </c>
      <c r="G383" s="2958">
        <v>770</v>
      </c>
    </row>
    <row r="384" spans="1:7" s="2780" customFormat="1" ht="11.4" thickBot="1">
      <c r="A384" s="2964" t="s">
        <v>3166</v>
      </c>
      <c r="B384" s="2952" t="s">
        <v>3173</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T47" sqref="T47:T48"/>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45825</v>
      </c>
      <c r="D1" s="1216" t="s">
        <v>603</v>
      </c>
      <c r="E1" s="1211">
        <f>'数据-取费表'!B22</f>
        <v>3</v>
      </c>
      <c r="F1" s="1216" t="s">
        <v>604</v>
      </c>
      <c r="G1" s="1212">
        <f ca="1">INDIRECT("d"&amp;$K$1)/100</f>
        <v>0.03</v>
      </c>
      <c r="H1" s="1216" t="s">
        <v>634</v>
      </c>
      <c r="I1" s="1212">
        <f ca="1">F4/100</f>
        <v>1.4999999999999999E-2</v>
      </c>
      <c r="J1" s="1217">
        <f>IF(C1&gt;C13,0,MATCH(C1,C$13:C$115,-1))+IF(SUMIF(C13:C115,C1,D13:D115)=0,13,12)</f>
        <v>13</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2302</v>
      </c>
      <c r="C27" s="1206">
        <v>43697</v>
      </c>
      <c r="D27" s="2572">
        <v>4.25</v>
      </c>
      <c r="E27" s="2572">
        <v>4.25</v>
      </c>
      <c r="F27" s="2572">
        <v>4.25</v>
      </c>
      <c r="G27" s="2572">
        <v>4.25</v>
      </c>
      <c r="H27" s="2572">
        <v>4.8499999999999996</v>
      </c>
      <c r="I27" s="2572"/>
      <c r="J27" s="2572"/>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5"/>
      <c r="C28" s="2576">
        <v>42301</v>
      </c>
      <c r="D28" s="2577">
        <v>4.3499999999999996</v>
      </c>
      <c r="E28" s="2577">
        <v>4.3499999999999996</v>
      </c>
      <c r="F28" s="2577">
        <v>4.75</v>
      </c>
      <c r="G28" s="2577">
        <v>4.75</v>
      </c>
      <c r="H28" s="2577">
        <v>4.9000000000000004</v>
      </c>
      <c r="I28" s="2577"/>
      <c r="J28" s="2577"/>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23" t="str">
        <f>IF(项目基本情况!B9="房地产市场价值","估价结果一览表","结果表-2")</f>
        <v>结果表-2</v>
      </c>
      <c r="B1" s="3223"/>
      <c r="C1" s="3223"/>
      <c r="D1" s="3223"/>
      <c r="E1" s="3223"/>
      <c r="F1" s="3223"/>
      <c r="G1" s="3223"/>
      <c r="H1" s="3223"/>
      <c r="I1" s="3223"/>
    </row>
    <row r="2" spans="1:9" ht="30" customHeight="1" thickTop="1">
      <c r="A2" s="3224" t="s">
        <v>928</v>
      </c>
      <c r="B2" s="3224" t="s">
        <v>929</v>
      </c>
      <c r="C2" s="3224" t="s">
        <v>930</v>
      </c>
      <c r="D2" s="3224" t="str">
        <f>结果表!D116</f>
        <v>出让国有建设用地使用权价值</v>
      </c>
      <c r="E2" s="3224"/>
      <c r="F2" s="3224" t="str">
        <f>结果表!F116</f>
        <v>在建建筑物价值</v>
      </c>
      <c r="G2" s="3224"/>
      <c r="H2" s="3224" t="str">
        <f>IF(项目基本情况!B9="房地产市场价值","房地产市场价值","房地产价值")</f>
        <v>房地产价值</v>
      </c>
      <c r="I2" s="3224"/>
    </row>
    <row r="3" spans="1:9" ht="15.6">
      <c r="A3" s="3225"/>
      <c r="B3" s="3225"/>
      <c r="C3" s="3225"/>
      <c r="D3" s="800" t="s">
        <v>925</v>
      </c>
      <c r="E3" s="800" t="s">
        <v>931</v>
      </c>
      <c r="F3" s="800" t="s">
        <v>925</v>
      </c>
      <c r="G3" s="800" t="s">
        <v>926</v>
      </c>
      <c r="H3" s="800" t="s">
        <v>925</v>
      </c>
      <c r="I3" s="800" t="s">
        <v>926</v>
      </c>
    </row>
    <row r="4" spans="1:9" ht="30">
      <c r="A4" s="1402" t="str">
        <f>项目基本情况!S2</f>
        <v>北京市朝阳区东直门外斜街8号院房地产</v>
      </c>
      <c r="B4" s="800">
        <f>项目基本情况!C17</f>
        <v>182.59</v>
      </c>
      <c r="C4" s="800">
        <f>项目基本情况!C18</f>
        <v>0</v>
      </c>
      <c r="D4" s="800" t="e">
        <f ca="1">结果表!D118</f>
        <v>#N/A</v>
      </c>
      <c r="E4" s="800" t="e">
        <f ca="1">结果表!E118</f>
        <v>#N/A</v>
      </c>
      <c r="F4" s="800" t="e">
        <f ca="1">结果表!F118</f>
        <v>#N/A</v>
      </c>
      <c r="G4" s="800" t="e">
        <f ca="1">结果表!G118</f>
        <v>#N/A</v>
      </c>
      <c r="H4" s="800">
        <f ca="1">结果表!H118</f>
        <v>3034</v>
      </c>
      <c r="I4" s="800">
        <f ca="1">结果表!I118</f>
        <v>166165</v>
      </c>
    </row>
    <row r="5" spans="1:9" ht="30" customHeight="1">
      <c r="A5" s="3225" t="s">
        <v>927</v>
      </c>
      <c r="B5" s="3225"/>
      <c r="C5" s="3225"/>
      <c r="D5" s="3225" t="e">
        <f ca="1">结果表!D119</f>
        <v>#N/A</v>
      </c>
      <c r="E5" s="3225"/>
      <c r="F5" s="3225" t="e">
        <f ca="1">结果表!F119</f>
        <v>#N/A</v>
      </c>
      <c r="G5" s="3225"/>
      <c r="H5" s="3225" t="str">
        <f ca="1">结果表!H119</f>
        <v>叁仟零叁拾肆万元整</v>
      </c>
      <c r="I5" s="3225"/>
    </row>
    <row r="6" spans="1:9" ht="15.6">
      <c r="A6" s="3226" t="str">
        <f>结果表!A120</f>
        <v>估价师知悉的法定优先受偿款</v>
      </c>
      <c r="B6" s="3226"/>
      <c r="C6" s="3226"/>
      <c r="D6" s="3226">
        <f>结果表!D120</f>
        <v>0</v>
      </c>
      <c r="E6" s="3226"/>
      <c r="F6" s="3226"/>
      <c r="G6" s="3226"/>
      <c r="H6" s="3226"/>
      <c r="I6" s="3226"/>
    </row>
    <row r="7" spans="1:9" ht="15">
      <c r="A7" s="3225" t="s">
        <v>927</v>
      </c>
      <c r="B7" s="3225"/>
      <c r="C7" s="3225"/>
      <c r="D7" s="3227" t="str">
        <f>结果表!D121</f>
        <v>零元整</v>
      </c>
      <c r="E7" s="3228"/>
      <c r="F7" s="3228"/>
      <c r="G7" s="3228"/>
      <c r="H7" s="3228"/>
      <c r="I7" s="3229"/>
    </row>
    <row r="8" spans="1:9" ht="15.6">
      <c r="A8" s="3226" t="str">
        <f>结果表!A122</f>
        <v>房地产抵押价值</v>
      </c>
      <c r="B8" s="3226"/>
      <c r="C8" s="3226"/>
      <c r="D8" s="3226">
        <f ca="1">结果表!D122</f>
        <v>3034</v>
      </c>
      <c r="E8" s="3226"/>
      <c r="F8" s="3226"/>
      <c r="G8" s="3226"/>
      <c r="H8" s="3226"/>
      <c r="I8" s="3226"/>
    </row>
    <row r="9" spans="1:9" ht="15">
      <c r="A9" s="3225" t="s">
        <v>927</v>
      </c>
      <c r="B9" s="3225"/>
      <c r="C9" s="3225"/>
      <c r="D9" s="3225" t="str">
        <f ca="1">结果表!D123</f>
        <v>叁仟零叁拾肆万元整</v>
      </c>
      <c r="E9" s="3225"/>
      <c r="F9" s="3225"/>
      <c r="G9" s="3225"/>
      <c r="H9" s="3225"/>
      <c r="I9" s="3225"/>
    </row>
    <row r="10" spans="1:9" ht="15.6">
      <c r="A10" s="3226" t="str">
        <f>结果表!A124</f>
        <v/>
      </c>
      <c r="B10" s="3226"/>
      <c r="C10" s="3226"/>
      <c r="D10" s="3226" t="str">
        <f>结果表!D124</f>
        <v>——</v>
      </c>
      <c r="E10" s="3226"/>
      <c r="F10" s="3226"/>
      <c r="G10" s="3226"/>
      <c r="H10" s="3226"/>
      <c r="I10" s="3226"/>
    </row>
    <row r="11" spans="1:9" ht="15">
      <c r="A11" s="3225" t="s">
        <v>927</v>
      </c>
      <c r="B11" s="3225"/>
      <c r="C11" s="3225"/>
      <c r="D11" s="3225" t="e">
        <f>结果表!D125</f>
        <v>#VALUE!</v>
      </c>
      <c r="E11" s="3225"/>
      <c r="F11" s="3225"/>
      <c r="G11" s="3225"/>
      <c r="H11" s="3225"/>
      <c r="I11" s="3225"/>
    </row>
    <row r="12" spans="1:9" ht="15.6">
      <c r="A12" s="3226" t="str">
        <f>结果表!A126</f>
        <v>抵押净值</v>
      </c>
      <c r="B12" s="3226"/>
      <c r="C12" s="3226"/>
      <c r="D12" s="3226">
        <f ca="1">结果表!D126</f>
        <v>1425</v>
      </c>
      <c r="E12" s="3226"/>
      <c r="F12" s="3226"/>
      <c r="G12" s="3226"/>
      <c r="H12" s="3226"/>
      <c r="I12" s="3226"/>
    </row>
    <row r="13" spans="1:9" ht="15.6" thickBot="1">
      <c r="A13" s="3230" t="s">
        <v>927</v>
      </c>
      <c r="B13" s="3230"/>
      <c r="C13" s="3230"/>
      <c r="D13" s="3230" t="str">
        <f ca="1">结果表!D127</f>
        <v>壹仟肆佰贰拾伍万元整</v>
      </c>
      <c r="E13" s="3230"/>
      <c r="F13" s="3230"/>
      <c r="G13" s="3230"/>
      <c r="H13" s="3230"/>
      <c r="I13" s="3230"/>
    </row>
    <row r="14" spans="1:9" ht="14.4" thickTop="1">
      <c r="A14" s="3231" t="s">
        <v>932</v>
      </c>
      <c r="B14" s="3231"/>
      <c r="C14" s="3231"/>
      <c r="D14" s="3231"/>
      <c r="E14" s="3231"/>
      <c r="F14" s="3231"/>
      <c r="G14" s="3231"/>
      <c r="H14" s="3231"/>
      <c r="I14" s="3231"/>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32" t="s">
        <v>949</v>
      </c>
      <c r="B1" s="3232"/>
      <c r="C1" s="3232"/>
      <c r="D1" s="3232"/>
    </row>
    <row r="2" spans="1:4" ht="17.399999999999999">
      <c r="A2" s="3233" t="s">
        <v>933</v>
      </c>
      <c r="B2" s="3233"/>
      <c r="C2" s="3233"/>
      <c r="D2" s="3233"/>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吴薇</v>
      </c>
      <c r="B5" s="1408">
        <f ca="1">项目基本情况!E4</f>
        <v>1419970001</v>
      </c>
      <c r="C5" s="1411"/>
      <c r="D5" s="1410" t="s">
        <v>938</v>
      </c>
    </row>
    <row r="6" spans="1:4" ht="17.399999999999999">
      <c r="A6" s="3233" t="s">
        <v>939</v>
      </c>
      <c r="B6" s="3233"/>
      <c r="C6" s="3233"/>
      <c r="D6" s="3233"/>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34" t="s">
        <v>942</v>
      </c>
      <c r="B11" s="3235"/>
      <c r="C11" s="3235"/>
      <c r="D11" s="3235"/>
    </row>
    <row r="12" spans="1:4" ht="15.6">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6"/>
      <c r="C12" s="3236"/>
      <c r="D12" s="3236"/>
    </row>
    <row r="13" spans="1:4" ht="30" customHeight="1">
      <c r="A13" s="32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6"/>
      <c r="C13" s="3236"/>
      <c r="D13" s="3236"/>
    </row>
    <row r="14" spans="1:4" ht="15.75" customHeight="1">
      <c r="A14" s="3235" t="str">
        <f>IF(项目基本情况!B8="抵押","4.本次评估估价师所知悉的法定优先受偿款情况说明如下：","——")</f>
        <v>4.本次评估估价师所知悉的法定优先受偿款情况说明如下：</v>
      </c>
      <c r="B14" s="3236"/>
      <c r="C14" s="3236"/>
      <c r="D14" s="3236"/>
    </row>
    <row r="15" spans="1:4" ht="42" customHeight="1">
      <c r="A15" s="32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5"/>
      <c r="C15" s="3235"/>
      <c r="D15" s="3235"/>
    </row>
    <row r="16" spans="1:4" ht="30" customHeight="1">
      <c r="A16" s="3238" t="s">
        <v>943</v>
      </c>
      <c r="B16" s="3238"/>
      <c r="C16" s="3238"/>
      <c r="D16" s="3238"/>
    </row>
    <row r="17" spans="1:4" ht="144" customHeight="1">
      <c r="A17" s="3238" t="s">
        <v>944</v>
      </c>
      <c r="B17" s="3238"/>
      <c r="C17" s="3238"/>
      <c r="D17" s="3238"/>
    </row>
    <row r="18" spans="1:4" ht="15.75" customHeight="1">
      <c r="A18" s="3235" t="str">
        <f>IF(项目基本情况!B8="抵押",结果表!K120,"——")</f>
        <v>故，本次评估不存在估价师知悉的法定优先受偿款</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5"/>
      <c r="C20" s="3235"/>
      <c r="D20" s="3235"/>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9"/>
      <c r="C21" s="3239"/>
      <c r="D21" s="3239"/>
    </row>
    <row r="22" spans="1:4" ht="18.75" customHeight="1">
      <c r="A22" s="3240" t="s">
        <v>945</v>
      </c>
      <c r="B22" s="3240"/>
      <c r="C22" s="3240"/>
      <c r="D22" s="3240"/>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37">
        <v>42551</v>
      </c>
      <c r="D31" s="32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46" t="s">
        <v>956</v>
      </c>
      <c r="B15" s="3241" t="s">
        <v>109</v>
      </c>
      <c r="C15" s="3242"/>
    </row>
    <row r="16" spans="1:7" ht="14.4">
      <c r="A16" s="3247"/>
      <c r="B16" s="3241" t="s">
        <v>42</v>
      </c>
      <c r="C16" s="3242"/>
    </row>
    <row r="17" spans="1:3" ht="14.4">
      <c r="A17" s="3247"/>
      <c r="B17" s="3244" t="s">
        <v>957</v>
      </c>
      <c r="C17" s="1428" t="s">
        <v>956</v>
      </c>
    </row>
    <row r="18" spans="1:3" ht="14.4">
      <c r="A18" s="3247"/>
      <c r="B18" s="3244"/>
      <c r="C18" s="1428" t="s">
        <v>958</v>
      </c>
    </row>
    <row r="19" spans="1:3" ht="14.4">
      <c r="A19" s="3247"/>
      <c r="B19" s="3244"/>
      <c r="C19" s="1428" t="s">
        <v>959</v>
      </c>
    </row>
    <row r="20" spans="1:3" ht="14.4">
      <c r="A20" s="3248"/>
      <c r="B20" s="3243" t="s">
        <v>960</v>
      </c>
      <c r="C20" s="3242"/>
    </row>
    <row r="21" spans="1:3" ht="14.4">
      <c r="A21" s="1429" t="s">
        <v>961</v>
      </c>
      <c r="B21" s="1430"/>
      <c r="C21" s="1431"/>
    </row>
    <row r="22" spans="1:3" ht="14.4">
      <c r="A22" s="3245" t="s">
        <v>962</v>
      </c>
      <c r="B22" s="3243" t="s">
        <v>963</v>
      </c>
      <c r="C22" s="3242"/>
    </row>
    <row r="23" spans="1:3" ht="14.4">
      <c r="A23" s="3245"/>
      <c r="B23" s="3243" t="s">
        <v>964</v>
      </c>
      <c r="C23" s="3242"/>
    </row>
    <row r="24" spans="1:3" ht="14.4">
      <c r="A24" s="3245"/>
      <c r="B24" s="3243" t="s">
        <v>965</v>
      </c>
      <c r="C24" s="3242"/>
    </row>
    <row r="25" spans="1:3" ht="14.4">
      <c r="A25" s="3245"/>
      <c r="B25" s="3244" t="s">
        <v>966</v>
      </c>
      <c r="C25" s="1428" t="s">
        <v>967</v>
      </c>
    </row>
    <row r="26" spans="1:3" ht="14.4">
      <c r="A26" s="3245"/>
      <c r="B26" s="3244"/>
      <c r="C26" s="1428" t="s">
        <v>968</v>
      </c>
    </row>
    <row r="27" spans="1:3" ht="14.4">
      <c r="A27" s="3245"/>
      <c r="B27" s="3244"/>
      <c r="C27" s="1428" t="s">
        <v>969</v>
      </c>
    </row>
    <row r="28" spans="1:3" ht="14.4">
      <c r="A28" s="3245"/>
      <c r="B28" s="3244"/>
      <c r="C28" s="1428" t="s">
        <v>970</v>
      </c>
    </row>
    <row r="29" spans="1:3" ht="14.4">
      <c r="A29" s="3245"/>
      <c r="B29" s="3244"/>
      <c r="C29" s="1428" t="s">
        <v>971</v>
      </c>
    </row>
    <row r="30" spans="1:3" ht="14.4">
      <c r="A30" s="3245"/>
      <c r="B30" s="3244"/>
      <c r="C30" s="1428" t="s">
        <v>972</v>
      </c>
    </row>
    <row r="31" spans="1:3" ht="14.4">
      <c r="A31" s="3245"/>
      <c r="B31" s="3244"/>
      <c r="C31" s="1428" t="s">
        <v>973</v>
      </c>
    </row>
    <row r="32" spans="1:3" ht="14.4">
      <c r="A32" s="3245"/>
      <c r="B32" s="3244"/>
      <c r="C32" s="1428" t="s">
        <v>974</v>
      </c>
    </row>
    <row r="33" spans="1:3" ht="14.4">
      <c r="A33" s="3245"/>
      <c r="B33" s="3244"/>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2136</v>
      </c>
      <c r="B2" s="2156">
        <f ca="1">TODAY()</f>
        <v>45912</v>
      </c>
      <c r="C2" s="2157" t="s">
        <v>2137</v>
      </c>
      <c r="D2" s="2157"/>
      <c r="E2" s="2157"/>
      <c r="F2" s="2153"/>
      <c r="G2" s="2153"/>
      <c r="H2" s="2153"/>
    </row>
    <row r="3" spans="1:8" ht="24" customHeight="1">
      <c r="A3" s="2158" t="s">
        <v>2138</v>
      </c>
      <c r="B3" s="1218" t="s">
        <v>2139</v>
      </c>
      <c r="C3" s="1218" t="s">
        <v>2140</v>
      </c>
      <c r="D3" s="2159" t="s">
        <v>2141</v>
      </c>
      <c r="E3" s="2160" t="s">
        <v>2142</v>
      </c>
      <c r="F3" s="1218" t="s">
        <v>2143</v>
      </c>
      <c r="G3" s="1218" t="s">
        <v>2140</v>
      </c>
      <c r="H3" s="2159" t="s">
        <v>2144</v>
      </c>
    </row>
    <row r="4" spans="1:8" ht="24" customHeight="1">
      <c r="A4" s="1218" t="s">
        <v>2145</v>
      </c>
      <c r="B4" s="1218">
        <f ca="1">IF(C4&lt;B2,"已过期",1119970066)</f>
        <v>1119970066</v>
      </c>
      <c r="C4" s="2161">
        <v>45937</v>
      </c>
      <c r="D4" s="2162" t="str">
        <f ca="1">A4&amp;"（注册号："&amp;B4&amp;"）"</f>
        <v>梁津（注册号：1119970066）</v>
      </c>
      <c r="E4" s="2163" t="s">
        <v>2145</v>
      </c>
      <c r="F4" s="1218">
        <f ca="1">IF(G4&lt;B2,"已过期",96010014)</f>
        <v>96010014</v>
      </c>
      <c r="G4" s="2164">
        <v>47118</v>
      </c>
      <c r="H4" s="2165" t="str">
        <f ca="1">E4&amp;"（注册号："&amp;F4&amp;"）"</f>
        <v>梁津（注册号：96010014）</v>
      </c>
    </row>
    <row r="5" spans="1:8" ht="24" customHeight="1">
      <c r="A5" s="1218" t="s">
        <v>2146</v>
      </c>
      <c r="B5" s="1218">
        <f ca="1">IF(C5&lt;B2,"已过期",1119970111)</f>
        <v>1119970111</v>
      </c>
      <c r="C5" s="2161">
        <v>45937</v>
      </c>
      <c r="D5" s="2162" t="str">
        <f t="shared" ref="D5:D15" ca="1" si="0">A5&amp;"（注册号："&amp;B5&amp;"）"</f>
        <v>叶凌（注册号：1119970111）</v>
      </c>
      <c r="E5" s="2163" t="s">
        <v>2146</v>
      </c>
      <c r="F5" s="1218">
        <f ca="1">IF(G5&lt;B2,"已过期",94010078)</f>
        <v>94010078</v>
      </c>
      <c r="G5" s="2164">
        <v>46387</v>
      </c>
      <c r="H5" s="2165" t="str">
        <f t="shared" ref="H5:H16" ca="1" si="1">E5&amp;"（注册号："&amp;F5&amp;"）"</f>
        <v>叶凌（注册号：94010078）</v>
      </c>
    </row>
    <row r="6" spans="1:8" ht="24" customHeight="1">
      <c r="A6" s="1218" t="s">
        <v>2147</v>
      </c>
      <c r="B6" s="1218" t="str">
        <f ca="1">IF(C6&lt;B2,"已过期",1120050019)</f>
        <v>已过期</v>
      </c>
      <c r="C6" s="2161">
        <v>45410</v>
      </c>
      <c r="D6" s="2162" t="str">
        <f t="shared" ca="1" si="0"/>
        <v>王鹏（注册号：已过期）</v>
      </c>
      <c r="E6" s="2163" t="s">
        <v>2147</v>
      </c>
      <c r="F6" s="1218">
        <f ca="1">IF(G6&lt;B2,"已过期",2002110030)</f>
        <v>2002110030</v>
      </c>
      <c r="G6" s="2164">
        <v>46387</v>
      </c>
      <c r="H6" s="2165" t="str">
        <f t="shared" ca="1" si="1"/>
        <v>王鹏（注册号：2002110030）</v>
      </c>
    </row>
    <row r="7" spans="1:8" ht="24" customHeight="1">
      <c r="A7" s="1218" t="s">
        <v>2148</v>
      </c>
      <c r="B7" s="1218">
        <f ca="1">IF(C7&lt;B2,"已过期",1120000080)</f>
        <v>1120000080</v>
      </c>
      <c r="C7" s="2161">
        <v>45937</v>
      </c>
      <c r="D7" s="2162" t="str">
        <f t="shared" ca="1" si="0"/>
        <v>欧红伟（注册号：1120000080）</v>
      </c>
      <c r="E7" s="2163" t="s">
        <v>2148</v>
      </c>
      <c r="F7" s="1218">
        <f ca="1">IF(G7&lt;B2,"已过期",2000110082)</f>
        <v>2000110082</v>
      </c>
      <c r="G7" s="2164">
        <v>46387</v>
      </c>
      <c r="H7" s="2165" t="str">
        <f t="shared" ca="1" si="1"/>
        <v>欧红伟（注册号：2000110082）</v>
      </c>
    </row>
    <row r="8" spans="1:8" ht="24" customHeight="1">
      <c r="A8" s="1218" t="s">
        <v>2149</v>
      </c>
      <c r="B8" s="1218">
        <f ca="1">IF(C8&lt;B2,"已过期",1419970001)</f>
        <v>1419970001</v>
      </c>
      <c r="C8" s="2161">
        <v>45937</v>
      </c>
      <c r="D8" s="2162" t="str">
        <f t="shared" ca="1" si="0"/>
        <v>吴薇（注册号：1419970001）</v>
      </c>
      <c r="E8" s="2163" t="s">
        <v>2149</v>
      </c>
      <c r="F8" s="1218">
        <f ca="1">IF(G8&lt;B2,"已过期",2002110125)</f>
        <v>2002110125</v>
      </c>
      <c r="G8" s="2164">
        <v>47118</v>
      </c>
      <c r="H8" s="2165" t="str">
        <f t="shared" ca="1" si="1"/>
        <v>吴薇（注册号：2002110125）</v>
      </c>
    </row>
    <row r="9" spans="1:8" ht="24" customHeight="1">
      <c r="A9" s="1218" t="s">
        <v>2150</v>
      </c>
      <c r="B9" s="1218" t="str">
        <f ca="1">IF(C9&lt;B2,"已过期",1120060040)</f>
        <v>已过期</v>
      </c>
      <c r="C9" s="2166">
        <v>45592</v>
      </c>
      <c r="D9" s="2162" t="str">
        <f t="shared" ca="1" si="0"/>
        <v>陈颖（注册号：已过期）</v>
      </c>
      <c r="E9" s="2163" t="s">
        <v>2150</v>
      </c>
      <c r="F9" s="1218">
        <f ca="1">IF(G9&lt;B2,"已过期",2004110096)</f>
        <v>2004110096</v>
      </c>
      <c r="G9" s="2164">
        <v>47118</v>
      </c>
      <c r="H9" s="2165" t="str">
        <f t="shared" ca="1" si="1"/>
        <v>陈颖（注册号：2004110096）</v>
      </c>
    </row>
    <row r="10" spans="1:8" ht="24" customHeight="1">
      <c r="A10" s="1218" t="s">
        <v>2151</v>
      </c>
      <c r="B10" s="1218" t="str">
        <f ca="1">IF(C10&lt;B2,"已过期",1120100036)</f>
        <v>已过期</v>
      </c>
      <c r="C10" s="2166">
        <v>45752</v>
      </c>
      <c r="D10" s="2162" t="str">
        <f t="shared" ca="1" si="0"/>
        <v>崔锴（注册号：已过期）</v>
      </c>
      <c r="E10" s="2163" t="s">
        <v>2151</v>
      </c>
      <c r="F10" s="1218">
        <f ca="1">IF(G10&lt;B2,"已过期",2010110070)</f>
        <v>2010110070</v>
      </c>
      <c r="G10" s="2164">
        <v>47907</v>
      </c>
      <c r="H10" s="2165" t="str">
        <f t="shared" ca="1" si="1"/>
        <v>崔锴（注册号：2010110070）</v>
      </c>
    </row>
    <row r="11" spans="1:8" ht="24" customHeight="1">
      <c r="A11" s="1218" t="s">
        <v>2152</v>
      </c>
      <c r="B11" s="1218">
        <f ca="1">IF(C11&lt;B2,"已过期",1120070131)</f>
        <v>1120070131</v>
      </c>
      <c r="C11" s="2161">
        <v>45937</v>
      </c>
      <c r="D11" s="2162" t="str">
        <f t="shared" ca="1" si="0"/>
        <v>郑燚（注册号：1120070131）</v>
      </c>
      <c r="E11" s="2163" t="s">
        <v>2152</v>
      </c>
      <c r="F11" s="1218">
        <f ca="1">IF(G11&lt;B2,"已过期",2014110011)</f>
        <v>2014110011</v>
      </c>
      <c r="G11" s="2164">
        <v>49302</v>
      </c>
      <c r="H11" s="2165" t="str">
        <f t="shared" ca="1" si="1"/>
        <v>郑燚（注册号：2014110011）</v>
      </c>
    </row>
    <row r="12" spans="1:8" ht="24" customHeight="1">
      <c r="A12" s="1218" t="s">
        <v>2153</v>
      </c>
      <c r="B12" s="1218">
        <f ca="1">IF(C12&lt;B2,"已过期",1120040230)</f>
        <v>1120040230</v>
      </c>
      <c r="C12" s="2166">
        <v>45937</v>
      </c>
      <c r="D12" s="2162" t="str">
        <f t="shared" ca="1" si="0"/>
        <v>苏海（注册号：1120040230）</v>
      </c>
      <c r="E12" s="2163" t="s">
        <v>2153</v>
      </c>
      <c r="F12" s="1218">
        <f ca="1">IF(G12&lt;B2,"已过期",98030020)</f>
        <v>98030020</v>
      </c>
      <c r="G12" s="2164">
        <v>47118</v>
      </c>
      <c r="H12" s="2165" t="str">
        <f t="shared" ca="1" si="1"/>
        <v>苏海（注册号：98030020）</v>
      </c>
    </row>
    <row r="13" spans="1:8" ht="24" customHeight="1">
      <c r="A13" s="1218" t="s">
        <v>2154</v>
      </c>
      <c r="B13" s="1218" t="str">
        <f ca="1">IF(C13&lt;B2,"已过期",1120020033)</f>
        <v>已过期</v>
      </c>
      <c r="C13" s="2161">
        <v>45375</v>
      </c>
      <c r="D13" s="2162" t="str">
        <f t="shared" ca="1" si="0"/>
        <v>刘敬东（注册号：已过期）</v>
      </c>
      <c r="E13" s="2163" t="s">
        <v>2154</v>
      </c>
      <c r="F13" s="1218">
        <f ca="1">IF(G13&lt;B2,"已过期",2000110137)</f>
        <v>2000110137</v>
      </c>
      <c r="G13" s="2164">
        <v>46387</v>
      </c>
      <c r="H13" s="2165" t="str">
        <f t="shared" ca="1" si="1"/>
        <v>刘敬东（注册号：2000110137）</v>
      </c>
    </row>
    <row r="14" spans="1:8" ht="24" customHeight="1">
      <c r="A14" s="1218" t="s">
        <v>2155</v>
      </c>
      <c r="B14" s="1218" t="str">
        <f ca="1">IF(C14&lt;B2,"已过期",1119980106)</f>
        <v>已过期</v>
      </c>
      <c r="C14" s="2166">
        <v>44969</v>
      </c>
      <c r="D14" s="2162" t="str">
        <f t="shared" ca="1" si="0"/>
        <v>刘俊财（注册号：已过期）</v>
      </c>
      <c r="E14" s="2163" t="s">
        <v>2155</v>
      </c>
      <c r="F14" s="1218">
        <f ca="1">IF(G14&lt;B2,"已过期",96010063)</f>
        <v>96010063</v>
      </c>
      <c r="G14" s="2164">
        <v>47483</v>
      </c>
      <c r="H14" s="2165" t="str">
        <f t="shared" ca="1" si="1"/>
        <v>刘俊财（注册号：96010063）</v>
      </c>
    </row>
    <row r="15" spans="1:8" ht="24" customHeight="1">
      <c r="A15" s="1218" t="s">
        <v>2430</v>
      </c>
      <c r="B15" s="1218">
        <v>1120210056</v>
      </c>
      <c r="C15" s="2166">
        <v>45410</v>
      </c>
      <c r="D15" s="2162" t="str">
        <f t="shared" si="0"/>
        <v>宁小鳗（注册号：1120210056）</v>
      </c>
      <c r="E15" s="2163" t="s">
        <v>2156</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49" t="s">
        <v>2157</v>
      </c>
      <c r="B17" s="3249"/>
      <c r="C17" s="3249"/>
      <c r="D17" s="3249"/>
      <c r="E17" s="3249"/>
      <c r="F17" s="3249"/>
      <c r="G17" s="3249"/>
      <c r="H17" s="3249"/>
    </row>
    <row r="18" spans="1:8" ht="24" customHeight="1">
      <c r="A18" s="3250" t="s">
        <v>2158</v>
      </c>
      <c r="B18" s="3250"/>
      <c r="C18" s="3250"/>
      <c r="D18" s="2159"/>
      <c r="E18" s="3251" t="s">
        <v>2159</v>
      </c>
      <c r="F18" s="3250"/>
      <c r="G18" s="3250"/>
    </row>
    <row r="19" spans="1:8" s="2169" customFormat="1" ht="24" customHeight="1">
      <c r="A19" s="2168" t="s">
        <v>2160</v>
      </c>
      <c r="B19" s="1218" t="s">
        <v>2161</v>
      </c>
      <c r="C19" s="1218" t="s">
        <v>2140</v>
      </c>
      <c r="D19" s="2159"/>
      <c r="E19" s="2163" t="s">
        <v>2160</v>
      </c>
      <c r="F19" s="1218" t="s">
        <v>2161</v>
      </c>
      <c r="G19" s="1218" t="s">
        <v>2140</v>
      </c>
    </row>
    <row r="20" spans="1:8" s="2169" customFormat="1" ht="24" customHeight="1">
      <c r="A20" s="2170" t="s">
        <v>2162</v>
      </c>
      <c r="B20" s="2170" t="s">
        <v>2163</v>
      </c>
      <c r="C20" s="2164">
        <v>45898</v>
      </c>
      <c r="D20" s="2171"/>
      <c r="E20" s="2172" t="s">
        <v>2164</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成本法</vt:lpstr>
      <vt:lpstr>基准地价修正</vt:lpstr>
      <vt:lpstr>典型户型修正</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住宅</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2025-09-12T05:09:58Z</dcterms:modified>
</cp:coreProperties>
</file>