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4E512ECE-5BAF-4264-98FA-AEC40194B631}" xr6:coauthVersionLast="47" xr6:coauthVersionMax="47" xr10:uidLastSave="{00000000-0000-0000-0000-000000000000}"/>
  <bookViews>
    <workbookView xWindow="-108" yWindow="-108" windowWidth="20376" windowHeight="12216" tabRatio="875" firstSheet="14"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state="hidden"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比较法-住宅、综合纯住宅" sheetId="74" r:id="rId27"/>
    <sheet name="剩余法-待开发 纯住宅" sheetId="75" r:id="rId28"/>
    <sheet name="不动产比较法-住宅" sheetId="21" r:id="rId29"/>
    <sheet name="信息+土地案例" sheetId="72" r:id="rId30"/>
    <sheet name="住宅案例详情页" sheetId="73" r:id="rId31"/>
    <sheet name="比较法-住宅、综合" sheetId="39" r:id="rId32"/>
    <sheet name="剩余法-待开发" sheetId="12" r:id="rId33"/>
    <sheet name="基准地价（汇总）" sheetId="67" state="hidden" r:id="rId34"/>
    <sheet name="收益还原法" sheetId="44" state="hidden" r:id="rId35"/>
    <sheet name="不动产收益法" sheetId="15" r:id="rId36"/>
    <sheet name="不动产收益法-酒店模型" sheetId="68" state="hidden" r:id="rId37"/>
    <sheet name="成本逼近法" sheetId="11" state="hidden" r:id="rId38"/>
    <sheet name="不动产比较法-商业" sheetId="33"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地价-分区" sheetId="70" r:id="rId45"/>
    <sheet name="存贷款利率" sheetId="65" r:id="rId46"/>
  </sheets>
  <externalReferences>
    <externalReference r:id="rId47"/>
    <externalReference r:id="rId48"/>
  </externalReferences>
  <definedNames>
    <definedName name="_xlnm._FilterDatabase" localSheetId="18" hidden="1">'比较法-工业'!$A$1:$L$45</definedName>
    <definedName name="_xlnm._FilterDatabase" localSheetId="31" hidden="1">'比较法-住宅、综合'!$A$1:$L$50</definedName>
    <definedName name="_xlnm._FilterDatabase" localSheetId="26" hidden="1">'比较法-住宅、综合纯住宅'!$A$1:$L$50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31">'比较法-住宅、综合'!$A$1:$K$66,'比较法-住宅、综合'!$A$70:$N$133</definedName>
    <definedName name="_xlnm.Print_Area" localSheetId="26">'比较法-住宅、综合纯住宅'!$A$1:$K$66,'比较法-住宅、综合纯住宅'!$A$70:$N$133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32">'剩余法-待开发'!$A$1:$K$36</definedName>
    <definedName name="_xlnm.Print_Area" localSheetId="27">'剩余法-待开发 纯住宅'!$A$1:$K$36</definedName>
    <definedName name="_xlnm.Print_Area" localSheetId="17">'剩余法-现房'!$A$1:$K$27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6">'比较法-住宅、综合纯住宅'!$A$74:$M$74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6">'比较法-住宅、综合纯住宅'!$B$107:$M$107</definedName>
    <definedName name="套综道路等级">'比较法-住宅、综合'!$B$107:$M$107</definedName>
    <definedName name="套综工程地质条件" localSheetId="26">'比较法-住宅、综合纯住宅'!$B$126:$M$126</definedName>
    <definedName name="套综工程地质条件">'比较法-住宅、综合'!$B$126:$M$126</definedName>
    <definedName name="套综交易情况" localSheetId="26">'比较法-住宅、综合纯住宅'!$A$74:$M$74</definedName>
    <definedName name="套综交易情况">'比较法-住宅、综合'!$A$74:$M$74</definedName>
    <definedName name="套综临街宽度及深度" localSheetId="26">'比较法-住宅、综合纯住宅'!$B$122:$M$122</definedName>
    <definedName name="套综临街宽度及深度">'比较法-住宅、综合'!$B$122:$M$122</definedName>
    <definedName name="套综土地级别" localSheetId="26">'比较法-住宅、综合纯住宅'!$B$109:$M$109</definedName>
    <definedName name="套综土地级别">'比较法-住宅、综合'!$B$109:$M$109</definedName>
    <definedName name="套综用途" localSheetId="26">'比较法-住宅、综合纯住宅'!$B$76:$M$76</definedName>
    <definedName name="套综用途">'比较法-住宅、综合'!$B$76:$M$76</definedName>
    <definedName name="套综宗地内开发程度" localSheetId="26">'比较法-住宅、综合纯住宅'!$B$124:$M$124</definedName>
    <definedName name="套综宗地内开发程度">'比较法-住宅、综合'!$B$124:$M$124</definedName>
    <definedName name="套综宗地形状" localSheetId="26">'比较法-住宅、综合纯住宅'!$B$120:$M$120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A3" i="3" l="1"/>
  <c r="I13" i="3"/>
  <c r="F29" i="75"/>
  <c r="G28" i="75"/>
  <c r="G27" i="75"/>
  <c r="G26" i="75"/>
  <c r="F25" i="75"/>
  <c r="C25" i="75" s="1"/>
  <c r="F24" i="75"/>
  <c r="F23" i="75"/>
  <c r="E22" i="75"/>
  <c r="E21" i="75"/>
  <c r="E19" i="75"/>
  <c r="F17" i="75"/>
  <c r="E16" i="75"/>
  <c r="F15" i="75"/>
  <c r="F14" i="75"/>
  <c r="K1" i="75"/>
  <c r="C14" i="66"/>
  <c r="B14" i="66"/>
  <c r="B15" i="72"/>
  <c r="J75" i="72"/>
  <c r="I75" i="72"/>
  <c r="H75" i="72"/>
  <c r="E86" i="39"/>
  <c r="F86" i="39" s="1"/>
  <c r="G86" i="39" s="1"/>
  <c r="D86" i="39"/>
  <c r="E86" i="74"/>
  <c r="F86" i="74" s="1"/>
  <c r="G86" i="74" s="1"/>
  <c r="D86" i="74"/>
  <c r="G75" i="72"/>
  <c r="Q75" i="72"/>
  <c r="Q74" i="72"/>
  <c r="J72" i="72"/>
  <c r="I72" i="72"/>
  <c r="J71" i="72"/>
  <c r="I71" i="72"/>
  <c r="H72" i="72"/>
  <c r="H71" i="72"/>
  <c r="G71" i="72"/>
  <c r="H63" i="72"/>
  <c r="G73" i="72"/>
  <c r="J61" i="72"/>
  <c r="I64" i="72"/>
  <c r="I63" i="72"/>
  <c r="I62" i="72"/>
  <c r="I61" i="72"/>
  <c r="I54" i="72"/>
  <c r="I55" i="72" s="1"/>
  <c r="F33" i="75"/>
  <c r="C34" i="75" l="1"/>
  <c r="D33" i="75" s="1"/>
  <c r="J73" i="72"/>
  <c r="I73" i="72"/>
  <c r="H73" i="72"/>
  <c r="K55" i="72"/>
  <c r="J52" i="72"/>
  <c r="Q55" i="39" l="1"/>
  <c r="B132" i="74"/>
  <c r="B130" i="74"/>
  <c r="B128" i="74"/>
  <c r="E127" i="74"/>
  <c r="F127" i="74" s="1"/>
  <c r="G127" i="74" s="1"/>
  <c r="H127" i="74" s="1"/>
  <c r="I127" i="74" s="1"/>
  <c r="J127" i="74" s="1"/>
  <c r="K127" i="74" s="1"/>
  <c r="L127" i="74" s="1"/>
  <c r="M127" i="74" s="1"/>
  <c r="D127" i="74"/>
  <c r="D125" i="74"/>
  <c r="E125" i="74" s="1"/>
  <c r="F125" i="74" s="1"/>
  <c r="G125" i="74" s="1"/>
  <c r="H125" i="74" s="1"/>
  <c r="I125" i="74" s="1"/>
  <c r="J125" i="74" s="1"/>
  <c r="K125" i="74" s="1"/>
  <c r="L125" i="74" s="1"/>
  <c r="M125" i="74" s="1"/>
  <c r="I123" i="74"/>
  <c r="J123" i="74" s="1"/>
  <c r="K123" i="74" s="1"/>
  <c r="L123" i="74" s="1"/>
  <c r="M123" i="74" s="1"/>
  <c r="E123" i="74"/>
  <c r="F123" i="74" s="1"/>
  <c r="G123" i="74" s="1"/>
  <c r="H123" i="74" s="1"/>
  <c r="D123" i="74"/>
  <c r="D121" i="74"/>
  <c r="E121" i="74" s="1"/>
  <c r="E119" i="74"/>
  <c r="F119" i="74" s="1"/>
  <c r="G119" i="74" s="1"/>
  <c r="H119" i="74" s="1"/>
  <c r="I119" i="74" s="1"/>
  <c r="D119" i="74"/>
  <c r="M117" i="74"/>
  <c r="L117" i="74"/>
  <c r="K117" i="74"/>
  <c r="J117" i="74"/>
  <c r="I117" i="74"/>
  <c r="H117" i="74"/>
  <c r="G117" i="74"/>
  <c r="F117" i="74"/>
  <c r="E117" i="74"/>
  <c r="D117" i="74"/>
  <c r="C117" i="74"/>
  <c r="B115" i="74"/>
  <c r="B113" i="74"/>
  <c r="B111" i="74"/>
  <c r="M110" i="74"/>
  <c r="I110" i="74"/>
  <c r="J110" i="74" s="1"/>
  <c r="K110" i="74" s="1"/>
  <c r="L110" i="74" s="1"/>
  <c r="E110" i="74"/>
  <c r="F110" i="74" s="1"/>
  <c r="G110" i="74" s="1"/>
  <c r="H110" i="74" s="1"/>
  <c r="D110" i="74"/>
  <c r="K108" i="74"/>
  <c r="L108" i="74" s="1"/>
  <c r="M108" i="74" s="1"/>
  <c r="G108" i="74"/>
  <c r="H108" i="74" s="1"/>
  <c r="I108" i="74" s="1"/>
  <c r="J108" i="74" s="1"/>
  <c r="E108" i="74"/>
  <c r="F108" i="74" s="1"/>
  <c r="D108" i="74"/>
  <c r="M106" i="74"/>
  <c r="I106" i="74"/>
  <c r="J106" i="74" s="1"/>
  <c r="K106" i="74" s="1"/>
  <c r="L106" i="74" s="1"/>
  <c r="E106" i="74"/>
  <c r="F106" i="74" s="1"/>
  <c r="G106" i="74" s="1"/>
  <c r="H106" i="74" s="1"/>
  <c r="D106" i="74"/>
  <c r="B105" i="74"/>
  <c r="F104" i="74"/>
  <c r="G104" i="74" s="1"/>
  <c r="D104" i="74"/>
  <c r="E104" i="74" s="1"/>
  <c r="D102" i="74"/>
  <c r="E102" i="74" s="1"/>
  <c r="F102" i="74" s="1"/>
  <c r="F100" i="74"/>
  <c r="G100" i="74" s="1"/>
  <c r="D100" i="74"/>
  <c r="E100" i="74" s="1"/>
  <c r="H27" i="74" s="1"/>
  <c r="D98" i="74"/>
  <c r="E98" i="74" s="1"/>
  <c r="F98" i="74" s="1"/>
  <c r="G98" i="74" s="1"/>
  <c r="D96" i="74"/>
  <c r="E96" i="74" s="1"/>
  <c r="F96" i="74" s="1"/>
  <c r="G96" i="74" s="1"/>
  <c r="D94" i="74"/>
  <c r="E94" i="74" s="1"/>
  <c r="F94" i="74" s="1"/>
  <c r="G94" i="74" s="1"/>
  <c r="D92" i="74"/>
  <c r="E92" i="74" s="1"/>
  <c r="F92" i="74" s="1"/>
  <c r="G92" i="74" s="1"/>
  <c r="D90" i="74"/>
  <c r="E90" i="74" s="1"/>
  <c r="F90" i="74" s="1"/>
  <c r="B87" i="74"/>
  <c r="B85" i="74"/>
  <c r="J15" i="74" s="1"/>
  <c r="B83" i="74"/>
  <c r="D82" i="74"/>
  <c r="E82" i="74" s="1"/>
  <c r="F82" i="74" s="1"/>
  <c r="G82" i="74" s="1"/>
  <c r="M80" i="74"/>
  <c r="L80" i="74"/>
  <c r="K80" i="74"/>
  <c r="J80" i="74"/>
  <c r="I80" i="74"/>
  <c r="H80" i="74"/>
  <c r="G80" i="74"/>
  <c r="F80" i="74"/>
  <c r="E80" i="74"/>
  <c r="D80" i="74"/>
  <c r="C80" i="74"/>
  <c r="B72" i="74"/>
  <c r="H66" i="74"/>
  <c r="I66" i="74" s="1"/>
  <c r="C66" i="74" s="1"/>
  <c r="I65" i="74"/>
  <c r="C65" i="74" s="1"/>
  <c r="H65" i="74"/>
  <c r="H64" i="74"/>
  <c r="I64" i="74" s="1"/>
  <c r="C64" i="74" s="1"/>
  <c r="I63" i="74"/>
  <c r="C63" i="74" s="1"/>
  <c r="H63" i="74"/>
  <c r="H62" i="74"/>
  <c r="I62" i="74" s="1"/>
  <c r="C62" i="74" s="1"/>
  <c r="I61" i="74"/>
  <c r="C61" i="74" s="1"/>
  <c r="H61" i="74"/>
  <c r="I60" i="74"/>
  <c r="H60" i="74"/>
  <c r="C60" i="74"/>
  <c r="H59" i="74"/>
  <c r="I59" i="74" s="1"/>
  <c r="C59" i="74" s="1"/>
  <c r="J57" i="74"/>
  <c r="P50" i="74"/>
  <c r="P49" i="74"/>
  <c r="K49" i="74"/>
  <c r="P48" i="74"/>
  <c r="I48" i="74"/>
  <c r="V48" i="74" s="1"/>
  <c r="G48" i="74"/>
  <c r="G55" i="74" s="1"/>
  <c r="H55" i="74" s="1"/>
  <c r="E48" i="74"/>
  <c r="R48" i="74" s="1"/>
  <c r="AC47" i="74"/>
  <c r="W47" i="74"/>
  <c r="Q47" i="74"/>
  <c r="Z47" i="74" s="1"/>
  <c r="J47" i="74"/>
  <c r="H47" i="74"/>
  <c r="AB47" i="74" s="1"/>
  <c r="F47" i="74"/>
  <c r="AA47" i="74" s="1"/>
  <c r="Q46" i="74"/>
  <c r="Z46" i="74" s="1"/>
  <c r="J46" i="74"/>
  <c r="AC46" i="74" s="1"/>
  <c r="H46" i="74"/>
  <c r="AB46" i="74" s="1"/>
  <c r="F46" i="74"/>
  <c r="AA46" i="74" s="1"/>
  <c r="Q45" i="74"/>
  <c r="Z45" i="74" s="1"/>
  <c r="J45" i="74"/>
  <c r="AC45" i="74" s="1"/>
  <c r="H45" i="74"/>
  <c r="AB45" i="74" s="1"/>
  <c r="F45" i="74"/>
  <c r="AA45" i="74" s="1"/>
  <c r="Z44" i="74"/>
  <c r="Q44" i="74"/>
  <c r="J44" i="74"/>
  <c r="AC44" i="74" s="1"/>
  <c r="H44" i="74"/>
  <c r="AB44" i="74" s="1"/>
  <c r="F44" i="74"/>
  <c r="AA44" i="74" s="1"/>
  <c r="Q43" i="74"/>
  <c r="Z43" i="74" s="1"/>
  <c r="J43" i="74"/>
  <c r="AC43" i="74" s="1"/>
  <c r="H43" i="74"/>
  <c r="AB43" i="74" s="1"/>
  <c r="F43" i="74"/>
  <c r="AA43" i="74" s="1"/>
  <c r="U42" i="74"/>
  <c r="Q42" i="74"/>
  <c r="Z42" i="74" s="1"/>
  <c r="J42" i="74"/>
  <c r="AC42" i="74" s="1"/>
  <c r="H42" i="74"/>
  <c r="AB42" i="74" s="1"/>
  <c r="F42" i="74"/>
  <c r="AA42" i="74" s="1"/>
  <c r="Q41" i="74"/>
  <c r="Z41" i="74" s="1"/>
  <c r="J41" i="74"/>
  <c r="AC41" i="74" s="1"/>
  <c r="F41" i="74"/>
  <c r="AA41" i="74" s="1"/>
  <c r="Q40" i="74"/>
  <c r="Z40" i="74" s="1"/>
  <c r="I40" i="74"/>
  <c r="J40" i="74" s="1"/>
  <c r="G40" i="74"/>
  <c r="H40" i="74" s="1"/>
  <c r="E40" i="74"/>
  <c r="F40" i="74" s="1"/>
  <c r="AC39" i="74"/>
  <c r="Q39" i="74"/>
  <c r="Z39" i="74" s="1"/>
  <c r="J39" i="74"/>
  <c r="W39" i="74" s="1"/>
  <c r="H39" i="74"/>
  <c r="AB39" i="74" s="1"/>
  <c r="F39" i="74"/>
  <c r="AA39" i="74" s="1"/>
  <c r="U38" i="74"/>
  <c r="Q38" i="74"/>
  <c r="Z38" i="74" s="1"/>
  <c r="J38" i="74"/>
  <c r="AC38" i="74" s="1"/>
  <c r="H38" i="74"/>
  <c r="AB38" i="74" s="1"/>
  <c r="F38" i="74"/>
  <c r="AA38" i="74" s="1"/>
  <c r="AA37" i="74"/>
  <c r="Q37" i="74"/>
  <c r="Z37" i="74" s="1"/>
  <c r="J37" i="74"/>
  <c r="AC37" i="74" s="1"/>
  <c r="H37" i="74"/>
  <c r="AB37" i="74" s="1"/>
  <c r="F37" i="74"/>
  <c r="S37" i="74" s="1"/>
  <c r="Q36" i="74"/>
  <c r="Z36" i="74" s="1"/>
  <c r="J36" i="74"/>
  <c r="AC36" i="74" s="1"/>
  <c r="H36" i="74"/>
  <c r="AB36" i="74" s="1"/>
  <c r="F36" i="74"/>
  <c r="AA36" i="74" s="1"/>
  <c r="Q34" i="74"/>
  <c r="Z34" i="74" s="1"/>
  <c r="J34" i="74"/>
  <c r="AC34" i="74" s="1"/>
  <c r="H34" i="74"/>
  <c r="AB34" i="74" s="1"/>
  <c r="F34" i="74"/>
  <c r="AA34" i="74" s="1"/>
  <c r="Q33" i="74"/>
  <c r="Z33" i="74" s="1"/>
  <c r="J33" i="74"/>
  <c r="AC33" i="74" s="1"/>
  <c r="H33" i="74"/>
  <c r="AB33" i="74" s="1"/>
  <c r="F33" i="74"/>
  <c r="AA33" i="74" s="1"/>
  <c r="Q31" i="74"/>
  <c r="Z31" i="74" s="1"/>
  <c r="J31" i="74"/>
  <c r="AC31" i="74" s="1"/>
  <c r="H31" i="74"/>
  <c r="AB31" i="74" s="1"/>
  <c r="F31" i="74"/>
  <c r="S31" i="74" s="1"/>
  <c r="C31" i="74"/>
  <c r="Q29" i="74"/>
  <c r="Z29" i="74" s="1"/>
  <c r="C29" i="74"/>
  <c r="AA27" i="74"/>
  <c r="Q27" i="74"/>
  <c r="Z27" i="74" s="1"/>
  <c r="J27" i="74"/>
  <c r="W27" i="74" s="1"/>
  <c r="F27" i="74"/>
  <c r="S27" i="74" s="1"/>
  <c r="C27" i="74"/>
  <c r="AC25" i="74"/>
  <c r="AB25" i="74"/>
  <c r="Q25" i="74"/>
  <c r="Z25" i="74" s="1"/>
  <c r="J25" i="74"/>
  <c r="W25" i="74" s="1"/>
  <c r="H25" i="74"/>
  <c r="U25" i="74" s="1"/>
  <c r="F25" i="74"/>
  <c r="AA25" i="74" s="1"/>
  <c r="C25" i="74"/>
  <c r="AB23" i="74"/>
  <c r="AA23" i="74"/>
  <c r="Q23" i="74"/>
  <c r="Z23" i="74" s="1"/>
  <c r="J23" i="74"/>
  <c r="W23" i="74" s="1"/>
  <c r="H23" i="74"/>
  <c r="U23" i="74" s="1"/>
  <c r="F23" i="74"/>
  <c r="S23" i="74" s="1"/>
  <c r="C23" i="74"/>
  <c r="Q21" i="74"/>
  <c r="Z21" i="74" s="1"/>
  <c r="J21" i="74"/>
  <c r="AC21" i="74" s="1"/>
  <c r="H21" i="74"/>
  <c r="U21" i="74" s="1"/>
  <c r="F21" i="74"/>
  <c r="S21" i="74" s="1"/>
  <c r="C21" i="74"/>
  <c r="AC19" i="74"/>
  <c r="Q19" i="74"/>
  <c r="Z19" i="74" s="1"/>
  <c r="J19" i="74"/>
  <c r="W19" i="74" s="1"/>
  <c r="H19" i="74"/>
  <c r="U19" i="74" s="1"/>
  <c r="F19" i="74"/>
  <c r="S19" i="74" s="1"/>
  <c r="C19" i="74"/>
  <c r="Q17" i="74"/>
  <c r="Z17" i="74" s="1"/>
  <c r="C17" i="74"/>
  <c r="AB16" i="74"/>
  <c r="AA16" i="74"/>
  <c r="Q16" i="74"/>
  <c r="Z16" i="74" s="1"/>
  <c r="J16" i="74"/>
  <c r="W16" i="74" s="1"/>
  <c r="H16" i="74"/>
  <c r="U16" i="74" s="1"/>
  <c r="F16" i="74"/>
  <c r="S16" i="74" s="1"/>
  <c r="Q15" i="74"/>
  <c r="Z15" i="74" s="1"/>
  <c r="H15" i="74"/>
  <c r="U15" i="74" s="1"/>
  <c r="F15" i="74"/>
  <c r="S15" i="74" s="1"/>
  <c r="Q14" i="74"/>
  <c r="Z14" i="74" s="1"/>
  <c r="J14" i="74"/>
  <c r="W14" i="74" s="1"/>
  <c r="H14" i="74"/>
  <c r="AB14" i="74" s="1"/>
  <c r="F14" i="74"/>
  <c r="AA14" i="74" s="1"/>
  <c r="Q13" i="74"/>
  <c r="Z13" i="74" s="1"/>
  <c r="I13" i="74"/>
  <c r="G13" i="74"/>
  <c r="E13" i="74"/>
  <c r="Q12" i="74"/>
  <c r="Z12" i="74" s="1"/>
  <c r="Q11" i="74"/>
  <c r="Z11" i="74" s="1"/>
  <c r="J11" i="74"/>
  <c r="AC11" i="74" s="1"/>
  <c r="H11" i="74"/>
  <c r="AB11" i="74" s="1"/>
  <c r="F11" i="74"/>
  <c r="AA11" i="74" s="1"/>
  <c r="AC10" i="74"/>
  <c r="AB10" i="74"/>
  <c r="W10" i="74"/>
  <c r="U10" i="74"/>
  <c r="S10" i="74"/>
  <c r="J10" i="74"/>
  <c r="H10" i="74"/>
  <c r="F10" i="74"/>
  <c r="AA10" i="74" s="1"/>
  <c r="C9" i="74"/>
  <c r="C69" i="74" s="1"/>
  <c r="I8" i="74"/>
  <c r="G8" i="74"/>
  <c r="E8" i="74"/>
  <c r="I7" i="74"/>
  <c r="G7" i="74"/>
  <c r="E7" i="74"/>
  <c r="E37" i="21"/>
  <c r="G37" i="21"/>
  <c r="I37" i="21"/>
  <c r="E119" i="39"/>
  <c r="F119" i="39"/>
  <c r="G119" i="39" s="1"/>
  <c r="H119" i="39" s="1"/>
  <c r="I119" i="39" s="1"/>
  <c r="D119" i="39"/>
  <c r="I40" i="39"/>
  <c r="G40" i="39"/>
  <c r="E40" i="39"/>
  <c r="I48" i="39"/>
  <c r="G48" i="39"/>
  <c r="E48" i="39"/>
  <c r="C14" i="39"/>
  <c r="I13" i="39"/>
  <c r="G13" i="39"/>
  <c r="E13" i="39"/>
  <c r="I8" i="39"/>
  <c r="G8" i="39"/>
  <c r="E8" i="39"/>
  <c r="I7" i="39"/>
  <c r="G7" i="39"/>
  <c r="E7" i="39"/>
  <c r="Q7" i="1"/>
  <c r="L7" i="1"/>
  <c r="N7" i="1"/>
  <c r="J7" i="1"/>
  <c r="I7" i="1"/>
  <c r="H7" i="1"/>
  <c r="C19" i="6"/>
  <c r="B4" i="72"/>
  <c r="AB15" i="74" l="1"/>
  <c r="AA15" i="74"/>
  <c r="E55" i="74"/>
  <c r="F55" i="74" s="1"/>
  <c r="I55" i="74"/>
  <c r="J55" i="74" s="1"/>
  <c r="H82" i="74"/>
  <c r="I82" i="74" s="1"/>
  <c r="J82" i="74" s="1"/>
  <c r="K82" i="74" s="1"/>
  <c r="L82" i="74" s="1"/>
  <c r="M82" i="74" s="1"/>
  <c r="H13" i="74"/>
  <c r="AB13" i="74" s="1"/>
  <c r="J13" i="74"/>
  <c r="AC13" i="74" s="1"/>
  <c r="F13" i="74"/>
  <c r="AA13" i="74" s="1"/>
  <c r="AC14" i="74"/>
  <c r="W34" i="74"/>
  <c r="J29" i="74"/>
  <c r="G102" i="74"/>
  <c r="H29" i="74"/>
  <c r="F29" i="74"/>
  <c r="G90" i="74"/>
  <c r="J17" i="74"/>
  <c r="F17" i="74"/>
  <c r="H17" i="74"/>
  <c r="W21" i="74"/>
  <c r="AA21" i="74"/>
  <c r="AC27" i="74"/>
  <c r="AA31" i="74"/>
  <c r="S45" i="74"/>
  <c r="U14" i="74"/>
  <c r="S25" i="74"/>
  <c r="S11" i="74"/>
  <c r="D69" i="74"/>
  <c r="C71" i="74"/>
  <c r="U11" i="74"/>
  <c r="AC16" i="74"/>
  <c r="AA19" i="74"/>
  <c r="AB21" i="74"/>
  <c r="AC23" i="74"/>
  <c r="U33" i="74"/>
  <c r="AA40" i="74"/>
  <c r="S40" i="74"/>
  <c r="S41" i="74"/>
  <c r="W43" i="74"/>
  <c r="W11" i="74"/>
  <c r="S14" i="74"/>
  <c r="AB19" i="74"/>
  <c r="AB40" i="74"/>
  <c r="U40" i="74"/>
  <c r="U46" i="74"/>
  <c r="AC40" i="74"/>
  <c r="W40" i="74"/>
  <c r="AC15" i="74"/>
  <c r="W15" i="74"/>
  <c r="AB27" i="74"/>
  <c r="U27" i="74"/>
  <c r="F121" i="74"/>
  <c r="G121" i="74" s="1"/>
  <c r="H121" i="74" s="1"/>
  <c r="I121" i="74" s="1"/>
  <c r="J121" i="74" s="1"/>
  <c r="K121" i="74" s="1"/>
  <c r="L121" i="74" s="1"/>
  <c r="M121" i="74" s="1"/>
  <c r="H41" i="74"/>
  <c r="U31" i="74"/>
  <c r="W33" i="74"/>
  <c r="S36" i="74"/>
  <c r="U37" i="74"/>
  <c r="W38" i="74"/>
  <c r="W42" i="74"/>
  <c r="S44" i="74"/>
  <c r="U45" i="74"/>
  <c r="W46" i="74"/>
  <c r="W31" i="74"/>
  <c r="S34" i="74"/>
  <c r="U36" i="74"/>
  <c r="W37" i="74"/>
  <c r="S39" i="74"/>
  <c r="W41" i="74"/>
  <c r="S43" i="74"/>
  <c r="U44" i="74"/>
  <c r="W45" i="74"/>
  <c r="S47" i="74"/>
  <c r="T48" i="74"/>
  <c r="S33" i="74"/>
  <c r="U34" i="74"/>
  <c r="W36" i="74"/>
  <c r="S38" i="74"/>
  <c r="U39" i="74"/>
  <c r="S42" i="74"/>
  <c r="U43" i="74"/>
  <c r="W44" i="74"/>
  <c r="S46" i="74"/>
  <c r="U47" i="74"/>
  <c r="B6" i="72"/>
  <c r="W13" i="74" l="1"/>
  <c r="S13" i="74"/>
  <c r="U13" i="74"/>
  <c r="W17" i="74"/>
  <c r="AC17" i="74"/>
  <c r="AB17" i="74"/>
  <c r="U17" i="74"/>
  <c r="AC29" i="74"/>
  <c r="W29" i="74"/>
  <c r="E69" i="74"/>
  <c r="D71" i="74"/>
  <c r="AA17" i="74"/>
  <c r="S17" i="74"/>
  <c r="AA29" i="74"/>
  <c r="S29" i="74"/>
  <c r="AB41" i="74"/>
  <c r="U41" i="74"/>
  <c r="AB29" i="74"/>
  <c r="U29" i="74"/>
  <c r="B7" i="72"/>
  <c r="E71" i="74" l="1"/>
  <c r="F69" i="74"/>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G69" i="74" l="1"/>
  <c r="F71" i="74"/>
  <c r="B62" i="69"/>
  <c r="B55" i="69"/>
  <c r="D55" i="69" s="1"/>
  <c r="B56" i="69"/>
  <c r="D51" i="69"/>
  <c r="C51" i="69" s="1"/>
  <c r="C56" i="69" s="1"/>
  <c r="C58" i="69" s="1"/>
  <c r="D56" i="69"/>
  <c r="D58" i="69" s="1"/>
  <c r="D62" i="69" s="1"/>
  <c r="C62" i="69" s="1"/>
  <c r="G14" i="65"/>
  <c r="F14" i="65"/>
  <c r="E14" i="65"/>
  <c r="H69" i="74" l="1"/>
  <c r="G71" i="74"/>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I69" i="74" l="1"/>
  <c r="H71" i="74"/>
  <c r="G15" i="65"/>
  <c r="F15" i="65"/>
  <c r="E15" i="65"/>
  <c r="G13" i="65"/>
  <c r="F13" i="65"/>
  <c r="E13" i="65"/>
  <c r="G16" i="65"/>
  <c r="F16" i="65"/>
  <c r="E16" i="65"/>
  <c r="I71" i="74" l="1"/>
  <c r="J69" i="74"/>
  <c r="AB32" i="70"/>
  <c r="AA32" i="70"/>
  <c r="Z32" i="70"/>
  <c r="N32" i="70"/>
  <c r="M32" i="70"/>
  <c r="P32" i="70" s="1"/>
  <c r="L32" i="70"/>
  <c r="I32" i="70"/>
  <c r="AC7" i="70"/>
  <c r="AB7" i="70"/>
  <c r="AA7" i="70"/>
  <c r="AD7" i="70" s="1"/>
  <c r="Z7" i="70"/>
  <c r="Y7" i="70"/>
  <c r="O7" i="70"/>
  <c r="N7" i="70"/>
  <c r="M7" i="70"/>
  <c r="P7" i="70" s="1"/>
  <c r="L7" i="70"/>
  <c r="K7" i="70"/>
  <c r="I7" i="70"/>
  <c r="K69" i="74" l="1"/>
  <c r="J71" i="74"/>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L69" i="74" l="1"/>
  <c r="K71" i="74"/>
  <c r="P34" i="70"/>
  <c r="P35" i="70"/>
  <c r="G17" i="65"/>
  <c r="F17" i="65"/>
  <c r="E17" i="65"/>
  <c r="M69" i="74" l="1"/>
  <c r="L71" i="74"/>
  <c r="Z36" i="70"/>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M71" i="74" l="1"/>
  <c r="N69" i="74"/>
  <c r="N71" i="74" s="1"/>
  <c r="P38" i="70"/>
  <c r="H9" i="74" l="1"/>
  <c r="F9" i="74"/>
  <c r="J9" i="74"/>
  <c r="B3" i="69"/>
  <c r="C7" i="69" s="1"/>
  <c r="AC9" i="74" l="1"/>
  <c r="W9" i="74"/>
  <c r="S9" i="74"/>
  <c r="AA9" i="74"/>
  <c r="AB9" i="74"/>
  <c r="U9" i="74"/>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Z3" i="70" l="1"/>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D59" i="59"/>
  <c r="C64" i="59"/>
  <c r="Q68" i="59"/>
  <c r="C68" i="59"/>
  <c r="U69" i="59"/>
  <c r="Q69" i="59"/>
  <c r="C72" i="59"/>
  <c r="D73" i="59"/>
  <c r="C80" i="59"/>
  <c r="D80" i="59" s="1"/>
  <c r="E80" i="59"/>
  <c r="E79" i="59"/>
  <c r="D81" i="59"/>
  <c r="C84" i="59"/>
  <c r="D84" i="59" s="1"/>
  <c r="C88" i="59"/>
  <c r="D88" i="59" s="1"/>
  <c r="U16" i="4"/>
  <c r="S16" i="4"/>
  <c r="Q16" i="4"/>
  <c r="O16" i="4"/>
  <c r="M16" i="4"/>
  <c r="K16" i="4"/>
  <c r="C87" i="59"/>
  <c r="D87" i="59" s="1"/>
  <c r="C79" i="59"/>
  <c r="D79" i="59" s="1"/>
  <c r="O68" i="59"/>
  <c r="C83" i="59"/>
  <c r="D83" i="59" s="1"/>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G1" i="44"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E20" i="6" s="1"/>
  <c r="H9" i="43" s="1"/>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L494" i="3" s="1"/>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L502" i="3" s="1"/>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L522" i="3" s="1"/>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F97" i="40" s="1"/>
  <c r="G97" i="40" s="1"/>
  <c r="H97" i="40" s="1"/>
  <c r="I97" i="40" s="1"/>
  <c r="J97" i="40" s="1"/>
  <c r="K97" i="40" s="1"/>
  <c r="L97" i="40" s="1"/>
  <c r="M97" i="40" s="1"/>
  <c r="B96" i="40"/>
  <c r="D93" i="40"/>
  <c r="E93" i="40" s="1"/>
  <c r="D91" i="40"/>
  <c r="D89" i="40"/>
  <c r="E89" i="40" s="1"/>
  <c r="F89" i="40" s="1"/>
  <c r="G89" i="40" s="1"/>
  <c r="H21" i="40"/>
  <c r="AB21" i="40" s="1"/>
  <c r="D87" i="40"/>
  <c r="E87" i="40"/>
  <c r="D85" i="40"/>
  <c r="E85" i="40" s="1"/>
  <c r="F85" i="40" s="1"/>
  <c r="G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U25" i="37"/>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s="1"/>
  <c r="F79" i="37" s="1"/>
  <c r="G79" i="37" s="1"/>
  <c r="D75" i="37"/>
  <c r="E75" i="37"/>
  <c r="F75" i="37" s="1"/>
  <c r="D73" i="37"/>
  <c r="E73" i="37" s="1"/>
  <c r="F73" i="37" s="1"/>
  <c r="G73" i="37" s="1"/>
  <c r="D71" i="37"/>
  <c r="E71" i="37" s="1"/>
  <c r="F71" i="37" s="1"/>
  <c r="G71" i="37" s="1"/>
  <c r="F15" i="37"/>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H34" i="36" s="1"/>
  <c r="D83" i="36"/>
  <c r="E83" i="36" s="1"/>
  <c r="F83" i="36"/>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F68" i="36" s="1"/>
  <c r="G68" i="36" s="1"/>
  <c r="D64" i="36"/>
  <c r="E64" i="36" s="1"/>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F8"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B73" i="35"/>
  <c r="J23" i="35" s="1"/>
  <c r="AC23" i="35" s="1"/>
  <c r="B57" i="35"/>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Q35" i="35"/>
  <c r="Z35" i="35"/>
  <c r="Q34" i="35"/>
  <c r="Z34" i="35" s="1"/>
  <c r="Q33" i="35"/>
  <c r="Z33" i="35"/>
  <c r="Q32" i="35"/>
  <c r="Z32" i="35" s="1"/>
  <c r="H32" i="35"/>
  <c r="AB32" i="35"/>
  <c r="F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s="1"/>
  <c r="Q38" i="33"/>
  <c r="Z38" i="33"/>
  <c r="J38" i="33"/>
  <c r="AC38" i="33" s="1"/>
  <c r="H38" i="33"/>
  <c r="AB38" i="33"/>
  <c r="F38" i="33"/>
  <c r="S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B76" i="46"/>
  <c r="C20" i="20"/>
  <c r="C18" i="20"/>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F77" i="21" s="1"/>
  <c r="G77" i="21" s="1"/>
  <c r="B130" i="21"/>
  <c r="B128" i="21"/>
  <c r="B126" i="21"/>
  <c r="H44" i="21" s="1"/>
  <c r="U44" i="21" s="1"/>
  <c r="B98" i="21"/>
  <c r="B96" i="21"/>
  <c r="B94" i="21"/>
  <c r="B92" i="21"/>
  <c r="B90" i="21"/>
  <c r="F27" i="21" s="1"/>
  <c r="AA27" i="21" s="1"/>
  <c r="B74" i="21"/>
  <c r="B72" i="2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F19" i="6" s="1"/>
  <c r="E19"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s="1"/>
  <c r="F43" i="21"/>
  <c r="S43" i="21" s="1"/>
  <c r="H38" i="21"/>
  <c r="H43" i="21"/>
  <c r="AB43" i="21" s="1"/>
  <c r="F32" i="21"/>
  <c r="F38" i="21"/>
  <c r="S38" i="21" s="1"/>
  <c r="F36" i="21"/>
  <c r="S36" i="21" s="1"/>
  <c r="F39" i="21"/>
  <c r="AA39" i="21"/>
  <c r="J40" i="21"/>
  <c r="W40" i="21" s="1"/>
  <c r="H35" i="21"/>
  <c r="AB35" i="21" s="1"/>
  <c r="J8" i="21"/>
  <c r="AC8" i="21" s="1"/>
  <c r="J9" i="21"/>
  <c r="AC9" i="21" s="1"/>
  <c r="H8" i="21"/>
  <c r="AB8" i="21" s="1"/>
  <c r="H10" i="21"/>
  <c r="H39" i="21"/>
  <c r="AB39" i="21" s="1"/>
  <c r="J34" i="21"/>
  <c r="W34" i="21" s="1"/>
  <c r="H36" i="21"/>
  <c r="AB36" i="21" s="1"/>
  <c r="U36" i="21"/>
  <c r="F35" i="21"/>
  <c r="AA35" i="21" s="1"/>
  <c r="J33" i="21"/>
  <c r="W33" i="21" s="1"/>
  <c r="H33" i="21"/>
  <c r="F33" i="21"/>
  <c r="J10" i="21"/>
  <c r="AC10" i="21"/>
  <c r="H26" i="21"/>
  <c r="F19" i="21"/>
  <c r="AA19" i="21" s="1"/>
  <c r="H19" i="21"/>
  <c r="AB19" i="21" s="1"/>
  <c r="J26" i="21"/>
  <c r="W26" i="21"/>
  <c r="F26" i="21"/>
  <c r="AA26" i="21" s="1"/>
  <c r="AB41" i="21"/>
  <c r="S10" i="39"/>
  <c r="U30" i="37"/>
  <c r="E103" i="37"/>
  <c r="F103" i="37" s="1"/>
  <c r="G103" i="37" s="1"/>
  <c r="H103" i="37" s="1"/>
  <c r="I103" i="37" s="1"/>
  <c r="J103" i="37" s="1"/>
  <c r="K103" i="37" s="1"/>
  <c r="L103" i="37" s="1"/>
  <c r="M103" i="37" s="1"/>
  <c r="F29" i="36"/>
  <c r="AA29" i="36" s="1"/>
  <c r="F16" i="36"/>
  <c r="AA16" i="36" s="1"/>
  <c r="U22" i="36"/>
  <c r="W23" i="36"/>
  <c r="AC31" i="36"/>
  <c r="J33" i="36"/>
  <c r="AC27" i="35"/>
  <c r="U31" i="35"/>
  <c r="S31" i="35"/>
  <c r="W31" i="35"/>
  <c r="F36" i="34"/>
  <c r="S36" i="34" s="1"/>
  <c r="W9" i="34"/>
  <c r="S34" i="34"/>
  <c r="W39" i="34"/>
  <c r="H39" i="33"/>
  <c r="AB39" i="33" s="1"/>
  <c r="U33" i="33"/>
  <c r="W38" i="33"/>
  <c r="S40" i="33"/>
  <c r="S33" i="33"/>
  <c r="W33" i="33"/>
  <c r="U38" i="33"/>
  <c r="AB27" i="35"/>
  <c r="W10" i="40"/>
  <c r="U11" i="40"/>
  <c r="U36" i="40"/>
  <c r="AC40" i="21"/>
  <c r="AA38" i="21"/>
  <c r="AC35" i="21"/>
  <c r="C29" i="39"/>
  <c r="U36" i="39"/>
  <c r="H32" i="33"/>
  <c r="AB32" i="33" s="1"/>
  <c r="J27" i="36"/>
  <c r="W27" i="36" s="1"/>
  <c r="J34" i="36"/>
  <c r="J30" i="35"/>
  <c r="W30" i="35" s="1"/>
  <c r="F22" i="35"/>
  <c r="AA22" i="35"/>
  <c r="H10" i="35"/>
  <c r="U10" i="35" s="1"/>
  <c r="AC24" i="36"/>
  <c r="U29" i="36"/>
  <c r="U24" i="36"/>
  <c r="J29" i="36"/>
  <c r="AC29" i="36" s="1"/>
  <c r="F24" i="36"/>
  <c r="AA24" i="36" s="1"/>
  <c r="F34" i="36"/>
  <c r="S34" i="36" s="1"/>
  <c r="H16" i="35"/>
  <c r="U16" i="35" s="1"/>
  <c r="H33" i="35"/>
  <c r="AB33" i="35" s="1"/>
  <c r="W8" i="35"/>
  <c r="AC8" i="35"/>
  <c r="F35" i="37"/>
  <c r="E101" i="37"/>
  <c r="F101" i="37" s="1"/>
  <c r="G101" i="37" s="1"/>
  <c r="H101" i="37" s="1"/>
  <c r="I101" i="37" s="1"/>
  <c r="J101" i="37" s="1"/>
  <c r="K101" i="37" s="1"/>
  <c r="L101" i="37" s="1"/>
  <c r="M101" i="37" s="1"/>
  <c r="J34" i="37"/>
  <c r="W34" i="37"/>
  <c r="H43" i="34"/>
  <c r="U42" i="34"/>
  <c r="E114" i="34"/>
  <c r="H36" i="34"/>
  <c r="U36" i="34" s="1"/>
  <c r="F37" i="34"/>
  <c r="AA37" i="34"/>
  <c r="F33" i="34"/>
  <c r="S33" i="34" s="1"/>
  <c r="AA28" i="34"/>
  <c r="F19" i="34"/>
  <c r="AA19" i="34"/>
  <c r="J10" i="34"/>
  <c r="AC10" i="34" s="1"/>
  <c r="U9" i="34"/>
  <c r="J28" i="34"/>
  <c r="W28" i="34" s="1"/>
  <c r="E113" i="33"/>
  <c r="F113" i="33" s="1"/>
  <c r="G113" i="33" s="1"/>
  <c r="H113" i="33" s="1"/>
  <c r="I113" i="33" s="1"/>
  <c r="J113" i="33" s="1"/>
  <c r="K113" i="33" s="1"/>
  <c r="L113" i="33" s="1"/>
  <c r="M113" i="33" s="1"/>
  <c r="F36" i="33"/>
  <c r="S36" i="33" s="1"/>
  <c r="F19" i="33"/>
  <c r="S19" i="33" s="1"/>
  <c r="J19" i="33"/>
  <c r="S10" i="21"/>
  <c r="W40" i="33"/>
  <c r="G125" i="21"/>
  <c r="AB30" i="36"/>
  <c r="S22" i="35"/>
  <c r="H29" i="35"/>
  <c r="S34" i="37"/>
  <c r="AC43" i="34"/>
  <c r="AB42" i="34"/>
  <c r="AB40" i="34"/>
  <c r="W36" i="34"/>
  <c r="J19" i="34"/>
  <c r="AC19" i="34" s="1"/>
  <c r="H37" i="33"/>
  <c r="AB37" i="33"/>
  <c r="S37" i="33"/>
  <c r="W43" i="34"/>
  <c r="W42" i="34"/>
  <c r="AA42" i="34"/>
  <c r="W38" i="34"/>
  <c r="AA38" i="34"/>
  <c r="S38" i="34"/>
  <c r="J37" i="33"/>
  <c r="W37" i="33"/>
  <c r="J42" i="21"/>
  <c r="J44" i="34"/>
  <c r="AC44" i="34" s="1"/>
  <c r="F44" i="34"/>
  <c r="S44" i="34" s="1"/>
  <c r="J10" i="35"/>
  <c r="W10" i="35" s="1"/>
  <c r="AL5" i="3"/>
  <c r="BQ13" i="3"/>
  <c r="J14" i="21"/>
  <c r="F14" i="21"/>
  <c r="AA14" i="21"/>
  <c r="H14" i="21"/>
  <c r="U14" i="21"/>
  <c r="J28" i="21"/>
  <c r="AC28" i="21" s="1"/>
  <c r="H30" i="21"/>
  <c r="U30" i="21" s="1"/>
  <c r="F30" i="21"/>
  <c r="S30" i="21" s="1"/>
  <c r="J30" i="21"/>
  <c r="W30" i="21" s="1"/>
  <c r="J44" i="21"/>
  <c r="AC44" i="21" s="1"/>
  <c r="F44" i="21"/>
  <c r="H46" i="21"/>
  <c r="AB46" i="21" s="1"/>
  <c r="J46" i="21"/>
  <c r="W46" i="21" s="1"/>
  <c r="F46" i="21"/>
  <c r="S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J29" i="21"/>
  <c r="AC29" i="21" s="1"/>
  <c r="H29" i="21"/>
  <c r="U29" i="21" s="1"/>
  <c r="F29" i="21"/>
  <c r="S29" i="21" s="1"/>
  <c r="F31" i="21"/>
  <c r="S31" i="21" s="1"/>
  <c r="J45" i="21"/>
  <c r="F45" i="21"/>
  <c r="AA45" i="21" s="1"/>
  <c r="H45" i="21"/>
  <c r="U45" i="21" s="1"/>
  <c r="J27" i="33"/>
  <c r="AC27" i="33" s="1"/>
  <c r="F27" i="33"/>
  <c r="S27" i="33" s="1"/>
  <c r="J29" i="33"/>
  <c r="W29" i="33" s="1"/>
  <c r="J31" i="33"/>
  <c r="AC31" i="33" s="1"/>
  <c r="H31" i="33"/>
  <c r="U31" i="33" s="1"/>
  <c r="F45" i="33"/>
  <c r="S45" i="33" s="1"/>
  <c r="F11" i="35"/>
  <c r="S11" i="35"/>
  <c r="H28" i="36"/>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c r="F14" i="33"/>
  <c r="AA14" i="33" s="1"/>
  <c r="J14" i="33"/>
  <c r="AC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13" i="37"/>
  <c r="AB13" i="37" s="1"/>
  <c r="F13" i="37"/>
  <c r="J13" i="37"/>
  <c r="AC13" i="37" s="1"/>
  <c r="F28" i="37"/>
  <c r="AA28" i="37" s="1"/>
  <c r="J28" i="37"/>
  <c r="AC28" i="37" s="1"/>
  <c r="H28" i="37"/>
  <c r="H38" i="37"/>
  <c r="AB38" i="37" s="1"/>
  <c r="J38" i="37"/>
  <c r="AC38" i="37" s="1"/>
  <c r="F38" i="37"/>
  <c r="S38" i="37" s="1"/>
  <c r="F14" i="37"/>
  <c r="AA14" i="37" s="1"/>
  <c r="J14" i="37"/>
  <c r="W14" i="37" s="1"/>
  <c r="J27" i="37"/>
  <c r="W27" i="37" s="1"/>
  <c r="AB13" i="35"/>
  <c r="U30" i="33"/>
  <c r="J36" i="37"/>
  <c r="AC36" i="37" s="1"/>
  <c r="G105" i="37"/>
  <c r="AC30" i="21"/>
  <c r="AB14" i="21"/>
  <c r="W14" i="21"/>
  <c r="AC14" i="21"/>
  <c r="S46" i="33"/>
  <c r="U36" i="37"/>
  <c r="AB27" i="33"/>
  <c r="S45" i="21"/>
  <c r="AB44" i="21"/>
  <c r="G521" i="3"/>
  <c r="G517" i="3"/>
  <c r="G513" i="3"/>
  <c r="G508" i="3"/>
  <c r="G499" i="3"/>
  <c r="G493" i="3"/>
  <c r="G485" i="3"/>
  <c r="G561" i="3"/>
  <c r="G557" i="3"/>
  <c r="G549" i="3"/>
  <c r="G545" i="3"/>
  <c r="G539" i="3"/>
  <c r="BL569" i="3"/>
  <c r="BL553" i="3"/>
  <c r="BL545" i="3"/>
  <c r="BL519" i="3"/>
  <c r="BL511" i="3"/>
  <c r="BL483" i="3"/>
  <c r="G16" i="3"/>
  <c r="BL555" i="3"/>
  <c r="BL551" i="3"/>
  <c r="BL541" i="3"/>
  <c r="G518" i="3"/>
  <c r="G514" i="3"/>
  <c r="G510" i="3"/>
  <c r="BL503" i="3"/>
  <c r="BL485" i="3"/>
  <c r="G18" i="3"/>
  <c r="BA569" i="3"/>
  <c r="BA559" i="3"/>
  <c r="BA551" i="3"/>
  <c r="AZ551" i="3" s="1"/>
  <c r="BA545" i="3"/>
  <c r="BA543" i="3"/>
  <c r="BA541" i="3"/>
  <c r="AZ541" i="3" s="1"/>
  <c r="BA19" i="3"/>
  <c r="BA566" i="3"/>
  <c r="BA558" i="3"/>
  <c r="BA556" i="3"/>
  <c r="BA550" i="3"/>
  <c r="BA546" i="3"/>
  <c r="BA544" i="3"/>
  <c r="BA540" i="3"/>
  <c r="BA516" i="3"/>
  <c r="BA512" i="3"/>
  <c r="BA484" i="3"/>
  <c r="BA20" i="3"/>
  <c r="G566" i="3"/>
  <c r="G562" i="3"/>
  <c r="G560" i="3"/>
  <c r="G558" i="3"/>
  <c r="G556" i="3"/>
  <c r="G550" i="3"/>
  <c r="G546" i="3"/>
  <c r="BL543" i="3"/>
  <c r="BA542" i="3"/>
  <c r="AC542" i="3"/>
  <c r="G542" i="3"/>
  <c r="BQ542" i="3"/>
  <c r="BL542" i="3" s="1"/>
  <c r="BQ568" i="3"/>
  <c r="BQ566" i="3"/>
  <c r="BQ564" i="3"/>
  <c r="BL564" i="3" s="1"/>
  <c r="BQ562" i="3"/>
  <c r="BQ560" i="3"/>
  <c r="BL560" i="3"/>
  <c r="BQ558" i="3"/>
  <c r="BQ556" i="3"/>
  <c r="BL556" i="3"/>
  <c r="BQ554" i="3"/>
  <c r="BQ552" i="3"/>
  <c r="BQ550" i="3"/>
  <c r="BL550" i="3" s="1"/>
  <c r="BQ548" i="3"/>
  <c r="BQ546" i="3"/>
  <c r="BL546" i="3" s="1"/>
  <c r="BQ544" i="3"/>
  <c r="BL544" i="3" s="1"/>
  <c r="G544" i="3"/>
  <c r="G538" i="3"/>
  <c r="G534" i="3"/>
  <c r="G522" i="3"/>
  <c r="BQ540" i="3"/>
  <c r="BL540" i="3" s="1"/>
  <c r="AZ540" i="3" s="1"/>
  <c r="BQ538" i="3"/>
  <c r="BL538" i="3"/>
  <c r="BQ536" i="3"/>
  <c r="BQ534" i="3"/>
  <c r="BQ532" i="3"/>
  <c r="BQ530" i="3"/>
  <c r="BQ528" i="3"/>
  <c r="BQ526" i="3"/>
  <c r="BQ524" i="3"/>
  <c r="BQ522" i="3"/>
  <c r="BQ520" i="3"/>
  <c r="BQ518" i="3"/>
  <c r="BQ516" i="3"/>
  <c r="BL516" i="3" s="1"/>
  <c r="BQ514" i="3"/>
  <c r="BL514" i="3" s="1"/>
  <c r="BQ512" i="3"/>
  <c r="BQ510" i="3"/>
  <c r="BL510" i="3"/>
  <c r="BQ508" i="3"/>
  <c r="AC506" i="3"/>
  <c r="G506" i="3"/>
  <c r="BQ506" i="3"/>
  <c r="G502" i="3"/>
  <c r="BQ504" i="3"/>
  <c r="BQ502" i="3"/>
  <c r="BQ500" i="3"/>
  <c r="BQ498" i="3"/>
  <c r="BQ496" i="3"/>
  <c r="AC494" i="3"/>
  <c r="BQ494" i="3"/>
  <c r="G484" i="3"/>
  <c r="G20" i="3"/>
  <c r="BQ492" i="3"/>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H17" i="37"/>
  <c r="U17" i="37"/>
  <c r="F23" i="37"/>
  <c r="S23" i="37" s="1"/>
  <c r="F39" i="33"/>
  <c r="AA39" i="33" s="1"/>
  <c r="F42" i="33"/>
  <c r="AA42" i="33" s="1"/>
  <c r="H28" i="34"/>
  <c r="AB28" i="34" s="1"/>
  <c r="F22" i="36"/>
  <c r="S22" i="36" s="1"/>
  <c r="H35" i="34"/>
  <c r="U35" i="34" s="1"/>
  <c r="F41" i="34"/>
  <c r="S41" i="34" s="1"/>
  <c r="H41" i="34"/>
  <c r="U41" i="34" s="1"/>
  <c r="J41" i="34"/>
  <c r="W41" i="34" s="1"/>
  <c r="F10" i="35"/>
  <c r="AA10" i="35" s="1"/>
  <c r="F24" i="35"/>
  <c r="AA24" i="35"/>
  <c r="H23" i="37"/>
  <c r="J32" i="37"/>
  <c r="AC32" i="37"/>
  <c r="F36" i="37"/>
  <c r="F37" i="37"/>
  <c r="AA37" i="37" s="1"/>
  <c r="AC41" i="34"/>
  <c r="H42" i="33"/>
  <c r="U42" i="33"/>
  <c r="J43" i="33"/>
  <c r="AC43" i="33" s="1"/>
  <c r="J23" i="37"/>
  <c r="W23" i="37" s="1"/>
  <c r="F17" i="37"/>
  <c r="AC12" i="35"/>
  <c r="W23" i="35"/>
  <c r="AC8" i="37"/>
  <c r="S25" i="37"/>
  <c r="AC36" i="34"/>
  <c r="AB8" i="34"/>
  <c r="AC37" i="33"/>
  <c r="AC33" i="21"/>
  <c r="AA36" i="21"/>
  <c r="F43" i="33"/>
  <c r="AA43" i="33"/>
  <c r="AB44" i="33"/>
  <c r="H19" i="34"/>
  <c r="AB19" i="34"/>
  <c r="J10" i="37"/>
  <c r="AC10" i="37" s="1"/>
  <c r="F36" i="35"/>
  <c r="S36" i="35"/>
  <c r="J9" i="37"/>
  <c r="H9" i="37"/>
  <c r="U9" i="37" s="1"/>
  <c r="F9" i="37"/>
  <c r="S9" i="37" s="1"/>
  <c r="F11" i="37"/>
  <c r="S11" i="37" s="1"/>
  <c r="H12" i="37"/>
  <c r="H15" i="37"/>
  <c r="U15" i="37"/>
  <c r="E94" i="37"/>
  <c r="F94" i="37" s="1"/>
  <c r="G94" i="37" s="1"/>
  <c r="H94" i="37" s="1"/>
  <c r="I94" i="37" s="1"/>
  <c r="J94" i="37" s="1"/>
  <c r="K94" i="37" s="1"/>
  <c r="L94" i="37" s="1"/>
  <c r="M94" i="37" s="1"/>
  <c r="F31" i="37"/>
  <c r="S31" i="37"/>
  <c r="H31" i="37"/>
  <c r="U31" i="37" s="1"/>
  <c r="AB31" i="37"/>
  <c r="J15" i="37"/>
  <c r="W15" i="37" s="1"/>
  <c r="J11" i="37"/>
  <c r="W11" i="37" s="1"/>
  <c r="F21" i="40"/>
  <c r="S21" i="40" s="1"/>
  <c r="J21" i="40"/>
  <c r="AC21" i="40"/>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BA298" i="3"/>
  <c r="AZ298" i="3"/>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AZ162"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AZ332" i="3" s="1"/>
  <c r="BL333" i="3"/>
  <c r="G334" i="3"/>
  <c r="BA336" i="3"/>
  <c r="BL337" i="3"/>
  <c r="G338" i="3"/>
  <c r="BA340" i="3"/>
  <c r="BL341" i="3"/>
  <c r="G342" i="3"/>
  <c r="BA344" i="3"/>
  <c r="BL345" i="3"/>
  <c r="G346" i="3"/>
  <c r="BA348" i="3"/>
  <c r="AZ348" i="3" s="1"/>
  <c r="BL349" i="3"/>
  <c r="G350" i="3"/>
  <c r="BA352" i="3"/>
  <c r="BL353" i="3"/>
  <c r="AZ353" i="3" s="1"/>
  <c r="G354" i="3"/>
  <c r="BA356" i="3"/>
  <c r="BL357" i="3"/>
  <c r="G358" i="3"/>
  <c r="BA362" i="3"/>
  <c r="BL363" i="3"/>
  <c r="G364" i="3"/>
  <c r="BA366" i="3"/>
  <c r="BL367" i="3"/>
  <c r="G368" i="3"/>
  <c r="BA370" i="3"/>
  <c r="BL371" i="3"/>
  <c r="G372" i="3"/>
  <c r="BA374" i="3"/>
  <c r="AZ374" i="3" s="1"/>
  <c r="BL375" i="3"/>
  <c r="G376" i="3"/>
  <c r="BA378" i="3"/>
  <c r="AZ378" i="3" s="1"/>
  <c r="BL379" i="3"/>
  <c r="AZ379" i="3" s="1"/>
  <c r="G380" i="3"/>
  <c r="BA382" i="3"/>
  <c r="BL383" i="3"/>
  <c r="G384" i="3"/>
  <c r="AZ315" i="3"/>
  <c r="AZ347" i="3"/>
  <c r="AZ361" i="3"/>
  <c r="F37" i="46"/>
  <c r="AB16" i="35"/>
  <c r="AB15" i="37"/>
  <c r="AA43" i="21"/>
  <c r="U43" i="21"/>
  <c r="AA13" i="40"/>
  <c r="F77" i="40"/>
  <c r="G77" i="40" s="1"/>
  <c r="H77" i="40" s="1"/>
  <c r="I77" i="40" s="1"/>
  <c r="J77" i="40" s="1"/>
  <c r="K77" i="40" s="1"/>
  <c r="L77" i="40" s="1"/>
  <c r="M77" i="40" s="1"/>
  <c r="R16" i="4"/>
  <c r="D3" i="35"/>
  <c r="G4" i="4"/>
  <c r="S37" i="34"/>
  <c r="J16" i="35"/>
  <c r="W16" i="35"/>
  <c r="U42" i="21"/>
  <c r="AC26" i="36"/>
  <c r="W25" i="35"/>
  <c r="AZ300" i="3"/>
  <c r="AZ354" i="3"/>
  <c r="AA36" i="35"/>
  <c r="H11" i="37"/>
  <c r="AB11" i="37"/>
  <c r="W37" i="37"/>
  <c r="AA30" i="33"/>
  <c r="S42" i="33"/>
  <c r="AB17" i="37"/>
  <c r="AC29" i="33"/>
  <c r="AA45" i="33"/>
  <c r="AC11" i="36"/>
  <c r="AB45" i="34"/>
  <c r="AC14" i="37"/>
  <c r="AB35" i="35"/>
  <c r="S25" i="35"/>
  <c r="W44" i="33"/>
  <c r="AC30" i="33"/>
  <c r="W30" i="33"/>
  <c r="AC29" i="37"/>
  <c r="W32" i="36"/>
  <c r="AC32" i="36"/>
  <c r="U28" i="33"/>
  <c r="AB28" i="33"/>
  <c r="J33" i="34"/>
  <c r="AC33" i="34" s="1"/>
  <c r="AB36" i="34"/>
  <c r="J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A33" i="21"/>
  <c r="S33" i="21"/>
  <c r="U39" i="21"/>
  <c r="J32" i="21"/>
  <c r="F17" i="21"/>
  <c r="S17" i="21" s="1"/>
  <c r="H17" i="21"/>
  <c r="AB17" i="2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J15" i="33"/>
  <c r="W15" i="33" s="1"/>
  <c r="H19" i="33"/>
  <c r="AB19" i="33" s="1"/>
  <c r="F32" i="33"/>
  <c r="J32" i="33"/>
  <c r="AC32" i="33" s="1"/>
  <c r="F35" i="33"/>
  <c r="AA35" i="33"/>
  <c r="AB39" i="34"/>
  <c r="F11" i="34"/>
  <c r="S11" i="34"/>
  <c r="E80" i="34"/>
  <c r="F80" i="34" s="1"/>
  <c r="G80" i="34" s="1"/>
  <c r="H17" i="34"/>
  <c r="AB17" i="34" s="1"/>
  <c r="AB28" i="35"/>
  <c r="U28" i="35"/>
  <c r="H13" i="33"/>
  <c r="H29" i="33"/>
  <c r="AB29" i="33" s="1"/>
  <c r="F29" i="33"/>
  <c r="AA29" i="33"/>
  <c r="J12" i="34"/>
  <c r="AC12" i="34" s="1"/>
  <c r="H12" i="34"/>
  <c r="AB12" i="34"/>
  <c r="F12" i="34"/>
  <c r="J14" i="34"/>
  <c r="W14" i="34" s="1"/>
  <c r="F14" i="34"/>
  <c r="S14" i="34" s="1"/>
  <c r="H14" i="34"/>
  <c r="H30" i="34"/>
  <c r="AB30" i="34" s="1"/>
  <c r="F30" i="34"/>
  <c r="S30" i="34"/>
  <c r="J30" i="34"/>
  <c r="W30" i="34" s="1"/>
  <c r="H32" i="34"/>
  <c r="AB32" i="34"/>
  <c r="F32" i="34"/>
  <c r="J32" i="34"/>
  <c r="W32" i="34" s="1"/>
  <c r="H46" i="34"/>
  <c r="AB46" i="34" s="1"/>
  <c r="F46" i="34"/>
  <c r="AA46" i="34" s="1"/>
  <c r="J46" i="34"/>
  <c r="AC46" i="34" s="1"/>
  <c r="H11" i="35"/>
  <c r="J11" i="35"/>
  <c r="F96" i="37"/>
  <c r="H32" i="37"/>
  <c r="AB32" i="37"/>
  <c r="F19" i="39"/>
  <c r="H19" i="39"/>
  <c r="U19" i="39" s="1"/>
  <c r="J19" i="39"/>
  <c r="W19" i="39" s="1"/>
  <c r="F43" i="39"/>
  <c r="AA43" i="39" s="1"/>
  <c r="H43" i="39"/>
  <c r="J43" i="39"/>
  <c r="W43" i="39" s="1"/>
  <c r="AC27" i="37"/>
  <c r="U25" i="35"/>
  <c r="S45" i="34"/>
  <c r="U31" i="34"/>
  <c r="AC40" i="37"/>
  <c r="W40" i="37"/>
  <c r="W27" i="33"/>
  <c r="S28" i="33"/>
  <c r="S14" i="21"/>
  <c r="AA44" i="34"/>
  <c r="AB29" i="35"/>
  <c r="U29" i="35"/>
  <c r="AC19" i="33"/>
  <c r="W19" i="33"/>
  <c r="U43" i="34"/>
  <c r="AB43" i="34"/>
  <c r="AC34" i="37"/>
  <c r="S35" i="37"/>
  <c r="AA35" i="37"/>
  <c r="AA32" i="21"/>
  <c r="S32" i="21"/>
  <c r="AB34" i="21"/>
  <c r="BL571" i="3"/>
  <c r="BA571" i="3"/>
  <c r="BL570" i="3"/>
  <c r="F42" i="21"/>
  <c r="AA42" i="21" s="1"/>
  <c r="AB40" i="33"/>
  <c r="U40" i="33"/>
  <c r="AA35" i="34"/>
  <c r="S35" i="34"/>
  <c r="E90" i="34"/>
  <c r="AB8" i="35"/>
  <c r="U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F46" i="39"/>
  <c r="S46" i="39" s="1"/>
  <c r="H46" i="39"/>
  <c r="J46" i="39"/>
  <c r="W46" i="39" s="1"/>
  <c r="E102" i="39"/>
  <c r="F102" i="39" s="1"/>
  <c r="G102" i="39" s="1"/>
  <c r="F34" i="39"/>
  <c r="AA34" i="39" s="1"/>
  <c r="J34" i="39"/>
  <c r="AC34" i="39" s="1"/>
  <c r="F39" i="39"/>
  <c r="H39" i="39"/>
  <c r="AB39" i="39" s="1"/>
  <c r="J39" i="39"/>
  <c r="W39" i="39" s="1"/>
  <c r="J29" i="35"/>
  <c r="AC29" i="35" s="1"/>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AZ548" i="3" s="1"/>
  <c r="BA548" i="3"/>
  <c r="BL547" i="3"/>
  <c r="BA547" i="3"/>
  <c r="BL539" i="3"/>
  <c r="BA539" i="3"/>
  <c r="BA538" i="3"/>
  <c r="AZ538" i="3"/>
  <c r="BL537" i="3"/>
  <c r="BA537" i="3"/>
  <c r="BL536" i="3"/>
  <c r="BA535" i="3"/>
  <c r="BA529" i="3"/>
  <c r="BA526" i="3"/>
  <c r="BA519" i="3"/>
  <c r="AZ519" i="3"/>
  <c r="BL518" i="3"/>
  <c r="BA518" i="3"/>
  <c r="BL517" i="3"/>
  <c r="BA517" i="3"/>
  <c r="AZ517" i="3" s="1"/>
  <c r="BL515" i="3"/>
  <c r="BA515" i="3"/>
  <c r="BA514" i="3"/>
  <c r="BL513" i="3"/>
  <c r="BA513" i="3"/>
  <c r="BL512" i="3"/>
  <c r="BA511" i="3"/>
  <c r="AZ511" i="3" s="1"/>
  <c r="BA510" i="3"/>
  <c r="AZ510" i="3" s="1"/>
  <c r="BL509" i="3"/>
  <c r="BA507" i="3"/>
  <c r="BL505" i="3"/>
  <c r="BA503" i="3"/>
  <c r="AZ503" i="3" s="1"/>
  <c r="BA500" i="3"/>
  <c r="BA496" i="3"/>
  <c r="G494" i="3"/>
  <c r="BA490" i="3"/>
  <c r="BL487" i="3"/>
  <c r="BL486" i="3"/>
  <c r="AZ486" i="3" s="1"/>
  <c r="BA486" i="3"/>
  <c r="BA485" i="3"/>
  <c r="AZ485" i="3" s="1"/>
  <c r="BA483" i="3"/>
  <c r="AZ483" i="3" s="1"/>
  <c r="BA482" i="3"/>
  <c r="AZ482" i="3" s="1"/>
  <c r="BL481" i="3"/>
  <c r="BA481" i="3"/>
  <c r="AZ481" i="3" s="1"/>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S35"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E78" i="34"/>
  <c r="F78" i="34" s="1"/>
  <c r="G78" i="34" s="1"/>
  <c r="F15" i="34"/>
  <c r="AC28" i="35"/>
  <c r="W28" i="35"/>
  <c r="J20" i="35"/>
  <c r="E72" i="35"/>
  <c r="F72" i="35" s="1"/>
  <c r="G72" i="35" s="1"/>
  <c r="H22" i="35"/>
  <c r="AB22" i="35"/>
  <c r="H23" i="35"/>
  <c r="F23" i="35"/>
  <c r="AA23" i="35"/>
  <c r="AB36" i="35"/>
  <c r="U36" i="35"/>
  <c r="W12" i="36"/>
  <c r="AC12" i="36"/>
  <c r="U31" i="36"/>
  <c r="S8" i="37"/>
  <c r="AA8" i="37"/>
  <c r="F14" i="39"/>
  <c r="S14" i="39" s="1"/>
  <c r="H14" i="39"/>
  <c r="AB14" i="39" s="1"/>
  <c r="J14" i="39"/>
  <c r="AC14" i="39" s="1"/>
  <c r="F16" i="39"/>
  <c r="AA16" i="39" s="1"/>
  <c r="H16" i="39"/>
  <c r="J16" i="39"/>
  <c r="AC16" i="39" s="1"/>
  <c r="F27" i="39"/>
  <c r="AA27" i="39" s="1"/>
  <c r="H27" i="39"/>
  <c r="AB27" i="39" s="1"/>
  <c r="J27" i="39"/>
  <c r="AC27" i="39" s="1"/>
  <c r="F15" i="40"/>
  <c r="AA15" i="40" s="1"/>
  <c r="J15" i="40"/>
  <c r="H15" i="40"/>
  <c r="AB15" i="40" s="1"/>
  <c r="E91" i="40"/>
  <c r="F91" i="40"/>
  <c r="H23" i="40"/>
  <c r="U23" i="40" s="1"/>
  <c r="H41" i="40"/>
  <c r="AB41" i="40"/>
  <c r="F41" i="40"/>
  <c r="AA41" i="40" s="1"/>
  <c r="J41" i="40"/>
  <c r="AC41" i="40" s="1"/>
  <c r="H36" i="33"/>
  <c r="H37" i="34"/>
  <c r="U37" i="34" s="1"/>
  <c r="F15" i="39"/>
  <c r="AA15" i="39" s="1"/>
  <c r="H15" i="39"/>
  <c r="U15" i="39" s="1"/>
  <c r="J15" i="39"/>
  <c r="AC15" i="39" s="1"/>
  <c r="H25" i="39"/>
  <c r="U25" i="39" s="1"/>
  <c r="J25" i="39"/>
  <c r="AC25" i="39" s="1"/>
  <c r="F45" i="39"/>
  <c r="AA45" i="39" s="1"/>
  <c r="H45" i="39"/>
  <c r="U45" i="39" s="1"/>
  <c r="J45" i="39"/>
  <c r="F47" i="39"/>
  <c r="AA47" i="39" s="1"/>
  <c r="H47" i="39"/>
  <c r="AB47" i="39" s="1"/>
  <c r="J47" i="39"/>
  <c r="W47" i="39" s="1"/>
  <c r="J25" i="40"/>
  <c r="AC25" i="40" s="1"/>
  <c r="J32" i="40"/>
  <c r="H32" i="40"/>
  <c r="U32" i="40" s="1"/>
  <c r="J33" i="40"/>
  <c r="H35" i="40"/>
  <c r="AB35" i="40" s="1"/>
  <c r="F35" i="40"/>
  <c r="AA35" i="40" s="1"/>
  <c r="J35" i="40"/>
  <c r="AC35" i="40" s="1"/>
  <c r="J38" i="39"/>
  <c r="H38" i="39"/>
  <c r="U38" i="39" s="1"/>
  <c r="J16" i="40"/>
  <c r="W16" i="40" s="1"/>
  <c r="H42" i="40"/>
  <c r="H40" i="40"/>
  <c r="U40" i="40" s="1"/>
  <c r="H34" i="40"/>
  <c r="U34" i="40"/>
  <c r="B41" i="1"/>
  <c r="M20" i="44" s="1"/>
  <c r="J40" i="40"/>
  <c r="W40" i="40" s="1"/>
  <c r="AC40" i="40"/>
  <c r="J34" i="40"/>
  <c r="AC34" i="40" s="1"/>
  <c r="H16" i="40"/>
  <c r="AB16" i="40" s="1"/>
  <c r="F32" i="40"/>
  <c r="F61" i="46"/>
  <c r="H61" i="46" s="1"/>
  <c r="AZ244" i="3"/>
  <c r="F72" i="46"/>
  <c r="H74" i="46" s="1"/>
  <c r="J13" i="40"/>
  <c r="W13" i="40" s="1"/>
  <c r="S47" i="39"/>
  <c r="AB37" i="34"/>
  <c r="W41" i="40"/>
  <c r="U41" i="40"/>
  <c r="J23" i="40"/>
  <c r="AC23" i="40" s="1"/>
  <c r="G91" i="40"/>
  <c r="F23" i="40"/>
  <c r="S23" i="40" s="1"/>
  <c r="U23" i="35"/>
  <c r="AB23" i="35"/>
  <c r="H20" i="35"/>
  <c r="AB20" i="35" s="1"/>
  <c r="F20" i="35"/>
  <c r="S20" i="35" s="1"/>
  <c r="H15" i="34"/>
  <c r="AB15" i="34"/>
  <c r="J15" i="34"/>
  <c r="AC15" i="34" s="1"/>
  <c r="H41" i="33"/>
  <c r="F30" i="40"/>
  <c r="AA30" i="40" s="1"/>
  <c r="AB38" i="34"/>
  <c r="AZ515" i="3"/>
  <c r="AZ547" i="3"/>
  <c r="AZ549" i="3"/>
  <c r="AB37" i="39"/>
  <c r="AA29" i="35"/>
  <c r="U39" i="39"/>
  <c r="AA11" i="36"/>
  <c r="AA14" i="35"/>
  <c r="S14" i="35"/>
  <c r="F33" i="37"/>
  <c r="U46" i="34"/>
  <c r="AC30" i="34"/>
  <c r="AA14" i="34"/>
  <c r="W12" i="34"/>
  <c r="U29" i="33"/>
  <c r="U17" i="34"/>
  <c r="AA11" i="34"/>
  <c r="W32" i="33"/>
  <c r="H15" i="33"/>
  <c r="U15" i="33" s="1"/>
  <c r="U17" i="21"/>
  <c r="W34" i="40"/>
  <c r="AB34" i="40"/>
  <c r="H25" i="40"/>
  <c r="F93" i="40"/>
  <c r="G93" i="40" s="1"/>
  <c r="U47" i="39"/>
  <c r="J37" i="34"/>
  <c r="AC37" i="34" s="1"/>
  <c r="J36" i="33"/>
  <c r="W36" i="33" s="1"/>
  <c r="S41" i="40"/>
  <c r="AB23" i="40"/>
  <c r="S16" i="39"/>
  <c r="S15" i="34"/>
  <c r="AA15" i="34"/>
  <c r="AA41" i="33"/>
  <c r="AA34" i="33"/>
  <c r="J34" i="33"/>
  <c r="U30" i="40"/>
  <c r="AA37" i="39"/>
  <c r="W29" i="35"/>
  <c r="AA39" i="39"/>
  <c r="S39" i="39"/>
  <c r="AA33" i="39"/>
  <c r="S33" i="39"/>
  <c r="U11" i="36"/>
  <c r="W14" i="35"/>
  <c r="F90" i="34"/>
  <c r="G90" i="34" s="1"/>
  <c r="H90" i="34" s="1"/>
  <c r="I90" i="34" s="1"/>
  <c r="J90" i="34" s="1"/>
  <c r="K90" i="34" s="1"/>
  <c r="L90" i="34" s="1"/>
  <c r="M90" i="34" s="1"/>
  <c r="G96" i="37"/>
  <c r="H96" i="37" s="1"/>
  <c r="I96" i="37" s="1"/>
  <c r="J96" i="37" s="1"/>
  <c r="K96" i="37" s="1"/>
  <c r="L96" i="37" s="1"/>
  <c r="M96" i="37" s="1"/>
  <c r="F32" i="37"/>
  <c r="U11" i="35"/>
  <c r="AB11" i="35"/>
  <c r="S46" i="34"/>
  <c r="U32" i="34"/>
  <c r="AC14" i="34"/>
  <c r="U12" i="34"/>
  <c r="F17" i="34"/>
  <c r="AA17" i="34" s="1"/>
  <c r="J17" i="34"/>
  <c r="H11" i="34"/>
  <c r="AB11" i="34" s="1"/>
  <c r="J35" i="33"/>
  <c r="W35" i="33" s="1"/>
  <c r="AC15" i="33"/>
  <c r="H11" i="33"/>
  <c r="U11" i="33" s="1"/>
  <c r="H10" i="33"/>
  <c r="U10" i="33" s="1"/>
  <c r="J10" i="33"/>
  <c r="W10" i="33" s="1"/>
  <c r="U40" i="21"/>
  <c r="U11" i="37"/>
  <c r="AC16" i="35"/>
  <c r="AC13" i="40"/>
  <c r="J11" i="34"/>
  <c r="W11" i="34" s="1"/>
  <c r="AC36" i="33"/>
  <c r="F25" i="40"/>
  <c r="AA25" i="40" s="1"/>
  <c r="J11" i="33"/>
  <c r="W11" i="33" s="1"/>
  <c r="H33" i="37"/>
  <c r="AB33" i="37" s="1"/>
  <c r="W15" i="34"/>
  <c r="U20" i="35"/>
  <c r="W23" i="40"/>
  <c r="B11" i="1"/>
  <c r="E11" i="1" s="1"/>
  <c r="K11" i="1"/>
  <c r="M11" i="1" s="1"/>
  <c r="B9" i="1"/>
  <c r="E9" i="1" s="1"/>
  <c r="K9" i="1"/>
  <c r="M9" i="1" s="1"/>
  <c r="AP6" i="1"/>
  <c r="AC25" i="36"/>
  <c r="AA26" i="36"/>
  <c r="AA28" i="36"/>
  <c r="H20" i="36"/>
  <c r="U20" i="36" s="1"/>
  <c r="J20" i="36"/>
  <c r="AC20" i="36" s="1"/>
  <c r="F20" i="36"/>
  <c r="S20" i="36" s="1"/>
  <c r="F62" i="36"/>
  <c r="G62" i="36" s="1"/>
  <c r="J14" i="36"/>
  <c r="H14" i="36"/>
  <c r="F14" i="36"/>
  <c r="AA14" i="36" s="1"/>
  <c r="U27" i="36"/>
  <c r="U9" i="36"/>
  <c r="AA27" i="36"/>
  <c r="S16" i="36"/>
  <c r="S29" i="36"/>
  <c r="AC33" i="35"/>
  <c r="U22" i="35"/>
  <c r="AA13" i="35"/>
  <c r="S8" i="35"/>
  <c r="U33" i="35"/>
  <c r="AA20" i="35"/>
  <c r="S23" i="35"/>
  <c r="S16" i="35"/>
  <c r="AB14" i="35"/>
  <c r="U9" i="35"/>
  <c r="W13" i="35"/>
  <c r="AC18" i="35"/>
  <c r="W18" i="35"/>
  <c r="U18" i="35"/>
  <c r="AB18" i="35"/>
  <c r="S30" i="35"/>
  <c r="AA35" i="35"/>
  <c r="AB30" i="35"/>
  <c r="S27" i="35"/>
  <c r="S28" i="35"/>
  <c r="J26" i="35"/>
  <c r="W26" i="35" s="1"/>
  <c r="AB9" i="37"/>
  <c r="AA9" i="37"/>
  <c r="W28" i="37"/>
  <c r="AB37" i="37"/>
  <c r="AA31" i="37"/>
  <c r="S33" i="37"/>
  <c r="AA33" i="37"/>
  <c r="U32" i="37"/>
  <c r="J33" i="37"/>
  <c r="W33" i="37" s="1"/>
  <c r="S29" i="37"/>
  <c r="J19" i="37"/>
  <c r="AC19" i="37" s="1"/>
  <c r="G75" i="37"/>
  <c r="F19" i="37"/>
  <c r="AA19" i="37" s="1"/>
  <c r="H19" i="37"/>
  <c r="J17" i="37"/>
  <c r="AC21" i="37"/>
  <c r="W21" i="37"/>
  <c r="AC11" i="37"/>
  <c r="W32" i="37"/>
  <c r="U35" i="37"/>
  <c r="AB25" i="37"/>
  <c r="AB21" i="37"/>
  <c r="U21" i="37"/>
  <c r="S37" i="37"/>
  <c r="S40" i="37"/>
  <c r="AA11" i="37"/>
  <c r="W46" i="34"/>
  <c r="AC45" i="34"/>
  <c r="W33" i="34"/>
  <c r="U30" i="34"/>
  <c r="AB33" i="34"/>
  <c r="AC35" i="34"/>
  <c r="AA30" i="34"/>
  <c r="AC32" i="34"/>
  <c r="AA33" i="34"/>
  <c r="U44" i="34"/>
  <c r="U34" i="34"/>
  <c r="U28" i="34"/>
  <c r="J25" i="34"/>
  <c r="W25" i="34" s="1"/>
  <c r="H25" i="34"/>
  <c r="F25" i="34"/>
  <c r="J23" i="34"/>
  <c r="F86" i="34"/>
  <c r="G86" i="34" s="1"/>
  <c r="F23" i="34"/>
  <c r="H23" i="34"/>
  <c r="AC11" i="34"/>
  <c r="U11" i="34"/>
  <c r="W44" i="34"/>
  <c r="W19" i="34"/>
  <c r="W29" i="34"/>
  <c r="AC21" i="34"/>
  <c r="W21" i="34"/>
  <c r="U15" i="34"/>
  <c r="AB21" i="34"/>
  <c r="U21" i="34"/>
  <c r="U19" i="34"/>
  <c r="AB41" i="34"/>
  <c r="S13" i="34"/>
  <c r="AA41" i="34"/>
  <c r="S9" i="34"/>
  <c r="U39" i="33"/>
  <c r="U37" i="33"/>
  <c r="S35" i="33"/>
  <c r="AC35" i="33"/>
  <c r="S29" i="33"/>
  <c r="W31" i="33"/>
  <c r="W43" i="33"/>
  <c r="U46" i="33"/>
  <c r="W39" i="33"/>
  <c r="U35" i="33"/>
  <c r="AB34" i="33"/>
  <c r="H25" i="33"/>
  <c r="AB25" i="33"/>
  <c r="J25" i="33"/>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W17" i="33" s="1"/>
  <c r="AB15" i="33"/>
  <c r="AC11" i="33"/>
  <c r="S14" i="33"/>
  <c r="AC21" i="33"/>
  <c r="W21" i="33"/>
  <c r="W14" i="33"/>
  <c r="U25" i="33"/>
  <c r="AB21" i="33"/>
  <c r="U21" i="33"/>
  <c r="AA21" i="33"/>
  <c r="S21" i="33"/>
  <c r="AA44" i="33"/>
  <c r="AA36" i="33"/>
  <c r="W39" i="21"/>
  <c r="AC34" i="21"/>
  <c r="U35" i="21"/>
  <c r="W43" i="21"/>
  <c r="S42" i="21"/>
  <c r="AB32" i="21"/>
  <c r="W28" i="21"/>
  <c r="AC46" i="21"/>
  <c r="AC26" i="21"/>
  <c r="F85" i="21"/>
  <c r="G85" i="21" s="1"/>
  <c r="J23" i="21"/>
  <c r="F23" i="21"/>
  <c r="H23" i="21"/>
  <c r="AA17" i="21"/>
  <c r="W17" i="21"/>
  <c r="F15" i="21"/>
  <c r="S15" i="21" s="1"/>
  <c r="W13" i="21"/>
  <c r="AC21" i="21"/>
  <c r="W21" i="21"/>
  <c r="W44" i="21"/>
  <c r="W10" i="21"/>
  <c r="AC38" i="21"/>
  <c r="AB21" i="21"/>
  <c r="U21" i="21"/>
  <c r="AB29" i="21"/>
  <c r="AA30" i="21"/>
  <c r="AA31" i="21"/>
  <c r="S35" i="40"/>
  <c r="U15" i="40"/>
  <c r="S15" i="40"/>
  <c r="AB13" i="40"/>
  <c r="S16" i="40"/>
  <c r="W11" i="40"/>
  <c r="AA21" i="40"/>
  <c r="U21" i="40"/>
  <c r="W25" i="40"/>
  <c r="U35" i="40"/>
  <c r="F37" i="40"/>
  <c r="J37" i="40"/>
  <c r="AC37" i="40" s="1"/>
  <c r="H37" i="40"/>
  <c r="AB37" i="40" s="1"/>
  <c r="G112" i="40"/>
  <c r="H112" i="40" s="1"/>
  <c r="I112" i="40" s="1"/>
  <c r="J112" i="40" s="1"/>
  <c r="K112" i="40" s="1"/>
  <c r="L112" i="40" s="1"/>
  <c r="M112" i="40" s="1"/>
  <c r="F39" i="40"/>
  <c r="S38" i="40"/>
  <c r="H39" i="40"/>
  <c r="U39" i="40" s="1"/>
  <c r="J39" i="40"/>
  <c r="W38" i="40"/>
  <c r="F29" i="40"/>
  <c r="H29" i="40"/>
  <c r="U29" i="40" s="1"/>
  <c r="J29" i="40"/>
  <c r="S30" i="40"/>
  <c r="AA23" i="40"/>
  <c r="F87" i="40"/>
  <c r="G87" i="40" s="1"/>
  <c r="F19" i="40"/>
  <c r="AA19" i="40" s="1"/>
  <c r="H19" i="40"/>
  <c r="U19" i="40" s="1"/>
  <c r="J19" i="40"/>
  <c r="W17" i="40"/>
  <c r="AC17" i="40"/>
  <c r="F17" i="40"/>
  <c r="AA17" i="40" s="1"/>
  <c r="H17" i="40"/>
  <c r="U17" i="40" s="1"/>
  <c r="W21" i="40"/>
  <c r="AB40" i="40"/>
  <c r="U10" i="40"/>
  <c r="U27" i="40"/>
  <c r="AB27" i="40"/>
  <c r="S11" i="39"/>
  <c r="AB45" i="39"/>
  <c r="AA21" i="39"/>
  <c r="AC21" i="39"/>
  <c r="AB38" i="39"/>
  <c r="U31" i="39"/>
  <c r="AB31" i="39"/>
  <c r="S38" i="39"/>
  <c r="A18" i="64"/>
  <c r="B74" i="63" s="1"/>
  <c r="C53" i="10"/>
  <c r="A25" i="64" s="1"/>
  <c r="A18" i="51"/>
  <c r="B14" i="63" s="1"/>
  <c r="BA16" i="3"/>
  <c r="BA17" i="3"/>
  <c r="AZ17" i="3" s="1"/>
  <c r="K1" i="12"/>
  <c r="AZ15" i="3"/>
  <c r="BL18" i="3"/>
  <c r="BL16" i="3"/>
  <c r="AZ16" i="3" s="1"/>
  <c r="G28" i="12"/>
  <c r="D24" i="44"/>
  <c r="D26" i="44"/>
  <c r="F50" i="46"/>
  <c r="H52" i="46" s="1"/>
  <c r="C6" i="46"/>
  <c r="I5" i="48"/>
  <c r="K21" i="46"/>
  <c r="F42" i="46"/>
  <c r="D74" i="46"/>
  <c r="D87" i="46"/>
  <c r="D72" i="46"/>
  <c r="A4" i="64"/>
  <c r="A4" i="51"/>
  <c r="B6" i="63" s="1"/>
  <c r="C51" i="10"/>
  <c r="A9" i="64" s="1"/>
  <c r="H83" i="46"/>
  <c r="H87" i="46"/>
  <c r="U12" i="35"/>
  <c r="AB12" i="35"/>
  <c r="AA11" i="35"/>
  <c r="S14" i="37"/>
  <c r="U13" i="37"/>
  <c r="S13" i="21"/>
  <c r="C24" i="9"/>
  <c r="C25" i="9"/>
  <c r="L5" i="54"/>
  <c r="B39" i="63" s="1"/>
  <c r="K5" i="54"/>
  <c r="B38" i="63" s="1"/>
  <c r="T41" i="4"/>
  <c r="A17" i="64"/>
  <c r="B46" i="50"/>
  <c r="B4" i="63" s="1"/>
  <c r="H89" i="46"/>
  <c r="H85" i="46"/>
  <c r="H90" i="46"/>
  <c r="H88" i="46"/>
  <c r="H86" i="46"/>
  <c r="K10" i="1"/>
  <c r="M10" i="1" s="1"/>
  <c r="B6" i="1"/>
  <c r="E6" i="1" s="1"/>
  <c r="B10" i="1"/>
  <c r="E10" i="1" s="1"/>
  <c r="B8" i="1"/>
  <c r="E8" i="1" s="1"/>
  <c r="B12" i="1"/>
  <c r="E12" i="1" s="1"/>
  <c r="G1" i="15"/>
  <c r="F66" i="36"/>
  <c r="G66" i="36" s="1"/>
  <c r="H18" i="36"/>
  <c r="U18" i="36" s="1"/>
  <c r="U16" i="36"/>
  <c r="AA34" i="36"/>
  <c r="U23" i="36"/>
  <c r="AC27" i="36"/>
  <c r="W28" i="36"/>
  <c r="U13" i="36"/>
  <c r="AA22" i="36"/>
  <c r="AA13" i="36"/>
  <c r="W29" i="36"/>
  <c r="W9" i="36"/>
  <c r="W8" i="36"/>
  <c r="AC30" i="35"/>
  <c r="W32" i="35"/>
  <c r="S24" i="35"/>
  <c r="AA33" i="35"/>
  <c r="U32" i="35"/>
  <c r="W22" i="35"/>
  <c r="W35" i="37"/>
  <c r="AC33" i="37"/>
  <c r="U33" i="37"/>
  <c r="AC15" i="37"/>
  <c r="W38" i="37"/>
  <c r="W36" i="37"/>
  <c r="S28" i="37"/>
  <c r="W13" i="37"/>
  <c r="U38" i="37"/>
  <c r="AA31" i="34"/>
  <c r="AB35" i="34"/>
  <c r="W47" i="34"/>
  <c r="AB29" i="34"/>
  <c r="AB47" i="34"/>
  <c r="AB13" i="34"/>
  <c r="AC13" i="34"/>
  <c r="S47" i="34"/>
  <c r="AA29" i="34"/>
  <c r="S19" i="34"/>
  <c r="S8" i="34"/>
  <c r="AA19" i="33"/>
  <c r="S43" i="33"/>
  <c r="AB42" i="33"/>
  <c r="AB14" i="33"/>
  <c r="S15" i="33"/>
  <c r="S39" i="21"/>
  <c r="AB45" i="21"/>
  <c r="W25" i="21"/>
  <c r="AA25" i="21"/>
  <c r="AA29" i="21"/>
  <c r="U27" i="21"/>
  <c r="S27" i="21"/>
  <c r="AC27" i="21"/>
  <c r="W29" i="21"/>
  <c r="G95" i="40"/>
  <c r="J27" i="40"/>
  <c r="W27" i="40" s="1"/>
  <c r="W37" i="40"/>
  <c r="W30" i="40"/>
  <c r="S34" i="40"/>
  <c r="S40" i="40"/>
  <c r="G104" i="39"/>
  <c r="J31" i="39"/>
  <c r="W31" i="39" s="1"/>
  <c r="S45" i="39"/>
  <c r="AB33" i="39"/>
  <c r="AC46" i="39"/>
  <c r="W36" i="39"/>
  <c r="AC37" i="39"/>
  <c r="W16" i="39"/>
  <c r="AA46" i="39"/>
  <c r="C27" i="39"/>
  <c r="C17" i="40"/>
  <c r="C19" i="40"/>
  <c r="C17" i="39"/>
  <c r="C19"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U23" i="34"/>
  <c r="AB23" i="34"/>
  <c r="AA23" i="34"/>
  <c r="S23" i="34"/>
  <c r="AC23" i="34"/>
  <c r="W23" i="34"/>
  <c r="AA25" i="33"/>
  <c r="S25" i="33"/>
  <c r="U23" i="33"/>
  <c r="W23" i="33"/>
  <c r="AC23" i="33"/>
  <c r="S23" i="33"/>
  <c r="AA23" i="33"/>
  <c r="AC17" i="33"/>
  <c r="AA17" i="33"/>
  <c r="U17" i="33"/>
  <c r="AB17" i="33"/>
  <c r="U23" i="21"/>
  <c r="AB23" i="21"/>
  <c r="AA23" i="21"/>
  <c r="S23" i="21"/>
  <c r="AB39" i="40"/>
  <c r="AC39" i="40"/>
  <c r="W39" i="40"/>
  <c r="AA39" i="40"/>
  <c r="S39" i="40"/>
  <c r="AA37" i="40"/>
  <c r="S37" i="40"/>
  <c r="AB29" i="40"/>
  <c r="AC29" i="40"/>
  <c r="W29" i="40"/>
  <c r="AA29" i="40"/>
  <c r="S29" i="40"/>
  <c r="W19" i="40"/>
  <c r="AC19" i="40"/>
  <c r="S19" i="40"/>
  <c r="AB19" i="40"/>
  <c r="A17" i="51"/>
  <c r="B13" i="63" s="1"/>
  <c r="AT6" i="3"/>
  <c r="E4" i="4"/>
  <c r="B21" i="55" s="1"/>
  <c r="B72" i="63" s="1"/>
  <c r="C4" i="4"/>
  <c r="B20" i="55" s="1"/>
  <c r="B70" i="63" s="1"/>
  <c r="J18" i="36"/>
  <c r="W18" i="36" s="1"/>
  <c r="AC18" i="36"/>
  <c r="L20" i="6"/>
  <c r="C45" i="9"/>
  <c r="B7" i="66" s="1"/>
  <c r="N76" i="9"/>
  <c r="C46" i="9"/>
  <c r="K33" i="9" s="1"/>
  <c r="B8" i="66"/>
  <c r="J21" i="46"/>
  <c r="F38" i="46"/>
  <c r="F41" i="46"/>
  <c r="F40" i="46"/>
  <c r="H117" i="46"/>
  <c r="D24" i="59"/>
  <c r="C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M6" i="15"/>
  <c r="B12" i="67"/>
  <c r="F9" i="15"/>
  <c r="F11" i="67"/>
  <c r="F42" i="15"/>
  <c r="L48" i="44"/>
  <c r="N6" i="65"/>
  <c r="N3" i="65"/>
  <c r="F9" i="67"/>
  <c r="B8" i="67"/>
  <c r="J36" i="15"/>
  <c r="L49" i="44"/>
  <c r="M26" i="44"/>
  <c r="F11" i="44"/>
  <c r="C20" i="9"/>
  <c r="E12" i="67"/>
  <c r="E14" i="67"/>
  <c r="L48" i="15"/>
  <c r="M8" i="44"/>
  <c r="F26" i="15"/>
  <c r="F10" i="67"/>
  <c r="E9" i="67"/>
  <c r="E8" i="67"/>
  <c r="M23" i="15"/>
  <c r="F8" i="44"/>
  <c r="M28" i="44"/>
  <c r="F36" i="15"/>
  <c r="B11" i="67"/>
  <c r="C19" i="9"/>
  <c r="F14" i="67"/>
  <c r="N4" i="65"/>
  <c r="F10" i="44"/>
  <c r="J15" i="15"/>
  <c r="E13" i="67"/>
  <c r="F12" i="67"/>
  <c r="M22" i="15"/>
  <c r="F13" i="67"/>
  <c r="M10" i="44"/>
  <c r="B10" i="67"/>
  <c r="F37" i="15"/>
  <c r="F8" i="67"/>
  <c r="F13" i="15"/>
  <c r="F18" i="44"/>
  <c r="M24" i="15"/>
  <c r="M8" i="15"/>
  <c r="F6" i="15"/>
  <c r="F15" i="44"/>
  <c r="B9" i="67"/>
  <c r="F40" i="15"/>
  <c r="B14" i="67"/>
  <c r="F40" i="44"/>
  <c r="M26" i="15"/>
  <c r="M11" i="44"/>
  <c r="E10" i="67"/>
  <c r="F16" i="15"/>
  <c r="C21" i="9"/>
  <c r="B13" i="67"/>
  <c r="L47" i="15"/>
  <c r="M9" i="15"/>
  <c r="J17" i="44"/>
  <c r="M25" i="44"/>
  <c r="F8" i="15"/>
  <c r="E11" i="67"/>
  <c r="N5" i="65"/>
  <c r="F38" i="15"/>
  <c r="F38" i="44"/>
  <c r="M30" i="44"/>
  <c r="M28" i="15"/>
  <c r="N7" i="65"/>
  <c r="J19" i="21" l="1"/>
  <c r="U19" i="21"/>
  <c r="S19" i="21"/>
  <c r="H15" i="21"/>
  <c r="U15" i="21" s="1"/>
  <c r="J15" i="21"/>
  <c r="W15" i="21" s="1"/>
  <c r="AC15" i="21"/>
  <c r="AB15" i="21"/>
  <c r="AA15" i="21"/>
  <c r="C18" i="9"/>
  <c r="D18" i="9"/>
  <c r="M44" i="9" s="1"/>
  <c r="M43" i="9"/>
  <c r="H11" i="21"/>
  <c r="U11" i="21" s="1"/>
  <c r="J11" i="21"/>
  <c r="W11" i="21" s="1"/>
  <c r="F11" i="21"/>
  <c r="S11" i="21" s="1"/>
  <c r="BD5" i="3"/>
  <c r="BP5" i="3"/>
  <c r="D3" i="21"/>
  <c r="C9" i="75"/>
  <c r="D3" i="34"/>
  <c r="D9" i="43"/>
  <c r="I9" i="75"/>
  <c r="K9" i="75"/>
  <c r="E9" i="75"/>
  <c r="G9" i="75"/>
  <c r="J9" i="75"/>
  <c r="F9" i="75"/>
  <c r="H9" i="75"/>
  <c r="D9" i="75"/>
  <c r="D3" i="37"/>
  <c r="E9" i="43"/>
  <c r="I9" i="43"/>
  <c r="K12" i="1"/>
  <c r="M12" i="1" s="1"/>
  <c r="O12" i="1" s="1"/>
  <c r="P12" i="1" s="1"/>
  <c r="K8" i="1"/>
  <c r="M8" i="1" s="1"/>
  <c r="O8" i="1" s="1"/>
  <c r="P8" i="1" s="1"/>
  <c r="K13" i="1"/>
  <c r="M13" i="1" s="1"/>
  <c r="O13" i="1" s="1"/>
  <c r="P13" i="1" s="1"/>
  <c r="D3" i="36"/>
  <c r="F9" i="43"/>
  <c r="J9" i="43"/>
  <c r="D3" i="33"/>
  <c r="C9" i="43"/>
  <c r="C6" i="43" s="1"/>
  <c r="G9" i="43"/>
  <c r="K9" i="43"/>
  <c r="C9" i="12"/>
  <c r="S15" i="39"/>
  <c r="AB15" i="39"/>
  <c r="W15" i="39"/>
  <c r="AB11" i="21"/>
  <c r="AC11" i="21"/>
  <c r="H113" i="21"/>
  <c r="J37" i="21"/>
  <c r="H37" i="21"/>
  <c r="F37" i="21"/>
  <c r="S37" i="21" s="1"/>
  <c r="AA46" i="21"/>
  <c r="U46" i="21"/>
  <c r="U8" i="21"/>
  <c r="W9" i="21"/>
  <c r="H34" i="39"/>
  <c r="AB34" i="39" s="1"/>
  <c r="W34" i="39"/>
  <c r="S34" i="39"/>
  <c r="AA44" i="39"/>
  <c r="J41" i="39"/>
  <c r="AC41" i="39" s="1"/>
  <c r="H41" i="39"/>
  <c r="AB41" i="39" s="1"/>
  <c r="F41" i="39"/>
  <c r="S41" i="39" s="1"/>
  <c r="F29" i="39"/>
  <c r="AA29" i="39" s="1"/>
  <c r="J29" i="39"/>
  <c r="AC29" i="39" s="1"/>
  <c r="H29" i="39"/>
  <c r="AB29" i="39" s="1"/>
  <c r="W29" i="39"/>
  <c r="W27" i="39"/>
  <c r="S27" i="39"/>
  <c r="U27" i="39"/>
  <c r="F25" i="39"/>
  <c r="AA25" i="39" s="1"/>
  <c r="W25" i="39"/>
  <c r="AB25" i="39"/>
  <c r="S25" i="39"/>
  <c r="F96" i="39"/>
  <c r="G96" i="39" s="1"/>
  <c r="F23" i="39"/>
  <c r="AA23" i="39" s="1"/>
  <c r="H23" i="39"/>
  <c r="AB23" i="39" s="1"/>
  <c r="J23" i="39"/>
  <c r="AC23" i="39" s="1"/>
  <c r="U23" i="39"/>
  <c r="S23" i="39"/>
  <c r="AB19" i="39"/>
  <c r="AC19" i="39"/>
  <c r="AC17" i="39"/>
  <c r="S17" i="39"/>
  <c r="AB17" i="39"/>
  <c r="AB44" i="39"/>
  <c r="AC44" i="39"/>
  <c r="W41" i="39"/>
  <c r="U41" i="39"/>
  <c r="W42" i="39"/>
  <c r="U42" i="39"/>
  <c r="AC43" i="39"/>
  <c r="S43" i="39"/>
  <c r="W11" i="39"/>
  <c r="AA14" i="39"/>
  <c r="U14" i="39"/>
  <c r="U11" i="39"/>
  <c r="W10" i="39"/>
  <c r="U10" i="39"/>
  <c r="I4" i="6"/>
  <c r="G3" i="46" s="1"/>
  <c r="Z7" i="46" s="1"/>
  <c r="E32" i="6"/>
  <c r="K6" i="1"/>
  <c r="M18" i="15"/>
  <c r="D96" i="9"/>
  <c r="K1" i="43"/>
  <c r="K7" i="1"/>
  <c r="F3" i="35"/>
  <c r="B7" i="1"/>
  <c r="E7" i="1" s="1"/>
  <c r="BL14" i="3"/>
  <c r="AZ14" i="3" s="1"/>
  <c r="BC5" i="3"/>
  <c r="O41" i="9"/>
  <c r="R8" i="54" s="1"/>
  <c r="B54" i="63" s="1"/>
  <c r="H1" i="65"/>
  <c r="AB36" i="33"/>
  <c r="U36" i="33"/>
  <c r="AC20" i="35"/>
  <c r="W20" i="35"/>
  <c r="AB14" i="34"/>
  <c r="U14" i="34"/>
  <c r="W40" i="34"/>
  <c r="AC40" i="34"/>
  <c r="U12" i="37"/>
  <c r="AB12" i="37"/>
  <c r="W9" i="37"/>
  <c r="AC9" i="37"/>
  <c r="U28" i="36"/>
  <c r="AB28" i="36"/>
  <c r="W45" i="21"/>
  <c r="AC45" i="21"/>
  <c r="AA44" i="21"/>
  <c r="S44" i="21"/>
  <c r="W33" i="36"/>
  <c r="AC33" i="36"/>
  <c r="AA12" i="21"/>
  <c r="S12" i="21"/>
  <c r="AA15" i="37"/>
  <c r="S15" i="37"/>
  <c r="F14" i="40"/>
  <c r="J14" i="40"/>
  <c r="H14" i="40"/>
  <c r="H33" i="40"/>
  <c r="F33" i="40"/>
  <c r="AA33" i="40" s="1"/>
  <c r="AB38" i="40"/>
  <c r="U38" i="40"/>
  <c r="F42" i="40"/>
  <c r="J42" i="40"/>
  <c r="S41" i="21"/>
  <c r="AA41" i="21"/>
  <c r="F26" i="35"/>
  <c r="H26" i="35"/>
  <c r="BA534" i="3"/>
  <c r="BL533" i="3"/>
  <c r="BA533" i="3"/>
  <c r="AZ533" i="3" s="1"/>
  <c r="BA532" i="3"/>
  <c r="BL531" i="3"/>
  <c r="BA531" i="3"/>
  <c r="AZ531" i="3" s="1"/>
  <c r="BL530" i="3"/>
  <c r="BA530" i="3"/>
  <c r="BL529" i="3"/>
  <c r="AZ529" i="3" s="1"/>
  <c r="BL528" i="3"/>
  <c r="BA528" i="3"/>
  <c r="BA527" i="3"/>
  <c r="BL525" i="3"/>
  <c r="BA525" i="3"/>
  <c r="AZ525" i="3" s="1"/>
  <c r="BA524" i="3"/>
  <c r="BL523" i="3"/>
  <c r="BA523" i="3"/>
  <c r="BA522" i="3"/>
  <c r="AZ522" i="3" s="1"/>
  <c r="BL521" i="3"/>
  <c r="BA521" i="3"/>
  <c r="BL520" i="3"/>
  <c r="BA520" i="3"/>
  <c r="BL507" i="3"/>
  <c r="BL506" i="3"/>
  <c r="BA506" i="3"/>
  <c r="BL504" i="3"/>
  <c r="BA504" i="3"/>
  <c r="BA502" i="3"/>
  <c r="BL501" i="3"/>
  <c r="BA501" i="3"/>
  <c r="AZ501" i="3" s="1"/>
  <c r="BL500" i="3"/>
  <c r="BL499" i="3"/>
  <c r="BA499" i="3"/>
  <c r="BL498" i="3"/>
  <c r="BA498" i="3"/>
  <c r="AZ498" i="3" s="1"/>
  <c r="BL497" i="3"/>
  <c r="BA497" i="3"/>
  <c r="BL496" i="3"/>
  <c r="BL495" i="3"/>
  <c r="BA495" i="3"/>
  <c r="BK5" i="3"/>
  <c r="BA494" i="3"/>
  <c r="AZ494" i="3" s="1"/>
  <c r="BL493" i="3"/>
  <c r="BJ5" i="3"/>
  <c r="BB5" i="3"/>
  <c r="E5" i="6" s="1"/>
  <c r="D12" i="11" s="1"/>
  <c r="C12" i="11" s="1"/>
  <c r="BS5" i="3"/>
  <c r="BA492" i="3"/>
  <c r="BL491" i="3"/>
  <c r="BA491" i="3"/>
  <c r="AZ491" i="3" s="1"/>
  <c r="BL490" i="3"/>
  <c r="BL489" i="3"/>
  <c r="BN5" i="3"/>
  <c r="G29" i="6" s="1"/>
  <c r="BA489" i="3"/>
  <c r="AZ489" i="3" s="1"/>
  <c r="G489" i="3"/>
  <c r="AC5" i="3"/>
  <c r="BR5" i="3"/>
  <c r="G28" i="6" s="1"/>
  <c r="G30" i="6" s="1"/>
  <c r="G31" i="6" s="1"/>
  <c r="BA488" i="3"/>
  <c r="AZ488" i="3" s="1"/>
  <c r="BM5" i="3"/>
  <c r="F29" i="6" s="1"/>
  <c r="BH5" i="3"/>
  <c r="BA487" i="3"/>
  <c r="AZ487" i="3" s="1"/>
  <c r="S22" i="31"/>
  <c r="U41" i="33"/>
  <c r="AB41" i="33"/>
  <c r="AC32" i="40"/>
  <c r="W32" i="40"/>
  <c r="AA41" i="39"/>
  <c r="AC45" i="39"/>
  <c r="W45" i="39"/>
  <c r="W15" i="40"/>
  <c r="AC15" i="40"/>
  <c r="U16" i="39"/>
  <c r="AB16" i="39"/>
  <c r="AZ496" i="3"/>
  <c r="AB21" i="39"/>
  <c r="U21" i="39"/>
  <c r="AA32" i="34"/>
  <c r="S32" i="34"/>
  <c r="S11" i="33"/>
  <c r="AA11" i="33"/>
  <c r="U23" i="37"/>
  <c r="AB23" i="37"/>
  <c r="U43" i="33"/>
  <c r="AB43" i="33"/>
  <c r="U25" i="21"/>
  <c r="AB25" i="21"/>
  <c r="AB26" i="21"/>
  <c r="U26" i="21"/>
  <c r="U33" i="21"/>
  <c r="AB33" i="21"/>
  <c r="U10" i="21"/>
  <c r="AB10" i="21"/>
  <c r="AB38" i="21"/>
  <c r="U38" i="21"/>
  <c r="AA39" i="34"/>
  <c r="S39" i="34"/>
  <c r="S40" i="34"/>
  <c r="AA40" i="34"/>
  <c r="AA43" i="34"/>
  <c r="S43" i="34"/>
  <c r="J27" i="34"/>
  <c r="H27" i="34"/>
  <c r="F27" i="34"/>
  <c r="AA32" i="35"/>
  <c r="S32" i="35"/>
  <c r="F13" i="33"/>
  <c r="J13" i="33"/>
  <c r="AA31" i="33"/>
  <c r="S31" i="33"/>
  <c r="AA8" i="36"/>
  <c r="S8" i="36"/>
  <c r="AA33" i="36"/>
  <c r="S33" i="36"/>
  <c r="AB8" i="37"/>
  <c r="U8" i="37"/>
  <c r="W25" i="33"/>
  <c r="AC25" i="33"/>
  <c r="D23" i="59"/>
  <c r="C22" i="59"/>
  <c r="C21" i="59" s="1"/>
  <c r="K34" i="9"/>
  <c r="AC25" i="34"/>
  <c r="AC26" i="35"/>
  <c r="BQ5" i="3"/>
  <c r="S25" i="40"/>
  <c r="AC17" i="34"/>
  <c r="W17" i="34"/>
  <c r="S32" i="37"/>
  <c r="AA32" i="37"/>
  <c r="AC33" i="39"/>
  <c r="AA40" i="21"/>
  <c r="AZ490" i="3"/>
  <c r="AZ507" i="3"/>
  <c r="U13" i="33"/>
  <c r="AB13" i="33"/>
  <c r="AA32" i="33"/>
  <c r="S32" i="33"/>
  <c r="S36" i="37"/>
  <c r="AA36" i="37"/>
  <c r="BA493" i="3"/>
  <c r="AZ493" i="3" s="1"/>
  <c r="U28" i="37"/>
  <c r="AB28" i="37"/>
  <c r="S13" i="37"/>
  <c r="AA13" i="37"/>
  <c r="AB25" i="40"/>
  <c r="U25" i="40"/>
  <c r="AB42" i="40"/>
  <c r="U42" i="40"/>
  <c r="U37" i="40"/>
  <c r="W23" i="21"/>
  <c r="AC23" i="21"/>
  <c r="AC39" i="39"/>
  <c r="AC34" i="33"/>
  <c r="W34" i="33"/>
  <c r="AA32" i="40"/>
  <c r="S32" i="40"/>
  <c r="W38" i="39"/>
  <c r="AC38" i="39"/>
  <c r="AC33" i="40"/>
  <c r="W33" i="40"/>
  <c r="AZ500" i="3"/>
  <c r="U29" i="39"/>
  <c r="U46" i="39"/>
  <c r="AB46" i="39"/>
  <c r="U33" i="36"/>
  <c r="AB33" i="36"/>
  <c r="U43" i="39"/>
  <c r="AB43" i="39"/>
  <c r="S19" i="39"/>
  <c r="AA19" i="39"/>
  <c r="AC11" i="35"/>
  <c r="W11" i="35"/>
  <c r="S12" i="34"/>
  <c r="AA12" i="34"/>
  <c r="AC32" i="21"/>
  <c r="W32" i="21"/>
  <c r="U32" i="33"/>
  <c r="AA17" i="37"/>
  <c r="S17" i="37"/>
  <c r="AZ18" i="3"/>
  <c r="F72" i="9"/>
  <c r="AZ512" i="3"/>
  <c r="S39" i="33"/>
  <c r="W28" i="33"/>
  <c r="AC28" i="33"/>
  <c r="AC42" i="21"/>
  <c r="W42" i="21"/>
  <c r="AC36" i="35"/>
  <c r="W36" i="35"/>
  <c r="U8" i="36"/>
  <c r="AB8" i="36"/>
  <c r="AB26" i="36"/>
  <c r="U26" i="36"/>
  <c r="F25" i="36"/>
  <c r="H25" i="36"/>
  <c r="F12" i="37"/>
  <c r="J12" i="37"/>
  <c r="BA554" i="3"/>
  <c r="AZ554" i="3" s="1"/>
  <c r="BA536" i="3"/>
  <c r="AZ536" i="3" s="1"/>
  <c r="BL535" i="3"/>
  <c r="AZ535" i="3" s="1"/>
  <c r="G530" i="3"/>
  <c r="G529" i="3"/>
  <c r="BL527" i="3"/>
  <c r="BA509" i="3"/>
  <c r="BL508" i="3"/>
  <c r="BA508" i="3"/>
  <c r="AZ508" i="3" s="1"/>
  <c r="BA505" i="3"/>
  <c r="AZ505" i="3" s="1"/>
  <c r="G505" i="3"/>
  <c r="W37" i="34"/>
  <c r="AZ509" i="3"/>
  <c r="AZ563" i="3"/>
  <c r="AZ352" i="3"/>
  <c r="AZ336" i="3"/>
  <c r="AZ320" i="3"/>
  <c r="AZ339" i="3"/>
  <c r="AZ377" i="3"/>
  <c r="AZ303" i="3"/>
  <c r="AA23" i="37"/>
  <c r="AZ545" i="3"/>
  <c r="AZ569" i="3"/>
  <c r="BL572" i="3"/>
  <c r="AA8" i="21"/>
  <c r="J31" i="21"/>
  <c r="H31" i="21"/>
  <c r="B73" i="46"/>
  <c r="C23" i="39"/>
  <c r="F9" i="21"/>
  <c r="H9" i="21"/>
  <c r="AA38" i="33"/>
  <c r="AC22" i="36"/>
  <c r="W22" i="36"/>
  <c r="F12" i="36"/>
  <c r="H12" i="36"/>
  <c r="J39" i="37"/>
  <c r="F39" i="37"/>
  <c r="H39" i="37"/>
  <c r="BL563" i="3"/>
  <c r="BA560" i="3"/>
  <c r="AZ560" i="3" s="1"/>
  <c r="BL559" i="3"/>
  <c r="AZ559" i="3" s="1"/>
  <c r="BL558" i="3"/>
  <c r="AZ558" i="3" s="1"/>
  <c r="BL557" i="3"/>
  <c r="BA557" i="3"/>
  <c r="AZ557" i="3" s="1"/>
  <c r="BA555" i="3"/>
  <c r="AZ571" i="3"/>
  <c r="AZ356" i="3"/>
  <c r="AZ345" i="3"/>
  <c r="W13" i="36"/>
  <c r="AC13" i="36"/>
  <c r="W34" i="36"/>
  <c r="AC34" i="36"/>
  <c r="J12" i="21"/>
  <c r="H12" i="21"/>
  <c r="F28" i="21"/>
  <c r="H28" i="21"/>
  <c r="J26" i="33"/>
  <c r="H26" i="33"/>
  <c r="F26" i="33"/>
  <c r="H45" i="33"/>
  <c r="J45" i="33"/>
  <c r="J24" i="35"/>
  <c r="H24" i="35"/>
  <c r="F32" i="36"/>
  <c r="H32" i="36"/>
  <c r="H27" i="37"/>
  <c r="F27" i="37"/>
  <c r="AA27" i="37" s="1"/>
  <c r="W41" i="21"/>
  <c r="AC41" i="21"/>
  <c r="U34" i="37"/>
  <c r="AB34" i="37"/>
  <c r="BA565" i="3"/>
  <c r="AZ565" i="3" s="1"/>
  <c r="G565" i="3"/>
  <c r="BA562" i="3"/>
  <c r="BL561" i="3"/>
  <c r="BA561" i="3"/>
  <c r="AZ151" i="3"/>
  <c r="BL524" i="3"/>
  <c r="BL532" i="3"/>
  <c r="AC8" i="34"/>
  <c r="W8" i="34"/>
  <c r="F23" i="36"/>
  <c r="G516" i="3"/>
  <c r="BL492" i="3"/>
  <c r="AZ492" i="3" s="1"/>
  <c r="BL526" i="3"/>
  <c r="BL534" i="3"/>
  <c r="AZ544" i="3"/>
  <c r="BL552" i="3"/>
  <c r="AZ552" i="3" s="1"/>
  <c r="BL562" i="3"/>
  <c r="G553" i="3"/>
  <c r="G486" i="3"/>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G352" i="3"/>
  <c r="G536" i="3"/>
  <c r="G497" i="3"/>
  <c r="BL389" i="3"/>
  <c r="BA396" i="3"/>
  <c r="BA402" i="3"/>
  <c r="BL404" i="3"/>
  <c r="G411" i="3"/>
  <c r="BA411" i="3"/>
  <c r="BA413" i="3"/>
  <c r="BL413" i="3"/>
  <c r="BA416" i="3"/>
  <c r="G427" i="3"/>
  <c r="BA427" i="3"/>
  <c r="BA433" i="3"/>
  <c r="BL433" i="3"/>
  <c r="BA436" i="3"/>
  <c r="G443" i="3"/>
  <c r="BA443" i="3"/>
  <c r="BL448"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37" i="3"/>
  <c r="AZ337" i="3" s="1"/>
  <c r="BA383" i="3"/>
  <c r="AZ383" i="3" s="1"/>
  <c r="BA224"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BA459" i="3"/>
  <c r="BL461" i="3"/>
  <c r="BA464" i="3"/>
  <c r="G468" i="3"/>
  <c r="BA470" i="3"/>
  <c r="BL472" i="3"/>
  <c r="G473" i="3"/>
  <c r="BA475" i="3"/>
  <c r="BL477" i="3"/>
  <c r="BA480" i="3"/>
  <c r="G315" i="3"/>
  <c r="G325" i="3"/>
  <c r="BL335" i="3"/>
  <c r="BA341" i="3"/>
  <c r="AZ341" i="3" s="1"/>
  <c r="BA350" i="3"/>
  <c r="BA367" i="3"/>
  <c r="AZ367" i="3" s="1"/>
  <c r="G375" i="3"/>
  <c r="BA205" i="3"/>
  <c r="BL207" i="3"/>
  <c r="D76" i="59"/>
  <c r="C75" i="59"/>
  <c r="D75" i="59" s="1"/>
  <c r="C65" i="59"/>
  <c r="D64" i="59"/>
  <c r="C52" i="59"/>
  <c r="D51" i="59"/>
  <c r="AA3" i="59"/>
  <c r="BL206" i="3"/>
  <c r="BA213" i="3"/>
  <c r="BL214" i="3"/>
  <c r="BA219" i="3"/>
  <c r="BA225" i="3"/>
  <c r="BA233" i="3"/>
  <c r="BA236" i="3"/>
  <c r="AZ236" i="3" s="1"/>
  <c r="BL236" i="3"/>
  <c r="BA239" i="3"/>
  <c r="G246" i="3"/>
  <c r="BL246" i="3"/>
  <c r="BA248" i="3"/>
  <c r="BL248" i="3"/>
  <c r="BA253" i="3"/>
  <c r="BL255" i="3"/>
  <c r="G258" i="3"/>
  <c r="BL258" i="3"/>
  <c r="BA265" i="3"/>
  <c r="BA268" i="3"/>
  <c r="AZ268" i="3" s="1"/>
  <c r="BL268"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G161" i="3"/>
  <c r="BL167" i="3"/>
  <c r="BL169" i="3"/>
  <c r="AZ169" i="3" s="1"/>
  <c r="BA170" i="3"/>
  <c r="AZ170" i="3" s="1"/>
  <c r="BL172" i="3"/>
  <c r="BA183" i="3"/>
  <c r="BA187" i="3"/>
  <c r="BA191" i="3"/>
  <c r="BA195" i="3"/>
  <c r="BA199" i="3"/>
  <c r="G203" i="3"/>
  <c r="BA203" i="3"/>
  <c r="AZ203" i="3" s="1"/>
  <c r="G25" i="3"/>
  <c r="BA26" i="3"/>
  <c r="G30" i="3"/>
  <c r="G31" i="3"/>
  <c r="BA31" i="3"/>
  <c r="AZ31" i="3" s="1"/>
  <c r="G34" i="3"/>
  <c r="G35" i="3"/>
  <c r="BA35" i="3"/>
  <c r="AZ35" i="3" s="1"/>
  <c r="G40" i="3"/>
  <c r="G41" i="3"/>
  <c r="BA42" i="3"/>
  <c r="BL44" i="3"/>
  <c r="BL48" i="3"/>
  <c r="G54" i="3"/>
  <c r="G55" i="3"/>
  <c r="BA56" i="3"/>
  <c r="G59" i="3"/>
  <c r="G60" i="3"/>
  <c r="BA61" i="3"/>
  <c r="BL63" i="3"/>
  <c r="BA64" i="3"/>
  <c r="AZ64" i="3" s="1"/>
  <c r="F41" i="59"/>
  <c r="V41" i="59" s="1"/>
  <c r="BA211" i="3"/>
  <c r="BL215" i="3"/>
  <c r="G218" i="3"/>
  <c r="BL218" i="3"/>
  <c r="BA231" i="3"/>
  <c r="AZ231" i="3" s="1"/>
  <c r="G238" i="3"/>
  <c r="BL238" i="3"/>
  <c r="BA240" i="3"/>
  <c r="AZ240" i="3" s="1"/>
  <c r="BL240" i="3"/>
  <c r="BA245" i="3"/>
  <c r="BL247" i="3"/>
  <c r="AZ247" i="3" s="1"/>
  <c r="G250" i="3"/>
  <c r="BL250" i="3"/>
  <c r="BA257" i="3"/>
  <c r="BA260" i="3"/>
  <c r="BL260" i="3"/>
  <c r="BA263" i="3"/>
  <c r="AZ263" i="3" s="1"/>
  <c r="G274" i="3"/>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BL28" i="3"/>
  <c r="BL32" i="3"/>
  <c r="BA40" i="3"/>
  <c r="BA54" i="3"/>
  <c r="BL57" i="3"/>
  <c r="BA59" i="3"/>
  <c r="D68" i="59"/>
  <c r="C67" i="59"/>
  <c r="C57" i="59"/>
  <c r="D56" i="59"/>
  <c r="Y34" i="59"/>
  <c r="Z34" i="59" s="1"/>
  <c r="C35" i="59"/>
  <c r="Y35" i="59"/>
  <c r="Z35" i="59" s="1"/>
  <c r="Y36" i="59"/>
  <c r="Z36" i="59" s="1"/>
  <c r="Y37" i="59"/>
  <c r="Z37" i="59" s="1"/>
  <c r="AB40" i="59"/>
  <c r="AB27" i="59"/>
  <c r="T69" i="59"/>
  <c r="O69" i="59"/>
  <c r="D69" i="59"/>
  <c r="T77" i="59"/>
  <c r="D77" i="59"/>
  <c r="B24" i="59"/>
  <c r="B23" i="59" s="1"/>
  <c r="B22" i="59" s="1"/>
  <c r="B21" i="59" s="1"/>
  <c r="B20" i="59" s="1"/>
  <c r="B19" i="59" s="1"/>
  <c r="B18" i="59" s="1"/>
  <c r="S25" i="59"/>
  <c r="F25" i="59"/>
  <c r="AB3" i="59"/>
  <c r="BL319" i="3"/>
  <c r="G320" i="3"/>
  <c r="BL330" i="3"/>
  <c r="AZ330" i="3" s="1"/>
  <c r="G331" i="3"/>
  <c r="G336" i="3"/>
  <c r="BL346" i="3"/>
  <c r="AZ346" i="3" s="1"/>
  <c r="G347" i="3"/>
  <c r="BA368" i="3"/>
  <c r="AZ368" i="3" s="1"/>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61" i="3"/>
  <c r="BL62" i="3"/>
  <c r="BL64" i="3"/>
  <c r="BA69" i="3"/>
  <c r="AA18" i="35"/>
  <c r="S18" i="35"/>
  <c r="C61" i="59"/>
  <c r="C71" i="59"/>
  <c r="D71" i="59" s="1"/>
  <c r="D72" i="59"/>
  <c r="X32" i="59"/>
  <c r="X33" i="59"/>
  <c r="E29" i="59"/>
  <c r="AA29" i="59"/>
  <c r="G66" i="3"/>
  <c r="G67" i="3"/>
  <c r="G75" i="3"/>
  <c r="BL79" i="3"/>
  <c r="G81" i="3"/>
  <c r="G82" i="3"/>
  <c r="BA82" i="3"/>
  <c r="AZ82" i="3" s="1"/>
  <c r="G86" i="3"/>
  <c r="G87" i="3"/>
  <c r="BA88" i="3"/>
  <c r="BA90" i="3"/>
  <c r="BL92" i="3"/>
  <c r="BL95" i="3"/>
  <c r="G99" i="3"/>
  <c r="BL104" i="3"/>
  <c r="G105" i="3"/>
  <c r="G107" i="3"/>
  <c r="BA107" i="3"/>
  <c r="BL109" i="3"/>
  <c r="BL111" i="3"/>
  <c r="BA112" i="3"/>
  <c r="S21" i="21"/>
  <c r="AA30" i="59"/>
  <c r="Y31" i="59"/>
  <c r="Z31" i="59" s="1"/>
  <c r="Y32" i="59"/>
  <c r="Z32" i="59" s="1"/>
  <c r="Y33" i="59"/>
  <c r="Z33" i="59" s="1"/>
  <c r="Y38" i="59"/>
  <c r="Z38" i="59" s="1"/>
  <c r="BA95" i="3"/>
  <c r="BL101" i="3"/>
  <c r="BA106" i="3"/>
  <c r="BL108" i="3"/>
  <c r="G111" i="3"/>
  <c r="AA31" i="59"/>
  <c r="AA32" i="59"/>
  <c r="AA33" i="59"/>
  <c r="X34" i="59"/>
  <c r="AB34" i="59"/>
  <c r="AB35" i="59"/>
  <c r="AB36" i="59"/>
  <c r="AB37" i="59"/>
  <c r="AB38" i="59"/>
  <c r="AB39" i="59"/>
  <c r="B48" i="59"/>
  <c r="B49" i="59" s="1"/>
  <c r="S49" i="59" s="1"/>
  <c r="E60" i="59"/>
  <c r="E61" i="59" s="1"/>
  <c r="U61" i="59" s="1"/>
  <c r="G42" i="3"/>
  <c r="G43" i="3"/>
  <c r="BA45" i="3"/>
  <c r="BL46" i="3"/>
  <c r="BL47" i="3"/>
  <c r="AZ47" i="3" s="1"/>
  <c r="BA49" i="3"/>
  <c r="BL50" i="3"/>
  <c r="BL51" i="3"/>
  <c r="AZ51" i="3" s="1"/>
  <c r="BA52" i="3"/>
  <c r="G58" i="3"/>
  <c r="BL60" i="3"/>
  <c r="G62" i="3"/>
  <c r="G63" i="3"/>
  <c r="BA63" i="3"/>
  <c r="AZ63" i="3" s="1"/>
  <c r="BL68" i="3"/>
  <c r="G70" i="3"/>
  <c r="G71" i="3"/>
  <c r="BA73" i="3"/>
  <c r="BA76" i="3"/>
  <c r="BL77" i="3"/>
  <c r="BL78" i="3"/>
  <c r="AZ78" i="3" s="1"/>
  <c r="G83" i="3"/>
  <c r="BA84" i="3"/>
  <c r="BL88" i="3"/>
  <c r="BL89" i="3"/>
  <c r="BA96" i="3"/>
  <c r="BL96" i="3"/>
  <c r="BL97" i="3"/>
  <c r="G100" i="3"/>
  <c r="G101" i="3"/>
  <c r="BA104" i="3"/>
  <c r="BA110" i="3"/>
  <c r="BL112" i="3"/>
  <c r="P69" i="59"/>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BA218" i="3"/>
  <c r="AZ218" i="3" s="1"/>
  <c r="BL219" i="3"/>
  <c r="BA222" i="3"/>
  <c r="AZ222" i="3" s="1"/>
  <c r="BA226" i="3"/>
  <c r="AZ226" i="3" s="1"/>
  <c r="BL227" i="3"/>
  <c r="AZ113" i="3"/>
  <c r="AZ117" i="3"/>
  <c r="AZ125"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AZ22" i="3"/>
  <c r="BA230" i="3"/>
  <c r="BA234" i="3"/>
  <c r="AZ234" i="3" s="1"/>
  <c r="BL235" i="3"/>
  <c r="BA238" i="3"/>
  <c r="AZ238" i="3" s="1"/>
  <c r="BA242" i="3"/>
  <c r="AZ242" i="3" s="1"/>
  <c r="BL243" i="3"/>
  <c r="BA246" i="3"/>
  <c r="AZ246" i="3" s="1"/>
  <c r="BA250" i="3"/>
  <c r="AZ250" i="3" s="1"/>
  <c r="BL251" i="3"/>
  <c r="BA254" i="3"/>
  <c r="AZ254" i="3" s="1"/>
  <c r="BA258" i="3"/>
  <c r="AZ258" i="3" s="1"/>
  <c r="BL259" i="3"/>
  <c r="BA262" i="3"/>
  <c r="BA266" i="3"/>
  <c r="AZ266" i="3" s="1"/>
  <c r="BL267" i="3"/>
  <c r="AZ267" i="3" s="1"/>
  <c r="BA270" i="3"/>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0" i="1"/>
  <c r="P10" i="1" s="1"/>
  <c r="O9" i="1"/>
  <c r="P9"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3" i="9"/>
  <c r="F65" i="15"/>
  <c r="F67" i="15"/>
  <c r="F50" i="15"/>
  <c r="C27" i="15"/>
  <c r="F64" i="15"/>
  <c r="L59" i="15"/>
  <c r="L58" i="15"/>
  <c r="L60" i="44"/>
  <c r="L59" i="44"/>
  <c r="J53" i="15"/>
  <c r="J57" i="15"/>
  <c r="J55" i="15" s="1"/>
  <c r="J58" i="15" s="1"/>
  <c r="Q51" i="15" s="1"/>
  <c r="I54" i="15"/>
  <c r="L56" i="15"/>
  <c r="I55" i="44"/>
  <c r="J54" i="44"/>
  <c r="L57" i="44"/>
  <c r="J58" i="44"/>
  <c r="J56" i="44" s="1"/>
  <c r="J59" i="44" s="1"/>
  <c r="Q52" i="44" s="1"/>
  <c r="Q72" i="15"/>
  <c r="F63" i="15"/>
  <c r="C4" i="65"/>
  <c r="B39" i="1" s="1"/>
  <c r="D21" i="75"/>
  <c r="F9" i="44"/>
  <c r="M24" i="44"/>
  <c r="F28" i="44"/>
  <c r="F45" i="44"/>
  <c r="I5" i="65"/>
  <c r="F43" i="44"/>
  <c r="F43" i="15"/>
  <c r="F7" i="15"/>
  <c r="M31" i="44"/>
  <c r="M29" i="15"/>
  <c r="J3" i="65"/>
  <c r="J4" i="65"/>
  <c r="J7" i="65"/>
  <c r="J5" i="65"/>
  <c r="F39" i="44"/>
  <c r="I4" i="65"/>
  <c r="J6" i="65"/>
  <c r="I6" i="65"/>
  <c r="I3" i="65"/>
  <c r="I7" i="65"/>
  <c r="W19" i="21" l="1"/>
  <c r="AC19" i="21"/>
  <c r="AA11" i="21"/>
  <c r="L19" i="6"/>
  <c r="L27" i="6" s="1"/>
  <c r="E29" i="6"/>
  <c r="K15" i="1" s="1"/>
  <c r="G26" i="46"/>
  <c r="B117" i="46"/>
  <c r="B123" i="46" s="1"/>
  <c r="C123" i="46" s="1"/>
  <c r="H26" i="46"/>
  <c r="H16" i="1"/>
  <c r="Q16" i="1"/>
  <c r="C8" i="44"/>
  <c r="C34" i="44" s="1"/>
  <c r="M9" i="44"/>
  <c r="J8" i="44" s="1"/>
  <c r="J20" i="44" s="1"/>
  <c r="C21" i="75"/>
  <c r="H20" i="75" s="1"/>
  <c r="M7" i="1"/>
  <c r="E26" i="46"/>
  <c r="F26" i="46"/>
  <c r="D26" i="46" s="1"/>
  <c r="C25" i="46" s="1"/>
  <c r="J26" i="46"/>
  <c r="AB37" i="21"/>
  <c r="U37" i="21"/>
  <c r="W37" i="21"/>
  <c r="AC37" i="21"/>
  <c r="AA37" i="21"/>
  <c r="U34" i="39"/>
  <c r="S29" i="39"/>
  <c r="W23" i="39"/>
  <c r="E8" i="6"/>
  <c r="F27" i="6" s="1"/>
  <c r="C6" i="15"/>
  <c r="C32" i="15" s="1"/>
  <c r="M7" i="15"/>
  <c r="M17" i="15" s="1"/>
  <c r="F49" i="15"/>
  <c r="C48" i="15" s="1"/>
  <c r="F70" i="15"/>
  <c r="M6" i="1"/>
  <c r="F28" i="6"/>
  <c r="F30" i="6" s="1"/>
  <c r="AP10" i="1"/>
  <c r="G10" i="1"/>
  <c r="J1" i="65"/>
  <c r="I1" i="65"/>
  <c r="Q73" i="44"/>
  <c r="C29" i="44"/>
  <c r="E15" i="6"/>
  <c r="AZ62" i="3"/>
  <c r="AZ59" i="3"/>
  <c r="AZ89" i="3"/>
  <c r="AZ270" i="3"/>
  <c r="AZ140" i="3"/>
  <c r="AZ214" i="3"/>
  <c r="AZ403" i="3"/>
  <c r="AZ449" i="3"/>
  <c r="AZ418" i="3"/>
  <c r="T61" i="59"/>
  <c r="D61" i="59"/>
  <c r="AZ276" i="3"/>
  <c r="AZ264" i="3"/>
  <c r="AZ232" i="3"/>
  <c r="AZ248" i="3"/>
  <c r="T65" i="59"/>
  <c r="D65" i="59"/>
  <c r="AZ562" i="3"/>
  <c r="AZ561" i="3"/>
  <c r="S32" i="36"/>
  <c r="AA32" i="36"/>
  <c r="U45" i="33"/>
  <c r="AB45" i="33"/>
  <c r="U28" i="21"/>
  <c r="AB28" i="21"/>
  <c r="AC39" i="37"/>
  <c r="W39" i="37"/>
  <c r="AC12" i="37"/>
  <c r="W12" i="37"/>
  <c r="AZ521" i="3"/>
  <c r="AA26" i="35"/>
  <c r="S26" i="35"/>
  <c r="AA42" i="40"/>
  <c r="S42" i="40"/>
  <c r="AB33" i="40"/>
  <c r="U33" i="40"/>
  <c r="AZ112" i="3"/>
  <c r="AB24" i="35"/>
  <c r="U24" i="35"/>
  <c r="AA26" i="33"/>
  <c r="S26" i="33"/>
  <c r="S28" i="21"/>
  <c r="AA28" i="21"/>
  <c r="U12" i="36"/>
  <c r="AB12" i="36"/>
  <c r="AA12" i="37"/>
  <c r="S12" i="37"/>
  <c r="W13" i="33"/>
  <c r="AC13" i="33"/>
  <c r="S27" i="34"/>
  <c r="AA27" i="34"/>
  <c r="AZ504" i="3"/>
  <c r="AZ528" i="3"/>
  <c r="U14" i="40"/>
  <c r="AB14" i="40"/>
  <c r="V25" i="59"/>
  <c r="F24" i="59"/>
  <c r="F23" i="59" s="1"/>
  <c r="F22" i="59" s="1"/>
  <c r="F21" i="59" s="1"/>
  <c r="D57" i="59"/>
  <c r="T57" i="59"/>
  <c r="AZ260" i="3"/>
  <c r="C53" i="59"/>
  <c r="D52" i="59"/>
  <c r="U27" i="37"/>
  <c r="AB27" i="37"/>
  <c r="AC24" i="35"/>
  <c r="W24" i="35"/>
  <c r="U26" i="33"/>
  <c r="AB26" i="33"/>
  <c r="U12" i="21"/>
  <c r="AB12" i="21"/>
  <c r="U39" i="37"/>
  <c r="AB39" i="37"/>
  <c r="S12" i="36"/>
  <c r="AA12" i="36"/>
  <c r="AB9" i="21"/>
  <c r="U9" i="21"/>
  <c r="U31" i="21"/>
  <c r="AB31" i="21"/>
  <c r="AB25" i="36"/>
  <c r="U25" i="36"/>
  <c r="S13" i="33"/>
  <c r="AA13" i="33"/>
  <c r="AB27" i="34"/>
  <c r="U27" i="34"/>
  <c r="B20" i="31"/>
  <c r="R22" i="31"/>
  <c r="B21" i="31" s="1"/>
  <c r="AZ497" i="3"/>
  <c r="AZ520" i="3"/>
  <c r="AZ523" i="3"/>
  <c r="W14" i="40"/>
  <c r="AC14" i="40"/>
  <c r="AZ262" i="3"/>
  <c r="AZ230" i="3"/>
  <c r="S27" i="37"/>
  <c r="AZ252" i="3"/>
  <c r="C36" i="59"/>
  <c r="D35" i="59"/>
  <c r="O66" i="59"/>
  <c r="D67" i="59"/>
  <c r="AZ159" i="3"/>
  <c r="AZ292" i="3"/>
  <c r="AZ239" i="3"/>
  <c r="AA23" i="36"/>
  <c r="S23" i="36"/>
  <c r="AB32" i="36"/>
  <c r="U32" i="36"/>
  <c r="AC45" i="33"/>
  <c r="W45" i="33"/>
  <c r="AC26" i="33"/>
  <c r="W26" i="33"/>
  <c r="AC12" i="21"/>
  <c r="W12" i="21"/>
  <c r="S39" i="37"/>
  <c r="AA39" i="37"/>
  <c r="S9" i="21"/>
  <c r="AA9" i="21"/>
  <c r="AC31" i="21"/>
  <c r="W31" i="21"/>
  <c r="AA25" i="36"/>
  <c r="S25" i="36"/>
  <c r="AC27" i="34"/>
  <c r="W27" i="34"/>
  <c r="AZ495" i="3"/>
  <c r="AZ527" i="3"/>
  <c r="AZ530" i="3"/>
  <c r="U26" i="35"/>
  <c r="AB26" i="35"/>
  <c r="AC42" i="40"/>
  <c r="W42" i="40"/>
  <c r="AA14" i="40"/>
  <c r="S14" i="40"/>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BA5" i="3"/>
  <c r="E12" i="6"/>
  <c r="J7" i="21"/>
  <c r="AC7" i="21" s="1"/>
  <c r="V48" i="21" s="1"/>
  <c r="I48" i="21" s="1"/>
  <c r="E61" i="46"/>
  <c r="B59" i="46" s="1"/>
  <c r="E50" i="46"/>
  <c r="B48" i="46" s="1"/>
  <c r="C28" i="46" s="1"/>
  <c r="D123" i="46"/>
  <c r="E123" i="46" s="1"/>
  <c r="F123" i="46" s="1"/>
  <c r="G123" i="46" s="1"/>
  <c r="H123" i="46" s="1"/>
  <c r="B122" i="46"/>
  <c r="C122" i="46" s="1"/>
  <c r="D117" i="46"/>
  <c r="B121" i="46"/>
  <c r="C121" i="46" s="1"/>
  <c r="E17" i="46"/>
  <c r="C17" i="46" s="1"/>
  <c r="C7" i="46"/>
  <c r="AZ5" i="3"/>
  <c r="E3" i="6" s="1"/>
  <c r="E10" i="6"/>
  <c r="E14" i="6"/>
  <c r="E13" i="6"/>
  <c r="E11" i="6"/>
  <c r="E28" i="6"/>
  <c r="K14" i="1" s="1"/>
  <c r="G5" i="3"/>
  <c r="B3" i="3" s="1"/>
  <c r="H7" i="34"/>
  <c r="U7" i="34" s="1"/>
  <c r="F7" i="34"/>
  <c r="AA7" i="34" s="1"/>
  <c r="R49" i="34" s="1"/>
  <c r="J7" i="34"/>
  <c r="W7" i="34" s="1"/>
  <c r="G16" i="1"/>
  <c r="F7" i="21"/>
  <c r="AA7" i="21" s="1"/>
  <c r="R48" i="21" s="1"/>
  <c r="H7" i="21"/>
  <c r="AB7" i="21" s="1"/>
  <c r="T48" i="21" s="1"/>
  <c r="G48" i="21" s="1"/>
  <c r="B12" i="59"/>
  <c r="S13" i="59"/>
  <c r="F58" i="15"/>
  <c r="H7" i="35"/>
  <c r="U7" i="35" s="1"/>
  <c r="E64" i="40"/>
  <c r="D66" i="40"/>
  <c r="AC7" i="33"/>
  <c r="V48" i="33" s="1"/>
  <c r="I48" i="33" s="1"/>
  <c r="W7" i="33"/>
  <c r="J7" i="37"/>
  <c r="D71" i="39"/>
  <c r="E69" i="39"/>
  <c r="H7" i="33"/>
  <c r="F7" i="33"/>
  <c r="J46" i="36"/>
  <c r="J7" i="35"/>
  <c r="F7" i="35"/>
  <c r="H7" i="37"/>
  <c r="F7" i="37"/>
  <c r="M19" i="44"/>
  <c r="Q62" i="15"/>
  <c r="Q75" i="15"/>
  <c r="M13" i="44"/>
  <c r="J12" i="44" s="1"/>
  <c r="F11" i="15"/>
  <c r="M11" i="15"/>
  <c r="F13" i="44"/>
  <c r="C12" i="44" s="1"/>
  <c r="Q75" i="44"/>
  <c r="Q62" i="44"/>
  <c r="M32" i="46"/>
  <c r="P32" i="46"/>
  <c r="O32" i="46"/>
  <c r="N32" i="46"/>
  <c r="F1" i="44"/>
  <c r="Q54" i="44"/>
  <c r="Q63" i="44"/>
  <c r="Q76" i="44"/>
  <c r="F1" i="15"/>
  <c r="Q53" i="15"/>
  <c r="Q61" i="15"/>
  <c r="Q74" i="15"/>
  <c r="AE6" i="1"/>
  <c r="AE12" i="1"/>
  <c r="AE8" i="1"/>
  <c r="AE9" i="1"/>
  <c r="AE10" i="1"/>
  <c r="AE11" i="1"/>
  <c r="D21" i="12"/>
  <c r="F33" i="12"/>
  <c r="C18" i="44"/>
  <c r="C16" i="15"/>
  <c r="C15" i="43"/>
  <c r="AE7" i="1"/>
  <c r="F21" i="43"/>
  <c r="F46" i="44"/>
  <c r="E2" i="65"/>
  <c r="E3" i="65"/>
  <c r="C7" i="44" l="1"/>
  <c r="C40" i="44"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1" i="6"/>
  <c r="J7" i="44"/>
  <c r="J26" i="44" s="1"/>
  <c r="O7" i="1"/>
  <c r="P7" i="1" s="1"/>
  <c r="E58" i="39"/>
  <c r="J12" i="40"/>
  <c r="F12" i="74"/>
  <c r="J12" i="74"/>
  <c r="H12" i="74"/>
  <c r="E66" i="39"/>
  <c r="E66" i="74"/>
  <c r="E53" i="40"/>
  <c r="E58" i="74"/>
  <c r="E65" i="39"/>
  <c r="E65" i="74"/>
  <c r="E62" i="39"/>
  <c r="E62" i="74"/>
  <c r="E59" i="40"/>
  <c r="E64" i="74"/>
  <c r="E63" i="39"/>
  <c r="E63" i="74"/>
  <c r="W7" i="21"/>
  <c r="J6" i="15"/>
  <c r="J18" i="15" s="1"/>
  <c r="C21" i="12"/>
  <c r="C34" i="12"/>
  <c r="D33" i="12" s="1"/>
  <c r="O6" i="1"/>
  <c r="P6" i="1" s="1"/>
  <c r="E58" i="40"/>
  <c r="E61" i="40"/>
  <c r="B40" i="1"/>
  <c r="F17" i="11"/>
  <c r="C17" i="11" s="1"/>
  <c r="C19" i="11" s="1"/>
  <c r="C20" i="11" s="1"/>
  <c r="C21" i="11" s="1"/>
  <c r="C22" i="11" s="1"/>
  <c r="C23" i="11" s="1"/>
  <c r="B2" i="11" s="1"/>
  <c r="T53" i="59"/>
  <c r="D53" i="59"/>
  <c r="F20" i="59"/>
  <c r="F19" i="59" s="1"/>
  <c r="F18" i="59" s="1"/>
  <c r="F17" i="59" s="1"/>
  <c r="V21" i="59"/>
  <c r="C37" i="59"/>
  <c r="D36" i="59"/>
  <c r="S7" i="34"/>
  <c r="N66" i="59"/>
  <c r="N67"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C13" i="39" s="1"/>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D16" i="12"/>
  <c r="C15" i="12"/>
  <c r="C15" i="75"/>
  <c r="F41" i="15"/>
  <c r="M27" i="15"/>
  <c r="M29" i="44"/>
  <c r="L36" i="46" l="1"/>
  <c r="M36" i="46" s="1"/>
  <c r="F26" i="75"/>
  <c r="F68" i="15"/>
  <c r="E67" i="74"/>
  <c r="AB12" i="74"/>
  <c r="T49" i="74" s="1"/>
  <c r="G49" i="74" s="1"/>
  <c r="U12" i="74"/>
  <c r="AC12" i="74"/>
  <c r="V49" i="74" s="1"/>
  <c r="I49" i="74" s="1"/>
  <c r="W12" i="74"/>
  <c r="AA12" i="74"/>
  <c r="R49" i="74" s="1"/>
  <c r="S12" i="74"/>
  <c r="J13" i="39"/>
  <c r="F13" i="39"/>
  <c r="H13" i="39"/>
  <c r="J5" i="15"/>
  <c r="J24" i="15" s="1"/>
  <c r="D19" i="12"/>
  <c r="C19" i="12" s="1"/>
  <c r="Q36" i="46"/>
  <c r="B6" i="66"/>
  <c r="F16" i="59"/>
  <c r="F15" i="59" s="1"/>
  <c r="F14" i="59" s="1"/>
  <c r="F13" i="59" s="1"/>
  <c r="V17" i="59"/>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B3" i="11"/>
  <c r="D22" i="12"/>
  <c r="D16" i="75"/>
  <c r="D22" i="75"/>
  <c r="F7" i="67"/>
  <c r="D16" i="43"/>
  <c r="F22" i="43"/>
  <c r="P36" i="46" l="1"/>
  <c r="L37" i="46"/>
  <c r="O37" i="46" s="1"/>
  <c r="N36" i="46"/>
  <c r="B3" i="21"/>
  <c r="B2" i="21" s="1"/>
  <c r="C8" i="75"/>
  <c r="C10" i="75" s="1"/>
  <c r="C6" i="75" s="1"/>
  <c r="C8" i="12"/>
  <c r="C10" i="12" s="1"/>
  <c r="C6" i="12" s="1"/>
  <c r="M20" i="6"/>
  <c r="I20" i="6" s="1"/>
  <c r="S20" i="6" s="1"/>
  <c r="S13" i="1"/>
  <c r="C22" i="75"/>
  <c r="C20" i="75" s="1"/>
  <c r="C16" i="75"/>
  <c r="D19" i="75"/>
  <c r="C19" i="75" s="1"/>
  <c r="O36" i="46"/>
  <c r="C27" i="75"/>
  <c r="D26" i="75" s="1"/>
  <c r="C32" i="75" s="1"/>
  <c r="D30" i="75" s="1"/>
  <c r="AC13" i="39"/>
  <c r="W13" i="39"/>
  <c r="I53" i="74"/>
  <c r="J53" i="74" s="1"/>
  <c r="B5" i="11"/>
  <c r="C40" i="39"/>
  <c r="AB13" i="39"/>
  <c r="U13" i="39"/>
  <c r="R50" i="74"/>
  <c r="E49" i="74"/>
  <c r="I54" i="74" s="1"/>
  <c r="J54" i="74" s="1"/>
  <c r="G53" i="74"/>
  <c r="H53" i="74" s="1"/>
  <c r="G54" i="74"/>
  <c r="H54" i="74" s="1"/>
  <c r="AA13" i="39"/>
  <c r="S13" i="39"/>
  <c r="C22" i="12"/>
  <c r="C20" i="12" s="1"/>
  <c r="C16" i="43"/>
  <c r="K27" i="6"/>
  <c r="M21" i="6"/>
  <c r="I21" i="6" s="1"/>
  <c r="S21" i="6" s="1"/>
  <c r="Q37" i="46"/>
  <c r="P37" i="46"/>
  <c r="M37" i="46"/>
  <c r="N37" i="46"/>
  <c r="E40"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D12" i="6"/>
  <c r="H21" i="6"/>
  <c r="H20" i="6"/>
  <c r="H26" i="6"/>
  <c r="D23" i="6"/>
  <c r="E46" i="9"/>
  <c r="F45" i="9"/>
  <c r="D28"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7" i="15"/>
  <c r="C19" i="44"/>
  <c r="C24" i="75" l="1"/>
  <c r="C29" i="75"/>
  <c r="C24" i="12"/>
  <c r="C29" i="12"/>
  <c r="E54" i="74"/>
  <c r="F54" i="74" s="1"/>
  <c r="E53" i="74"/>
  <c r="F53" i="74" s="1"/>
  <c r="F40" i="39"/>
  <c r="H40" i="39"/>
  <c r="J40" i="39"/>
  <c r="C50" i="74"/>
  <c r="C49" i="74"/>
  <c r="D30" i="6"/>
  <c r="H23" i="6"/>
  <c r="M27" i="6"/>
  <c r="S16" i="1"/>
  <c r="T13" i="1" s="1"/>
  <c r="H24" i="6"/>
  <c r="R24" i="6" s="1"/>
  <c r="H25" i="6"/>
  <c r="R25" i="6" s="1"/>
  <c r="D16" i="59"/>
  <c r="C15" i="59"/>
  <c r="C31" i="46"/>
  <c r="C30" i="46"/>
  <c r="B2" i="46" s="1"/>
  <c r="D4" i="46" s="1"/>
  <c r="I27" i="6"/>
  <c r="S19" i="6"/>
  <c r="S27" i="6" s="1"/>
  <c r="H19" i="6"/>
  <c r="R19" i="6" s="1"/>
  <c r="R26" i="6"/>
  <c r="F7" i="59"/>
  <c r="B8" i="59"/>
  <c r="E8" i="59"/>
  <c r="R21" i="6"/>
  <c r="D27" i="6"/>
  <c r="A20" i="64"/>
  <c r="A6" i="64"/>
  <c r="A20" i="51"/>
  <c r="B15" i="63" s="1"/>
  <c r="N5" i="54"/>
  <c r="B43" i="63" s="1"/>
  <c r="A6" i="51"/>
  <c r="B7" i="63" s="1"/>
  <c r="D6" i="66"/>
  <c r="D8" i="66"/>
  <c r="D7" i="66"/>
  <c r="D16" i="6"/>
  <c r="R23" i="6"/>
  <c r="R20" i="6"/>
  <c r="R6" i="1"/>
  <c r="C14" i="12"/>
  <c r="C17" i="12"/>
  <c r="I64" i="40"/>
  <c r="H66" i="40"/>
  <c r="H71" i="39"/>
  <c r="I69" i="39"/>
  <c r="N46" i="36"/>
  <c r="E3" i="67"/>
  <c r="B2" i="67"/>
  <c r="M21" i="15"/>
  <c r="F35" i="15"/>
  <c r="R8" i="1" l="1"/>
  <c r="T8" i="1"/>
  <c r="T11" i="1"/>
  <c r="R7" i="1"/>
  <c r="R13" i="1"/>
  <c r="R12" i="1"/>
  <c r="R10" i="1"/>
  <c r="R11" i="1"/>
  <c r="R9" i="1"/>
  <c r="AB40" i="39"/>
  <c r="U40" i="39"/>
  <c r="D31" i="6"/>
  <c r="I5" i="6" s="1"/>
  <c r="AA40" i="39"/>
  <c r="S40" i="39"/>
  <c r="B65" i="74"/>
  <c r="F65" i="74" s="1"/>
  <c r="B59" i="74"/>
  <c r="F59" i="74" s="1"/>
  <c r="B61" i="74"/>
  <c r="F61" i="74" s="1"/>
  <c r="B63" i="74"/>
  <c r="F63" i="74" s="1"/>
  <c r="B60" i="74"/>
  <c r="F60" i="74" s="1"/>
  <c r="B64" i="74"/>
  <c r="F64" i="74" s="1"/>
  <c r="B58" i="74"/>
  <c r="F58" i="74" s="1"/>
  <c r="B62" i="74"/>
  <c r="F62" i="74" s="1"/>
  <c r="B66" i="74"/>
  <c r="F66" i="74" s="1"/>
  <c r="AC40" i="39"/>
  <c r="W40" i="39"/>
  <c r="T6" i="1"/>
  <c r="T10" i="1"/>
  <c r="T7" i="1"/>
  <c r="T12" i="1"/>
  <c r="T9" i="1"/>
  <c r="D15" i="59"/>
  <c r="C14" i="59"/>
  <c r="B3" i="46"/>
  <c r="B4" i="46"/>
  <c r="J20" i="15"/>
  <c r="C34" i="15"/>
  <c r="R27" i="6"/>
  <c r="H27" i="6"/>
  <c r="E7" i="59"/>
  <c r="B7" i="59"/>
  <c r="F6" i="59"/>
  <c r="F62" i="15"/>
  <c r="C61" i="15" s="1"/>
  <c r="C18" i="12"/>
  <c r="C23" i="12" s="1"/>
  <c r="C35" i="12" s="1"/>
  <c r="C33" i="12" s="1"/>
  <c r="O46" i="36"/>
  <c r="J7" i="36" s="1"/>
  <c r="F7" i="36"/>
  <c r="H7" i="36"/>
  <c r="J64" i="40"/>
  <c r="I66" i="40"/>
  <c r="J69" i="39"/>
  <c r="I71" i="39"/>
  <c r="B3" i="67"/>
  <c r="B4" i="67"/>
  <c r="F37" i="44"/>
  <c r="M23" i="44"/>
  <c r="C13" i="75"/>
  <c r="C16" i="44"/>
  <c r="C13" i="43"/>
  <c r="C14" i="15"/>
  <c r="I6" i="6" l="1"/>
  <c r="R16" i="1"/>
  <c r="T16" i="1"/>
  <c r="C20" i="44"/>
  <c r="C17" i="44"/>
  <c r="C17" i="75"/>
  <c r="C14" i="75"/>
  <c r="J22" i="44"/>
  <c r="C36" i="44"/>
  <c r="F67" i="74"/>
  <c r="B2" i="74" s="1"/>
  <c r="C17" i="43"/>
  <c r="C14" i="43"/>
  <c r="C15" i="15"/>
  <c r="C18" i="15"/>
  <c r="C13" i="59"/>
  <c r="D14" i="59"/>
  <c r="F5" i="59"/>
  <c r="V5" i="59" s="1"/>
  <c r="B6" i="59"/>
  <c r="E6" i="59"/>
  <c r="K69" i="39"/>
  <c r="J71" i="39"/>
  <c r="U7" i="36"/>
  <c r="AB7" i="36"/>
  <c r="T36" i="36" s="1"/>
  <c r="G36" i="36" s="1"/>
  <c r="AC7" i="36"/>
  <c r="V36" i="36" s="1"/>
  <c r="I36" i="36" s="1"/>
  <c r="W7" i="36"/>
  <c r="J66" i="40"/>
  <c r="K64" i="40"/>
  <c r="S7" i="36"/>
  <c r="AA7" i="36"/>
  <c r="R36" i="36" s="1"/>
  <c r="C21" i="44" l="1"/>
  <c r="C22" i="44" s="1"/>
  <c r="C28" i="44" s="1"/>
  <c r="C18" i="75"/>
  <c r="C23" i="75" s="1"/>
  <c r="C35" i="75" s="1"/>
  <c r="C33" i="75" s="1"/>
  <c r="B4" i="74"/>
  <c r="B3" i="74"/>
  <c r="B5" i="74"/>
  <c r="C18" i="43"/>
  <c r="C19" i="43" s="1"/>
  <c r="C21" i="43" s="1"/>
  <c r="C19" i="15"/>
  <c r="C20" i="15" s="1"/>
  <c r="C26" i="15" s="1"/>
  <c r="C12" i="59"/>
  <c r="T13" i="59"/>
  <c r="D13" i="59"/>
  <c r="E5" i="59"/>
  <c r="U5" i="59" s="1"/>
  <c r="B5" i="59"/>
  <c r="R37" i="36"/>
  <c r="E36" i="36"/>
  <c r="I41" i="36" s="1"/>
  <c r="J41" i="36" s="1"/>
  <c r="K66" i="40"/>
  <c r="L64" i="40"/>
  <c r="G41" i="36"/>
  <c r="H41" i="36" s="1"/>
  <c r="G40" i="36"/>
  <c r="H40" i="36" s="1"/>
  <c r="I40" i="36"/>
  <c r="J40" i="36" s="1"/>
  <c r="L69" i="39"/>
  <c r="K71" i="39"/>
  <c r="C28" i="75" l="1"/>
  <c r="C26" i="75" s="1"/>
  <c r="C31" i="75" s="1"/>
  <c r="C30" i="75" s="1"/>
  <c r="C36" i="75" s="1"/>
  <c r="B2" i="75" s="1"/>
  <c r="C11" i="59"/>
  <c r="D12" i="59"/>
  <c r="S5" i="59"/>
  <c r="L71" i="39"/>
  <c r="M69" i="39"/>
  <c r="M64" i="40"/>
  <c r="L66" i="40"/>
  <c r="E40" i="36"/>
  <c r="F40" i="36" s="1"/>
  <c r="E41" i="36"/>
  <c r="F41" i="36" s="1"/>
  <c r="C37" i="36"/>
  <c r="B3" i="36" s="1"/>
  <c r="B2" i="36" s="1"/>
  <c r="C36" i="36"/>
  <c r="B3" i="75"/>
  <c r="B5" i="75"/>
  <c r="B4" i="75"/>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B5" i="39" l="1"/>
  <c r="B3" i="39"/>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D14" i="66" s="1"/>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D21" i="9"/>
  <c r="D20" i="9"/>
  <c r="B5" i="43"/>
  <c r="B5" i="66" l="1"/>
  <c r="F14" i="66"/>
  <c r="G20" i="9"/>
  <c r="E14" i="66" s="1"/>
  <c r="G21" i="9"/>
  <c r="C32" i="9"/>
  <c r="N43" i="9"/>
  <c r="G22" i="9"/>
  <c r="Q71" i="15"/>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B3" i="43"/>
  <c r="B4" i="43"/>
  <c r="D5" i="66" l="1"/>
  <c r="C5" i="66"/>
  <c r="O43" i="9"/>
  <c r="C42" i="9"/>
  <c r="O38" i="9"/>
  <c r="C33"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K26" i="9" l="1"/>
  <c r="K25" i="9"/>
  <c r="E42" i="9"/>
  <c r="P5" i="54" s="1"/>
  <c r="B46" i="63" s="1"/>
  <c r="M38" i="9"/>
  <c r="K27" i="9" s="1"/>
  <c r="C44" i="9"/>
  <c r="R5" i="54"/>
  <c r="B48" i="63" s="1"/>
  <c r="D63" i="9"/>
  <c r="N68" i="9"/>
  <c r="D42" i="9"/>
  <c r="Q5" i="54" s="1"/>
  <c r="B47" i="63" s="1"/>
  <c r="N38" i="9"/>
  <c r="K28" i="9" s="1"/>
  <c r="Q57" i="15"/>
  <c r="L57" i="15"/>
  <c r="L60" i="15" s="1"/>
  <c r="Q68" i="15"/>
  <c r="C46" i="15"/>
  <c r="Q66" i="15"/>
  <c r="J42" i="15"/>
  <c r="J43" i="15" s="1"/>
  <c r="C43" i="15"/>
  <c r="Q48" i="15"/>
  <c r="Q54" i="15" s="1"/>
  <c r="L52" i="44"/>
  <c r="L58" i="44" s="1"/>
  <c r="L61" i="44" s="1"/>
  <c r="L47" i="44" s="1"/>
  <c r="B3" i="44"/>
  <c r="B5" i="44"/>
  <c r="B4" i="44"/>
  <c r="D73" i="9" l="1"/>
  <c r="N73" i="9" s="1"/>
  <c r="C103" i="9"/>
  <c r="D70" i="9"/>
  <c r="D71" i="9"/>
  <c r="D66" i="9" s="1"/>
  <c r="N72" i="9" s="1"/>
  <c r="C111" i="9"/>
  <c r="C104" i="9" s="1"/>
  <c r="C96" i="9"/>
  <c r="C91" i="9" s="1"/>
  <c r="C90" i="9"/>
  <c r="C82" i="9"/>
  <c r="C81" i="9" s="1"/>
  <c r="C85" i="9" s="1"/>
  <c r="C86" i="9" s="1"/>
  <c r="D72" i="9" s="1"/>
  <c r="O39" i="9"/>
  <c r="N69" i="9"/>
  <c r="D44" i="9"/>
  <c r="F44" i="9"/>
  <c r="E44" i="9"/>
  <c r="Q67" i="15"/>
  <c r="Q76" i="15" s="1"/>
  <c r="L46" i="15"/>
  <c r="B2" i="15" s="1"/>
  <c r="B3" i="15" s="1"/>
  <c r="Q58" i="15"/>
  <c r="Q63" i="15" s="1"/>
  <c r="Q69" i="44"/>
  <c r="Q59" i="44"/>
  <c r="Q64" i="44" s="1"/>
  <c r="Q68" i="44"/>
  <c r="Q77" i="44" s="1"/>
  <c r="C97" i="9" l="1"/>
  <c r="C98" i="9"/>
  <c r="E98" i="9" s="1"/>
  <c r="E99" i="9" s="1"/>
  <c r="M87" i="9"/>
  <c r="N87" i="9" s="1"/>
  <c r="M88" i="9"/>
  <c r="N88" i="9" s="1"/>
  <c r="M86" i="9"/>
  <c r="N86" i="9" s="1"/>
  <c r="M85" i="9"/>
  <c r="N85" i="9" s="1"/>
  <c r="M84" i="9"/>
  <c r="N84" i="9" s="1"/>
  <c r="M83" i="9"/>
  <c r="N83" i="9" s="1"/>
  <c r="C113" i="9"/>
  <c r="R6" i="54"/>
  <c r="B50" i="63" s="1"/>
  <c r="K29" i="9"/>
  <c r="K30" i="9" s="1"/>
  <c r="C99" i="9" l="1"/>
  <c r="N89" i="9"/>
  <c r="O89" i="9" s="1"/>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E5554861-3A2E-4AA3-8342-963C23F9967D}">
      <text>
        <r>
          <rPr>
            <b/>
            <sz val="9"/>
            <color indexed="81"/>
            <rFont val="宋体"/>
            <family val="3"/>
            <charset val="134"/>
          </rPr>
          <t>权重验证</t>
        </r>
        <r>
          <rPr>
            <sz val="9"/>
            <color indexed="81"/>
            <rFont val="宋体"/>
            <family val="3"/>
            <charset val="134"/>
          </rPr>
          <t xml:space="preserve">
</t>
        </r>
      </text>
    </comment>
    <comment ref="C71" authorId="1" shapeId="0" xr:uid="{BE082E2B-21CF-44F9-887D-F6D76E149D06}">
      <text>
        <r>
          <rPr>
            <b/>
            <sz val="12"/>
            <color indexed="81"/>
            <rFont val="宋体"/>
            <family val="3"/>
            <charset val="134"/>
          </rPr>
          <t>价值时点所在季度</t>
        </r>
        <r>
          <rPr>
            <sz val="12"/>
            <color indexed="81"/>
            <rFont val="宋体"/>
            <family val="3"/>
            <charset val="134"/>
          </rPr>
          <t xml:space="preserve">
</t>
        </r>
      </text>
    </comment>
    <comment ref="B72" authorId="0" shapeId="0" xr:uid="{2AA139EE-C0DB-4404-8A5E-9146DA031C22}">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<sst xmlns="http://schemas.openxmlformats.org/spreadsheetml/2006/main" count="8106" uniqueCount="3532">
  <si>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</si>
  <si>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</si>
  <si>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</si>
  <si>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</si>
  <si>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</si>
  <si>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</si>
  <si>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</si>
  <si>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</si>
  <si>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</si>
  <si>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</si>
  <si>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</si>
  <si>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</si>
  <si>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</si>
  <si>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</si>
  <si>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</si>
  <si>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</si>
  <si>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</si>
  <si>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</si>
  <si>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</si>
  <si>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</si>
  <si>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</si>
  <si>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</si>
  <si>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</si>
  <si>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</si>
  <si>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</si>
  <si>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</si>
  <si>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</si>
  <si>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</si>
  <si>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</si>
  <si>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</si>
  <si>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</si>
  <si>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</si>
  <si>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</si>
  <si>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</si>
  <si>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</si>
  <si>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</si>
  <si>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</si>
  <si>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</si>
  <si>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</si>
  <si>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</si>
  <si>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</si>
  <si>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</si>
  <si>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</si>
  <si>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</si>
  <si>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</si>
  <si>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</si>
  <si>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</si>
  <si>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</si>
  <si>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</si>
  <si>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</si>
  <si>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</si>
  <si>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</si>
  <si>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</si>
  <si>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</si>
  <si>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</si>
  <si>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</si>
  <si>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</si>
  <si>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</si>
  <si>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</si>
  <si>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</si>
  <si>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</si>
  <si>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</si>
  <si>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</si>
  <si>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</si>
  <si>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</si>
  <si>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</si>
  <si>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</si>
  <si>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</si>
  <si>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</si>
  <si>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</si>
  <si>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</si>
  <si>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</si>
  <si>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</si>
  <si>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</si>
  <si>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</si>
  <si>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</si>
  <si>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</si>
  <si>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</si>
  <si>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</si>
  <si>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</si>
  <si>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</si>
  <si>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</si>
  <si>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</si>
  <si>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</si>
  <si>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</si>
  <si>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</si>
  <si>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</si>
  <si>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</si>
  <si>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</si>
  <si>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</si>
  <si>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</si>
  <si>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</si>
  <si>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</si>
  <si>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</si>
  <si>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</si>
  <si>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</si>
  <si>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</si>
  <si>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</si>
  <si>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</si>
  <si>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</si>
  <si>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</si>
  <si>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</si>
  <si>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</si>
  <si>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</si>
  <si>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</si>
  <si>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</si>
  <si>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</si>
  <si>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</si>
  <si>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</si>
  <si>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</si>
  <si>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</si>
  <si>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</si>
  <si>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</si>
  <si>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</si>
  <si>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</si>
  <si>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</si>
  <si>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</si>
  <si>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</si>
  <si>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</si>
  <si>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</si>
  <si>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</si>
  <si>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</si>
  <si>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</si>
  <si>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</si>
  <si>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</si>
  <si>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</si>
  <si>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</si>
  <si>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</si>
  <si>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</si>
  <si>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</si>
  <si>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</si>
  <si>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</si>
  <si>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</si>
  <si>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</si>
  <si>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</si>
  <si>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</si>
  <si>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</si>
  <si>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</si>
  <si>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</si>
  <si>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</si>
  <si>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</si>
  <si>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</si>
  <si>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</si>
  <si>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</si>
  <si>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</si>
  <si>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</si>
  <si>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</si>
  <si>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</si>
  <si>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</si>
  <si>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</si>
  <si>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</si>
  <si>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</si>
  <si>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</si>
  <si>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</si>
  <si>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</si>
  <si>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</si>
  <si>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</si>
  <si>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</si>
  <si>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</si>
  <si>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</si>
  <si>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</si>
  <si>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</si>
  <si>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</si>
  <si>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</si>
  <si>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</si>
  <si>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</si>
  <si>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</si>
  <si>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</si>
  <si>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</si>
  <si>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</si>
  <si>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</si>
  <si>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</si>
  <si>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</si>
  <si>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</si>
  <si>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</si>
  <si>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</si>
  <si>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</si>
  <si>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</si>
  <si>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</si>
  <si>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</si>
  <si>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</si>
  <si>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</si>
  <si>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</si>
  <si>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</si>
  <si>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</si>
  <si>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</si>
  <si>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</si>
  <si>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</si>
  <si>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</si>
  <si>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</si>
  <si>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</si>
  <si>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</si>
  <si>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</si>
  <si>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</si>
  <si>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</si>
  <si>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</si>
  <si>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</si>
  <si>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</si>
  <si>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</si>
  <si>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</si>
  <si>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</si>
  <si>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</si>
  <si>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</si>
  <si>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</si>
  <si>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</si>
  <si>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</si>
  <si>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</si>
  <si>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</si>
  <si>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</si>
  <si>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</si>
  <si>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</si>
  <si>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</si>
  <si>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</si>
  <si>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</si>
  <si>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</si>
  <si>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</si>
  <si>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</si>
  <si>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</si>
  <si>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</si>
  <si>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</si>
  <si>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</si>
  <si>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</si>
  <si>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</si>
  <si>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</si>
  <si>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</si>
  <si>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</si>
  <si>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</si>
  <si>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</si>
  <si>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</si>
  <si>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</si>
  <si>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</si>
  <si>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</si>
  <si>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</si>
  <si>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</si>
  <si>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</si>
  <si>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</si>
  <si>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</si>
  <si>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</si>
  <si>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</si>
  <si>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</si>
  <si>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</si>
  <si>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</si>
  <si>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</si>
  <si>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</si>
  <si>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</si>
  <si>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</si>
  <si>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</si>
  <si>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</si>
  <si>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</si>
  <si>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</si>
  <si>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</si>
  <si>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</si>
  <si>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</si>
  <si>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</si>
  <si>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</si>
  <si>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</si>
  <si>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</si>
  <si>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</si>
  <si>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</si>
  <si>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</si>
  <si>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</si>
  <si>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</si>
  <si>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</si>
  <si>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</si>
  <si>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</si>
  <si>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</si>
  <si>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</si>
  <si>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</si>
  <si>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</si>
  <si>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</si>
  <si>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</si>
  <si>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</si>
  <si>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</si>
  <si>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</si>
  <si>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</si>
  <si>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</si>
  <si>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</si>
  <si>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</si>
  <si>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</si>
  <si>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</si>
  <si>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</si>
  <si>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</si>
  <si>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</si>
  <si>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</si>
  <si>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</si>
  <si>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</si>
  <si>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</si>
  <si>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</si>
  <si>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</si>
  <si>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</si>
  <si>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</si>
  <si>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</si>
  <si>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</si>
  <si>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</si>
  <si>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</si>
  <si>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</si>
  <si>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</si>
  <si>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</si>
  <si>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</si>
  <si>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</si>
  <si>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</si>
  <si>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</si>
  <si>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</si>
  <si>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</si>
  <si>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</si>
  <si>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</si>
  <si>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</si>
  <si>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</si>
  <si>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</si>
  <si>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</si>
  <si>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</si>
  <si>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</si>
  <si>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</si>
  <si>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</si>
  <si>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</si>
  <si>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</si>
  <si>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</si>
  <si>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</si>
  <si>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</si>
  <si>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</si>
  <si>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</si>
  <si>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</si>
  <si>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</si>
  <si>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</si>
  <si>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</si>
  <si>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</si>
  <si>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</si>
  <si>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</si>
  <si>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</si>
  <si>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</si>
  <si>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</si>
  <si>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</si>
  <si>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</si>
  <si>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</si>
  <si>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</si>
  <si>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</si>
  <si>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</si>
  <si>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</si>
  <si>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</si>
  <si>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</si>
  <si>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</si>
  <si>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</si>
  <si>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</si>
  <si>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</si>
  <si>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</si>
  <si>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</si>
  <si>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</si>
  <si>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</si>
  <si>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</si>
  <si>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</si>
  <si>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</si>
  <si>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</si>
  <si>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</si>
  <si>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</si>
  <si>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</si>
  <si>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</si>
  <si>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</si>
  <si>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</si>
  <si>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</si>
  <si>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</si>
  <si>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</si>
  <si>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</si>
  <si>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</si>
  <si>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</si>
  <si>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</si>
  <si>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</si>
  <si>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</si>
  <si>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</si>
  <si>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</si>
  <si>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</si>
  <si>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</si>
  <si>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</si>
  <si>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</si>
  <si>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</si>
  <si>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</si>
  <si>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</si>
  <si>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</si>
  <si>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</si>
  <si>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</si>
  <si>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</si>
  <si>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</si>
  <si>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</si>
  <si>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</si>
  <si>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</si>
  <si>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</si>
  <si>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</si>
  <si>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</si>
  <si>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</si>
  <si>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</si>
  <si>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</si>
  <si>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</si>
  <si>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</si>
  <si>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</si>
  <si>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</si>
  <si>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</si>
  <si>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</si>
  <si>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</si>
  <si>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</si>
  <si>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</si>
  <si>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</si>
  <si>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</si>
  <si>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</si>
  <si>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</si>
  <si>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</si>
  <si>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</si>
  <si>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</si>
  <si>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</si>
  <si>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</si>
  <si>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</si>
  <si>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</si>
  <si>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</si>
  <si>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</si>
  <si>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</si>
  <si>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</si>
  <si>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</si>
  <si>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</si>
  <si>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</si>
  <si>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</si>
  <si>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</si>
  <si>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</si>
  <si>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</si>
  <si>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</si>
  <si>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</si>
  <si>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</si>
  <si>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</si>
  <si>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</si>
  <si>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</si>
  <si>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</si>
  <si>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</si>
  <si>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</si>
  <si>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</si>
  <si>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</si>
  <si>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</si>
  <si>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</si>
  <si>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</si>
  <si>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</si>
  <si>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</si>
  <si>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</si>
  <si>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</si>
  <si>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</si>
  <si>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</si>
  <si>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</si>
  <si>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</si>
  <si>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</si>
  <si>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</si>
  <si>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</si>
  <si>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</si>
  <si>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</si>
  <si>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</si>
  <si>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</si>
  <si>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</si>
  <si>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</si>
  <si>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</si>
  <si>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</si>
  <si>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</si>
  <si>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</si>
  <si>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</si>
  <si>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</si>
  <si>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</si>
  <si>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</si>
  <si>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</si>
  <si>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</si>
  <si>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</si>
  <si>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</si>
  <si>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</si>
  <si>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</si>
  <si>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</si>
  <si>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</si>
  <si>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</si>
  <si>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</si>
  <si>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</si>
  <si>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</si>
  <si>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</si>
  <si>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</si>
  <si>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</si>
  <si>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</si>
  <si>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</si>
  <si>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</si>
  <si>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</si>
  <si>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</si>
  <si>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</si>
  <si>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</si>
  <si>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</si>
  <si>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</si>
  <si>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</si>
  <si>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</si>
  <si>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</si>
  <si>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</si>
  <si>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</si>
  <si>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</si>
  <si>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</si>
  <si>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</si>
  <si>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</si>
  <si>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</si>
  <si>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</si>
  <si>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</si>
  <si>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</si>
  <si>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</si>
  <si>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</si>
  <si>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</si>
  <si>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</si>
  <si>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</si>
  <si>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</si>
  <si>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</si>
  <si>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</si>
  <si>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</si>
  <si>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</si>
  <si>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</si>
  <si>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</si>
  <si>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</si>
  <si>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</si>
  <si>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</si>
  <si>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</si>
  <si>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</si>
  <si>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</si>
  <si>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</si>
  <si>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</si>
  <si>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</si>
  <si>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</si>
  <si>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</si>
  <si>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</si>
  <si>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</si>
  <si>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</si>
  <si>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</si>
  <si>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</si>
  <si>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</si>
  <si>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</si>
  <si>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</si>
  <si>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</si>
  <si>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</si>
  <si>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</si>
  <si>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</si>
  <si>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</si>
  <si>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</si>
  <si>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</si>
  <si>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</si>
  <si>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</si>
  <si>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</si>
  <si>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</si>
  <si>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</si>
  <si>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</si>
  <si>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</si>
  <si>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</si>
  <si>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</si>
  <si>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</si>
  <si>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</si>
  <si>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</si>
  <si>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</si>
  <si>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</si>
  <si>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</si>
  <si>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</si>
  <si>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</si>
  <si>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</si>
  <si>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</si>
  <si>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</si>
  <si>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</si>
  <si>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</si>
  <si>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</si>
  <si>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</si>
  <si>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</si>
  <si>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</si>
  <si>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</si>
  <si>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</si>
  <si>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</si>
  <si>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</si>
  <si>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</si>
  <si>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</si>
  <si>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</si>
  <si>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</si>
  <si>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</si>
  <si>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</si>
  <si>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</si>
  <si>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</si>
  <si>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</si>
  <si>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</si>
  <si>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</si>
  <si>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</si>
  <si>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</si>
  <si>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</si>
  <si>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</si>
  <si>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</si>
  <si>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</si>
  <si>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</si>
  <si>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</si>
  <si>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</si>
  <si>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</si>
  <si>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</si>
  <si>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</si>
  <si>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</si>
  <si>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</si>
  <si>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</si>
  <si>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</si>
  <si>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</si>
  <si>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</si>
  <si>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</si>
  <si>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</si>
  <si>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</si>
  <si>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</si>
  <si>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</si>
  <si>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</si>
  <si>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</si>
  <si>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</si>
  <si>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</si>
  <si>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</si>
  <si>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</si>
  <si>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</si>
  <si>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</si>
  <si>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</si>
  <si>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</si>
  <si>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</si>
  <si>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</si>
  <si>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</si>
  <si>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</si>
  <si>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</si>
  <si>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</si>
  <si>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</si>
  <si>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</si>
  <si>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</si>
  <si>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</si>
  <si>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</si>
  <si>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</si>
  <si>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</si>
  <si>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</si>
  <si>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</si>
  <si>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</si>
  <si>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</si>
  <si>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</si>
  <si>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</si>
  <si>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</si>
  <si>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</si>
  <si>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</si>
  <si>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</si>
  <si>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</si>
  <si>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</si>
  <si>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</si>
  <si>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</si>
  <si>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</si>
  <si>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</si>
  <si>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</si>
  <si>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</si>
  <si>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</si>
  <si>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</si>
  <si>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</si>
  <si>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</si>
  <si>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</si>
  <si>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</si>
  <si>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</si>
  <si>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</si>
  <si>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</si>
  <si>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</si>
  <si>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</si>
  <si>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</si>
  <si>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</si>
  <si>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</si>
  <si>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</si>
  <si>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</si>
  <si>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</si>
  <si>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</si>
  <si>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</si>
  <si>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</si>
  <si>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</si>
  <si>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</si>
  <si>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</si>
  <si>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</si>
  <si>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</si>
  <si>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</si>
  <si>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</si>
  <si>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</si>
  <si>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</si>
  <si>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</si>
  <si>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</si>
  <si>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</si>
  <si>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</si>
  <si>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</si>
  <si>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</si>
  <si>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</si>
  <si>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</si>
  <si>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</si>
  <si>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</si>
  <si>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</si>
  <si>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</si>
  <si>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</si>
  <si>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</si>
  <si>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</si>
  <si>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</si>
  <si>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</si>
  <si>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</si>
  <si>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</si>
  <si>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</si>
  <si>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</si>
  <si>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</si>
  <si>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</si>
  <si>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</si>
  <si>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</si>
  <si>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</si>
  <si>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</si>
  <si>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</si>
  <si>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</si>
  <si>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</si>
  <si>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</si>
  <si>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</si>
  <si>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</si>
  <si>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</si>
  <si>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</si>
  <si>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</si>
  <si>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</si>
  <si>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</si>
  <si>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</si>
  <si>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</si>
  <si>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</si>
  <si>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</si>
  <si>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</si>
  <si>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</si>
  <si>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</si>
  <si>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</si>
  <si>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</si>
  <si>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</si>
  <si>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</si>
  <si>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</si>
  <si>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</si>
  <si>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</si>
  <si>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</si>
  <si>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</si>
  <si>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</si>
  <si>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</si>
  <si>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</si>
  <si>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</si>
  <si>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</si>
  <si>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</si>
  <si>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</si>
  <si>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</si>
  <si>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</si>
  <si>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</si>
  <si>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</si>
  <si>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</si>
  <si>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</si>
  <si>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</si>
  <si>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</si>
  <si>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</si>
  <si>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</si>
  <si>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</si>
  <si>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</si>
  <si>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</si>
  <si>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</si>
  <si>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</si>
  <si>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</si>
  <si>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</si>
  <si>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</si>
  <si>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</si>
  <si>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</si>
  <si>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</si>
  <si>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</si>
  <si>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</si>
  <si>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</si>
  <si>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</si>
  <si>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</si>
  <si>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</si>
  <si>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</si>
  <si>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</si>
  <si>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</si>
  <si>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</si>
  <si>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</si>
  <si>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</si>
  <si>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</si>
  <si>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</si>
  <si>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</si>
  <si>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</si>
  <si>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</si>
  <si>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</si>
  <si>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</si>
  <si>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</si>
  <si>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</si>
  <si>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</si>
  <si>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</si>
  <si>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</si>
  <si>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</si>
  <si>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</si>
  <si>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</si>
  <si>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</si>
  <si>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</si>
  <si>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</si>
  <si>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</si>
  <si>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</si>
  <si>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</si>
  <si>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</si>
  <si>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</si>
  <si>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</si>
  <si>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</si>
  <si>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</si>
  <si>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</si>
  <si>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</si>
  <si>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</si>
  <si>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</si>
  <si>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</si>
  <si>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</si>
  <si>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</si>
  <si>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</si>
  <si>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</si>
  <si>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</si>
  <si>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</si>
  <si>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</si>
  <si>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</si>
  <si>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</si>
  <si>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</si>
  <si>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</si>
  <si>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</si>
  <si>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</si>
  <si>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</si>
  <si>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</si>
  <si>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</si>
  <si>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</si>
  <si>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</si>
  <si>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</si>
  <si>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</si>
  <si>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</si>
  <si>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</si>
  <si>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</si>
  <si>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</si>
  <si>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</si>
  <si>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</si>
  <si>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</si>
  <si>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</si>
  <si>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</si>
  <si>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</si>
  <si>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</si>
  <si>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</si>
  <si>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</si>
  <si>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</si>
  <si>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</si>
  <si>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</si>
  <si>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</si>
  <si>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</si>
  <si>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</si>
  <si>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</si>
  <si>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</si>
  <si>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</si>
  <si>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</si>
  <si>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</si>
  <si>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</si>
  <si>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</si>
  <si>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</si>
  <si>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</si>
  <si>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</si>
  <si>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</si>
  <si>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</si>
  <si>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</si>
  <si>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</si>
  <si>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</si>
  <si>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</si>
  <si>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</si>
  <si>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</si>
  <si>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</si>
  <si>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</si>
  <si>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</si>
  <si>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</si>
  <si>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</si>
  <si>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</si>
  <si>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</si>
  <si>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</si>
  <si>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</si>
  <si>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</si>
  <si>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</si>
  <si>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</si>
  <si>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</si>
  <si>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</si>
  <si>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</si>
  <si>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</si>
  <si>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</si>
  <si>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</si>
  <si>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</si>
  <si>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</si>
  <si>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</si>
  <si>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</si>
  <si>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</si>
  <si>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</si>
  <si>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</si>
  <si>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</si>
  <si>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</si>
  <si>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</si>
  <si>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</si>
  <si>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</si>
  <si>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</si>
  <si>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</si>
  <si>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</si>
  <si>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</si>
  <si>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</si>
  <si>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</si>
  <si>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</si>
  <si>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</si>
  <si>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</si>
  <si>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</si>
  <si>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</si>
  <si>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</si>
  <si>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</si>
  <si>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</si>
  <si>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</si>
  <si>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</si>
  <si>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</si>
  <si>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</si>
  <si>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</si>
  <si>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</si>
  <si>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</si>
  <si>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</si>
  <si>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</si>
  <si>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</si>
  <si>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</si>
  <si>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</si>
  <si>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</si>
  <si>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</si>
  <si>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</si>
  <si>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</si>
  <si>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</si>
  <si>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</si>
  <si>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</si>
  <si>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</si>
  <si>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</si>
  <si>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</si>
  <si>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</si>
  <si>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</si>
  <si>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</si>
  <si>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</si>
  <si>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</si>
  <si>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</si>
  <si>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</si>
  <si>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</si>
  <si>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</si>
  <si>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</si>
  <si>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</si>
  <si>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</si>
  <si>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</si>
  <si>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</si>
  <si>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</si>
  <si>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</si>
  <si>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</si>
  <si>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</si>
  <si>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</si>
  <si>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</si>
  <si>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</si>
  <si>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</si>
  <si>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</si>
  <si>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</si>
  <si>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</si>
  <si>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</si>
  <si>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</si>
  <si>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</si>
  <si>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</si>
  <si>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</si>
  <si>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</si>
  <si>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</si>
  <si>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</si>
  <si>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</si>
  <si>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</si>
  <si>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</si>
  <si>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</si>
  <si>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</si>
  <si>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</si>
  <si>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</si>
  <si>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</si>
  <si>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</si>
  <si>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</si>
  <si>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</si>
  <si>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</si>
  <si>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</si>
  <si>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</si>
  <si>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</si>
  <si>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</si>
  <si>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</si>
  <si>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</si>
  <si>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</si>
  <si>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</si>
  <si>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</si>
  <si>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</si>
  <si>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</si>
  <si>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</si>
  <si>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</si>
  <si>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</si>
  <si>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</si>
  <si>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</si>
  <si>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</si>
  <si>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</si>
  <si>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</si>
  <si>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</si>
  <si>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</si>
  <si>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</si>
  <si>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</si>
  <si>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</si>
  <si>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</si>
  <si>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</si>
  <si>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</si>
  <si>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</si>
  <si>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</si>
  <si>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</si>
  <si>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</si>
  <si>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</si>
  <si>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</si>
  <si>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</si>
  <si>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</si>
  <si>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</si>
  <si>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</si>
  <si>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</si>
  <si>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</si>
  <si>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</si>
  <si>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</si>
  <si>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</si>
  <si>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</si>
  <si>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</si>
  <si>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</si>
  <si>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</si>
  <si>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</si>
  <si>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</si>
  <si>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</si>
  <si>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</si>
  <si>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</si>
  <si>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</si>
  <si>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</si>
  <si>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</si>
  <si>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</si>
  <si>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</si>
  <si>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</si>
  <si>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</si>
  <si>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</si>
  <si>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</si>
  <si>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</si>
  <si>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</si>
  <si>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</si>
  <si>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</si>
  <si>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</si>
  <si>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</si>
  <si>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</si>
  <si>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</si>
  <si>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</si>
  <si>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</si>
  <si>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</si>
  <si>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</si>
  <si>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</si>
  <si>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</si>
  <si>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</si>
  <si>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</si>
  <si>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</si>
  <si>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</si>
  <si>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</si>
  <si>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</si>
  <si>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</si>
  <si>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</si>
  <si>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</si>
  <si>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</si>
  <si>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</si>
  <si>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</si>
  <si>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</si>
  <si>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</si>
  <si>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</si>
  <si>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</si>
  <si>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</si>
  <si>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</si>
  <si>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</si>
  <si>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</si>
  <si>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</si>
  <si>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</si>
  <si>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</si>
  <si>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</si>
  <si>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</si>
  <si>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</si>
  <si>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</si>
  <si>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</si>
  <si>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</si>
  <si>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</si>
  <si>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</si>
  <si>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</si>
  <si>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</si>
  <si>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</si>
  <si>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</si>
  <si>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</si>
  <si>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</si>
  <si>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</si>
  <si>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</si>
  <si>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</si>
  <si>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</si>
  <si>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</si>
  <si>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</si>
  <si>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</si>
  <si>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</si>
  <si>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</si>
  <si>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</si>
  <si>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</si>
  <si>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</si>
  <si>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</si>
  <si>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</si>
  <si>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</si>
  <si>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</si>
  <si>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</si>
  <si>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</si>
  <si>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</si>
  <si>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</si>
  <si>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</si>
  <si>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</si>
  <si>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</si>
  <si>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</si>
  <si>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</si>
  <si>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</si>
  <si>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</si>
  <si>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</si>
  <si>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</si>
  <si>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</si>
  <si>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</si>
  <si>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</si>
  <si>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</si>
  <si>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</si>
  <si>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</si>
  <si>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</si>
  <si>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</si>
  <si>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</si>
  <si>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</si>
  <si>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</si>
  <si>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</si>
  <si>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</si>
  <si>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</si>
  <si>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</si>
  <si>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</si>
  <si>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</si>
  <si>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</si>
  <si>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</si>
  <si>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</si>
  <si>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</si>
  <si>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</si>
  <si>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</si>
  <si>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</si>
  <si>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</si>
  <si>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</si>
  <si>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</si>
  <si>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</si>
  <si>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</si>
  <si>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</si>
  <si>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</si>
  <si>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</si>
  <si>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</si>
  <si>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</si>
  <si>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</si>
  <si>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</si>
  <si>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</si>
  <si>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</si>
  <si>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</si>
  <si>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</si>
  <si>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</si>
  <si>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</si>
  <si>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</si>
  <si>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</si>
  <si>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</si>
  <si>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</si>
  <si>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</si>
  <si>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</si>
  <si>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</si>
  <si>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</si>
  <si>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</si>
  <si>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</si>
  <si>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</si>
  <si>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</si>
  <si>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</si>
  <si>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</si>
  <si>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</si>
  <si>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</si>
  <si>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</si>
  <si>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</si>
  <si>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</si>
  <si>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</si>
  <si>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</si>
  <si>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</si>
  <si>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</si>
  <si>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</si>
  <si>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</si>
  <si>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</si>
  <si>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</si>
  <si>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</si>
  <si>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</si>
  <si>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</si>
  <si>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</si>
  <si>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</si>
  <si>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</si>
  <si>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</si>
  <si>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</si>
  <si>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</si>
  <si>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</si>
  <si>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</si>
  <si>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</si>
  <si>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</si>
  <si>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</si>
  <si>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</si>
  <si>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</si>
  <si>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</si>
  <si>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</si>
  <si>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</si>
  <si>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</si>
  <si>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</si>
  <si>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</si>
  <si>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</si>
  <si>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</si>
  <si>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</si>
  <si>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</si>
  <si>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</si>
  <si>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</si>
  <si>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</si>
  <si>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</si>
  <si>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</si>
  <si>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</si>
  <si>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</si>
  <si>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</si>
  <si>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</si>
  <si>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</si>
  <si>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</si>
  <si>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</si>
  <si>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</si>
  <si>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</si>
  <si>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</si>
  <si>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</si>
  <si>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</si>
  <si>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</si>
  <si>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</si>
  <si>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</si>
  <si>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</si>
  <si>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</si>
  <si>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</si>
  <si>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</si>
  <si>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</si>
  <si>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</si>
  <si>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</si>
  <si>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</si>
  <si>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</si>
  <si>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</si>
  <si>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</si>
  <si>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</si>
  <si>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</si>
  <si>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</si>
  <si>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</si>
  <si>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</si>
  <si>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</si>
  <si>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</si>
  <si>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</si>
  <si>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</si>
  <si>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</si>
  <si>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</si>
  <si>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</si>
  <si>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</si>
  <si>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</si>
  <si>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</si>
  <si>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</si>
  <si>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</si>
  <si>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</si>
  <si>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</si>
  <si>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</si>
  <si>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</si>
  <si>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</si>
  <si>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</si>
  <si>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</si>
  <si>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</si>
  <si>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</si>
  <si>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</si>
  <si>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</si>
  <si>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</si>
  <si>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</si>
  <si>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</si>
  <si>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</si>
  <si>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</si>
  <si>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</si>
  <si>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</si>
  <si>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</si>
  <si>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</si>
  <si>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</si>
  <si>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</si>
  <si>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</si>
  <si>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</si>
  <si>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</si>
  <si>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</si>
  <si>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</si>
  <si>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</si>
  <si>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</si>
  <si>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</si>
  <si>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</si>
  <si>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</si>
  <si>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</si>
  <si>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</si>
  <si>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</si>
  <si>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</si>
  <si>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</si>
  <si>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</si>
  <si>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</si>
  <si>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</si>
  <si>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</si>
  <si>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</si>
  <si>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</si>
  <si>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</si>
  <si>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</si>
  <si>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</si>
  <si>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</si>
  <si>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</si>
  <si>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</si>
  <si>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</si>
  <si>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</si>
  <si>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</si>
  <si>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</si>
  <si>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</si>
  <si>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</si>
  <si>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</si>
  <si>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</si>
  <si>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</si>
  <si>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</si>
  <si>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</si>
  <si>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</si>
  <si>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</si>
  <si>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</si>
  <si>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</si>
  <si>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</si>
  <si>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</si>
  <si>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</si>
  <si>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</si>
  <si>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</si>
  <si>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</si>
  <si>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</si>
  <si>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</si>
  <si>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</si>
  <si>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</si>
  <si>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</si>
  <si>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</si>
  <si>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</si>
  <si>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</si>
  <si>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</si>
  <si>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</si>
  <si>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</si>
  <si>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</si>
  <si>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</si>
  <si>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</si>
  <si>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</si>
  <si>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</si>
  <si>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</si>
  <si>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</si>
  <si>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</si>
  <si>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</si>
  <si>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</si>
  <si>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</si>
  <si>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</si>
  <si>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</si>
  <si>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</si>
  <si>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</si>
  <si>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</si>
  <si>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</si>
  <si>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</si>
  <si>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</si>
  <si>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</si>
  <si>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</si>
  <si>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</si>
  <si>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</si>
  <si>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</si>
  <si>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</si>
  <si>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</si>
  <si>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</si>
  <si>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</si>
  <si>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</si>
  <si>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</si>
  <si>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</si>
  <si>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</si>
  <si>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</si>
  <si>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</si>
  <si>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</si>
  <si>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</si>
  <si>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</si>
  <si>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</si>
  <si>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</si>
  <si>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</si>
  <si>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</si>
  <si>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</si>
  <si>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</si>
  <si>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</si>
  <si>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</si>
  <si>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</si>
  <si>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</si>
  <si>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</si>
  <si>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</si>
  <si>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</si>
  <si>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</si>
  <si>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</si>
  <si>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</si>
  <si>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</si>
  <si>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</si>
  <si>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</si>
  <si>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</si>
  <si>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</si>
  <si>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</si>
  <si>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</si>
  <si>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</si>
  <si>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</si>
  <si>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</si>
  <si>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</si>
  <si>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</si>
  <si>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</si>
  <si>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</si>
  <si>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</si>
  <si>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</si>
  <si>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</si>
  <si>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</si>
  <si>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</si>
  <si>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</si>
  <si>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</si>
  <si>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</si>
  <si>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</si>
  <si>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</si>
  <si>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</si>
  <si>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</si>
  <si>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</si>
  <si>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</si>
  <si>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</si>
  <si>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</si>
  <si>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</si>
  <si>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</si>
  <si>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</si>
  <si>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</si>
  <si>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</si>
  <si>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</si>
  <si>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</si>
  <si>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</si>
  <si>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</si>
  <si>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</si>
  <si>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</si>
  <si>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</si>
  <si>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</si>
  <si>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</si>
  <si>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</si>
  <si>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</si>
  <si>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</si>
  <si>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</si>
  <si>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</si>
  <si>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</si>
  <si>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</si>
  <si>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</si>
  <si>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</si>
  <si>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</si>
  <si>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</si>
  <si>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</si>
  <si>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</si>
  <si>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</si>
  <si>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</si>
  <si>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</si>
  <si>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</si>
  <si>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</si>
  <si>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</si>
  <si>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</si>
  <si>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</si>
  <si>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</si>
  <si>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</si>
  <si>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</si>
  <si>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</si>
  <si>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</si>
  <si>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</si>
  <si>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</si>
  <si>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</si>
  <si>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</si>
  <si>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</si>
  <si>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</si>
  <si>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</si>
  <si>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</si>
  <si>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</si>
  <si>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</si>
  <si>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</si>
  <si>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</si>
  <si>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</si>
  <si>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</si>
  <si>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</si>
  <si>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</si>
  <si>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</si>
  <si>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</si>
  <si>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</si>
  <si>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</si>
  <si>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</si>
  <si>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</si>
  <si>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</si>
  <si>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</si>
  <si>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</si>
  <si>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</si>
  <si>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</si>
  <si>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</si>
  <si>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</si>
  <si>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</si>
  <si>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</si>
  <si>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</si>
  <si>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</si>
  <si>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</si>
  <si>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</si>
  <si>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</si>
  <si>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</si>
  <si>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</si>
  <si>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</si>
  <si>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</si>
  <si>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</si>
  <si>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</si>
  <si>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</si>
  <si>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</si>
  <si>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</si>
  <si>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</si>
  <si>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</si>
  <si>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</si>
  <si>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</si>
  <si>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</si>
  <si>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</si>
  <si>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</si>
  <si>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</si>
  <si>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</si>
  <si>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</si>
  <si>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</si>
  <si>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</si>
  <si>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</si>
  <si>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</si>
  <si>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</si>
  <si>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</si>
  <si>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</si>
  <si>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</si>
  <si>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</si>
  <si>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</si>
  <si>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</si>
  <si>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</si>
  <si>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</si>
  <si>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</si>
  <si>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</si>
  <si>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</si>
  <si>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</si>
  <si>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</si>
  <si>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</si>
  <si>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</si>
  <si>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</si>
  <si>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</si>
  <si>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</si>
  <si>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</si>
  <si>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</si>
  <si>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</si>
  <si>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</si>
  <si>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</si>
  <si>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</si>
  <si>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</si>
  <si>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</si>
  <si>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</si>
  <si>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</si>
  <si>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</si>
  <si>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</si>
  <si>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</si>
  <si>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</si>
  <si>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</si>
  <si>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</si>
  <si>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</si>
  <si>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</si>
  <si>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</si>
  <si>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</si>
  <si>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</si>
  <si>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</si>
  <si>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</si>
  <si>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</si>
  <si>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</si>
  <si>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</si>
  <si>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</si>
  <si>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</si>
  <si>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</si>
  <si>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</si>
  <si>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</si>
  <si>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</si>
  <si>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</si>
  <si>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</si>
  <si>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</si>
  <si>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</si>
  <si>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</si>
  <si>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</si>
  <si>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</si>
  <si>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</si>
  <si>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</si>
  <si>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</si>
  <si>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</si>
  <si>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</si>
  <si>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</si>
  <si>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</si>
  <si>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</si>
  <si>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</si>
  <si>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</si>
  <si>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</si>
  <si>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</si>
  <si>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</si>
  <si>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</si>
  <si>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</si>
  <si>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</si>
  <si>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</si>
  <si>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</si>
  <si>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</si>
  <si>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</si>
  <si>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</si>
  <si>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</si>
  <si>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</si>
  <si>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</si>
  <si>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</si>
  <si>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</si>
  <si>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</si>
  <si>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</si>
  <si>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</si>
  <si>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</si>
  <si>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</si>
  <si>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</si>
  <si>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</si>
  <si>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</si>
  <si>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</si>
  <si>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</si>
  <si>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</si>
  <si>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</si>
  <si>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</si>
  <si>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</si>
  <si>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</si>
  <si>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</si>
  <si>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</si>
  <si>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</si>
  <si>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</si>
  <si>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</si>
  <si>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</si>
  <si>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</si>
  <si>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</si>
  <si>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</si>
  <si>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</si>
  <si>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</si>
  <si>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</si>
  <si>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</si>
  <si>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</si>
  <si>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</si>
  <si>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</si>
  <si>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</si>
  <si>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</si>
  <si>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</si>
  <si>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</si>
  <si>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</si>
  <si>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</si>
  <si>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</si>
  <si>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</si>
  <si>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</si>
  <si>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</si>
  <si>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</si>
  <si>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</si>
  <si>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</si>
  <si>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</si>
  <si>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</si>
  <si>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</si>
  <si>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</si>
  <si>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</si>
  <si>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</si>
  <si>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</si>
  <si>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</si>
  <si>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</si>
  <si>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</si>
  <si>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</si>
  <si>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</si>
  <si>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</si>
  <si>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</si>
  <si>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</si>
  <si>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</si>
  <si>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</si>
  <si>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</si>
  <si>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</si>
  <si>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</si>
  <si>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</si>
  <si>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</si>
  <si>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</si>
  <si>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</si>
  <si>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</si>
  <si>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</si>
  <si>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</si>
  <si>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</si>
  <si>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</si>
  <si>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</si>
  <si>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</si>
  <si>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</si>
  <si>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</si>
  <si>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</si>
  <si>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</si>
  <si>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</si>
  <si>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</si>
  <si>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</si>
  <si>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</si>
  <si>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</si>
  <si>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</si>
  <si>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</si>
  <si>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</si>
  <si>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</si>
  <si>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</si>
  <si>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</si>
  <si>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</si>
  <si>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</si>
  <si>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</si>
  <si>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</si>
  <si>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</si>
  <si>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</si>
  <si>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</si>
  <si>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</si>
  <si>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</si>
  <si>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</si>
  <si>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</si>
  <si>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</si>
  <si>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</si>
  <si>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</si>
  <si>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</si>
  <si>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</si>
  <si>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</si>
  <si>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</si>
  <si>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</si>
  <si>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</si>
  <si>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</si>
  <si>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</si>
  <si>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</si>
  <si>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</si>
  <si>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</si>
  <si>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</si>
  <si>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</si>
  <si>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</si>
  <si>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</si>
  <si>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</si>
  <si>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</si>
  <si>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</si>
  <si>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</si>
  <si>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</si>
  <si>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</si>
  <si>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</si>
  <si>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</si>
  <si>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</si>
  <si>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</si>
  <si>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</si>
  <si>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</si>
  <si>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</si>
  <si>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</si>
  <si>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</si>
  <si>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</si>
  <si>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</si>
  <si>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</si>
  <si>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</si>
  <si>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</si>
  <si>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</si>
  <si>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</si>
  <si>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</si>
  <si>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</si>
  <si>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</si>
  <si>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</si>
  <si>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</si>
  <si>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</si>
  <si>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</si>
  <si>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</si>
  <si>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</si>
  <si>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</si>
  <si>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</si>
  <si>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</si>
  <si>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</si>
  <si>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</si>
  <si>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</si>
  <si>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</si>
  <si>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</si>
  <si>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</si>
  <si>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</si>
  <si>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</si>
  <si>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</si>
  <si>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</si>
  <si>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</si>
  <si>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</si>
  <si>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</si>
  <si>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</si>
  <si>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</si>
  <si>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</si>
  <si>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</si>
  <si>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</si>
  <si>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</si>
  <si>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</si>
  <si>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</si>
  <si>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</si>
  <si>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</si>
  <si>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</si>
  <si>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</si>
  <si>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</si>
  <si>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</si>
  <si>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</si>
  <si>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</si>
  <si>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</si>
  <si>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</si>
  <si>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</si>
  <si>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</si>
  <si>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</si>
  <si>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</si>
  <si>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</si>
  <si>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</si>
  <si>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</si>
  <si>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</si>
  <si>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</si>
  <si>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</si>
  <si>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</si>
  <si>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</si>
  <si>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</si>
  <si>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</si>
  <si>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</si>
  <si>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</si>
  <si>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</si>
  <si>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</si>
  <si>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</si>
  <si>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</si>
  <si>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</si>
  <si>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</si>
  <si>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</si>
  <si>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</si>
  <si>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</si>
  <si>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</si>
  <si>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</si>
  <si>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</si>
  <si>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</si>
  <si>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</si>
  <si>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</si>
  <si>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</si>
  <si>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</si>
  <si>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</si>
  <si>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</si>
  <si>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</si>
  <si>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</si>
  <si>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</si>
  <si>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</si>
  <si>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</si>
  <si>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</si>
  <si>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</si>
  <si>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</si>
  <si>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</si>
  <si>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</si>
  <si>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</si>
  <si>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</si>
  <si>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</si>
  <si>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</si>
  <si>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</si>
  <si>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</si>
  <si>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</si>
  <si>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</si>
  <si>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</si>
  <si>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</si>
  <si>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</si>
  <si>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</si>
  <si>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</si>
  <si>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</si>
  <si>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</si>
  <si>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</si>
  <si>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</si>
  <si>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</si>
  <si>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</si>
  <si>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</si>
  <si>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</si>
  <si>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</si>
  <si>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</si>
  <si>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</si>
  <si>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</si>
  <si>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</si>
  <si>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</si>
  <si>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</si>
  <si>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</si>
  <si>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</si>
  <si>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</si>
  <si>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</si>
  <si>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</si>
  <si>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</si>
  <si>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</si>
  <si>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</si>
  <si>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</si>
  <si>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</si>
  <si>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</si>
  <si>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</si>
  <si>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</si>
  <si>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</si>
  <si>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</si>
  <si>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</si>
  <si>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</si>
  <si>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</si>
  <si>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</si>
  <si>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</si>
  <si>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</si>
  <si>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</si>
  <si>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</si>
  <si>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</si>
  <si>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</si>
  <si>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</si>
  <si>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</si>
  <si>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</si>
  <si>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</si>
  <si>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</si>
  <si>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</si>
  <si>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</si>
  <si>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</si>
  <si>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</si>
  <si>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</si>
  <si>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</si>
  <si>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</si>
  <si>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</si>
  <si>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</si>
  <si>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</si>
  <si>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</si>
  <si>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</si>
  <si>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</si>
  <si>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</si>
  <si>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</si>
  <si>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</si>
  <si>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</si>
  <si>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</si>
  <si>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</si>
  <si>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</si>
  <si>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</si>
  <si>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</si>
  <si>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</si>
  <si>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</si>
  <si>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</si>
  <si>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</si>
  <si>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</si>
  <si>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</si>
  <si>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</si>
  <si>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</si>
  <si>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</si>
  <si>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</si>
  <si>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</si>
  <si>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</si>
  <si>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</si>
  <si>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</si>
  <si>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</si>
  <si>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</si>
  <si>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</si>
  <si>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</si>
  <si>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</si>
  <si>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</si>
  <si>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</si>
  <si>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</si>
  <si>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</si>
  <si>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</si>
  <si>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</si>
  <si>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</si>
  <si>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</si>
  <si>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</si>
  <si>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</si>
  <si>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</si>
  <si>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</si>
  <si>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</si>
  <si>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</si>
  <si>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</si>
  <si>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</si>
  <si>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</si>
  <si>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</si>
  <si>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</si>
  <si>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</si>
  <si>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</si>
  <si>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</si>
  <si>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</si>
  <si>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</si>
  <si>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</si>
  <si>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</si>
  <si>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</si>
  <si>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</si>
  <si>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</si>
  <si>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</si>
  <si>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</si>
  <si>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</si>
  <si>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</si>
  <si>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</si>
  <si>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</si>
  <si>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</si>
  <si>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</si>
  <si>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</si>
  <si>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</si>
  <si>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</si>
  <si>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</si>
  <si>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</si>
  <si>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</si>
  <si>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</si>
  <si>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</si>
  <si>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</si>
  <si>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</si>
  <si>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</si>
  <si>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</si>
  <si>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</si>
  <si>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</si>
  <si>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</si>
  <si>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</si>
  <si>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</si>
  <si>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</si>
  <si>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</si>
  <si>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</si>
  <si>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</si>
  <si>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</si>
  <si>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</si>
  <si>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</si>
  <si>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</si>
  <si>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</si>
  <si>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</si>
  <si>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</si>
  <si>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</si>
  <si>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</si>
  <si>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</si>
  <si>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</si>
  <si>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</si>
  <si>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</si>
  <si>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</si>
  <si>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</si>
  <si>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</si>
  <si>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</si>
  <si>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</si>
  <si>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</si>
  <si>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</si>
  <si>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</si>
  <si>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</si>
  <si>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</si>
  <si>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</si>
  <si>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</si>
  <si>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</si>
  <si>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</si>
  <si>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</si>
  <si>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</si>
  <si>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</si>
  <si>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</si>
  <si>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</si>
  <si>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</si>
  <si>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</si>
  <si>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</si>
  <si>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</si>
  <si>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</si>
  <si>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</si>
  <si>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</si>
  <si>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</si>
  <si>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</si>
  <si>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</si>
  <si>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</si>
  <si>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</si>
  <si>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</si>
  <si>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</si>
  <si>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</si>
  <si>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</si>
  <si>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</si>
  <si>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</si>
  <si>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</si>
  <si>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</si>
  <si>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</si>
  <si>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</si>
  <si>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</si>
  <si>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</si>
  <si>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</si>
  <si>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</si>
  <si>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</si>
  <si>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</si>
  <si>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</si>
  <si>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</si>
  <si>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</si>
  <si>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</si>
  <si>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</si>
  <si>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</si>
  <si>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</si>
  <si>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</si>
  <si>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</si>
  <si>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</si>
  <si>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</si>
  <si>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</si>
  <si>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</si>
  <si>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</si>
  <si>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</si>
  <si>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</si>
  <si>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</si>
  <si>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</si>
  <si>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</si>
  <si>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</si>
  <si>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</si>
  <si>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</si>
  <si>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</si>
  <si>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</si>
  <si>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</si>
  <si>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</si>
  <si>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</si>
  <si>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</si>
  <si>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</si>
  <si>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</si>
  <si>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</si>
  <si>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</si>
  <si>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</si>
  <si>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</si>
  <si>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</si>
  <si>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</si>
  <si>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</si>
  <si>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</si>
  <si>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</si>
  <si>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</si>
  <si>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</si>
  <si>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</si>
  <si>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</si>
  <si>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</si>
  <si>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</si>
  <si>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</si>
  <si>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</si>
  <si>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</si>
  <si>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</si>
  <si>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</si>
  <si>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</si>
  <si>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</si>
  <si>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</si>
  <si>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</si>
  <si>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</si>
  <si>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</si>
  <si>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</si>
  <si>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</si>
  <si>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</si>
  <si>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</si>
  <si>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</si>
  <si>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</si>
  <si>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</si>
  <si>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</si>
  <si>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</si>
  <si>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</si>
  <si>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</si>
  <si>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</si>
  <si>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</si>
  <si>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</si>
  <si>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</si>
  <si>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</si>
  <si>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</si>
  <si>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</si>
  <si>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</si>
  <si>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</si>
  <si>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</si>
  <si>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</si>
  <si>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</si>
  <si>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</si>
  <si>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</si>
  <si>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</si>
  <si>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</si>
  <si>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</si>
  <si>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</si>
  <si>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</si>
  <si>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</si>
  <si>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</si>
  <si>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</si>
  <si>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</si>
  <si>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</si>
  <si>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</si>
  <si>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</si>
  <si>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</si>
  <si>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</si>
  <si>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</si>
  <si>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</si>
  <si>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</si>
  <si>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</si>
  <si>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</si>
  <si>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</si>
  <si>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</si>
  <si>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</si>
  <si>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</si>
  <si>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</si>
  <si>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</si>
  <si>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</si>
  <si>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</si>
  <si>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</si>
  <si>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</si>
  <si>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</si>
  <si>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</si>
  <si>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</si>
  <si>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</si>
  <si>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</si>
  <si>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</si>
  <si>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</si>
  <si>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</si>
  <si>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</si>
  <si>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</si>
  <si>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</si>
  <si>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</si>
  <si>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</si>
  <si>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</si>
  <si>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</si>
  <si>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</si>
  <si>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</si>
  <si>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</si>
  <si>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</si>
  <si>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</si>
  <si>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</si>
  <si>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</si>
  <si>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</si>
  <si>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</si>
  <si>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</si>
  <si>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</si>
  <si>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</si>
  <si>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</si>
  <si>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</si>
  <si>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</si>
  <si>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</si>
  <si>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</si>
  <si>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</si>
  <si>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</si>
  <si>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</si>
  <si>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</si>
  <si>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</si>
  <si>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</si>
  <si>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</si>
  <si>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</si>
  <si>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</si>
  <si>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</si>
  <si>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</si>
  <si>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</si>
  <si>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</si>
  <si>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</si>
  <si>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</si>
  <si>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</si>
  <si>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</si>
  <si>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</si>
  <si>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</si>
  <si>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</si>
  <si>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</si>
  <si>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</si>
  <si>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</si>
  <si>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</si>
  <si>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</si>
  <si>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</si>
  <si>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</si>
  <si>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</si>
  <si>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</si>
  <si>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</si>
  <si>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</si>
  <si>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</si>
  <si>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</si>
  <si>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</si>
  <si>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</si>
  <si>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</si>
  <si>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</si>
  <si>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</si>
  <si>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</si>
  <si>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</si>
  <si>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</si>
  <si>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</si>
  <si>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</si>
  <si>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</si>
  <si>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</si>
  <si>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</si>
  <si>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</si>
  <si>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</si>
  <si>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</si>
  <si>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</si>
  <si>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</si>
  <si>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</si>
  <si>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</si>
  <si>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</si>
  <si>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</si>
  <si>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</si>
  <si>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</si>
  <si>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</si>
  <si>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</si>
  <si>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</si>
  <si>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</si>
  <si>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</si>
  <si>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</si>
  <si>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</si>
  <si>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</si>
  <si>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</si>
  <si>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</si>
  <si>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</si>
  <si>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</si>
  <si>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</si>
  <si>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</si>
  <si>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</si>
  <si>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</si>
  <si>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</si>
  <si>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</si>
  <si>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</si>
  <si>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</si>
  <si>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</si>
  <si>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</si>
  <si>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</si>
  <si>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</si>
  <si>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</si>
  <si>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</si>
  <si>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</si>
  <si>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</si>
  <si>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</si>
  <si>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</si>
  <si>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</si>
  <si>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</si>
  <si>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</si>
  <si>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</si>
  <si>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</si>
  <si>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</si>
  <si>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</si>
  <si>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</si>
  <si>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</si>
  <si>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</si>
  <si>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</si>
  <si>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</si>
  <si>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</si>
  <si>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</si>
  <si>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</si>
  <si>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</si>
  <si>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</si>
  <si>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</si>
  <si>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</si>
  <si>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</si>
  <si>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</si>
  <si>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</si>
  <si>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</si>
  <si>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</si>
  <si>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</si>
  <si>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</si>
  <si>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</si>
  <si>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</si>
  <si>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</si>
  <si>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</si>
  <si>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</si>
  <si>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</si>
  <si>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</si>
  <si>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</si>
  <si>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</si>
  <si>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</si>
  <si>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</si>
  <si>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</si>
  <si>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</si>
  <si>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</si>
  <si>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</si>
  <si>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</si>
  <si>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</si>
  <si>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</si>
  <si>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</si>
  <si>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</si>
  <si>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</si>
  <si>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</si>
  <si>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</si>
  <si>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</si>
  <si>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</si>
  <si>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</si>
  <si>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</si>
  <si>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</si>
  <si>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</si>
  <si>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</si>
  <si>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</si>
  <si>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</si>
  <si>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</si>
  <si>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</si>
  <si>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</si>
  <si>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</si>
  <si>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</si>
  <si>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</si>
  <si>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</si>
  <si>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</si>
  <si>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</si>
  <si>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</si>
  <si>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</si>
  <si>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</si>
  <si>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</si>
  <si>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</si>
  <si>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</si>
  <si>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</si>
  <si>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</si>
  <si>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</si>
  <si>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</si>
  <si>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</si>
  <si>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</si>
  <si>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</si>
  <si>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</si>
  <si>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</si>
  <si>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</si>
  <si>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</si>
  <si>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</si>
  <si>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</si>
  <si>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</si>
  <si>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</si>
  <si>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</si>
  <si>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</si>
  <si>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</si>
  <si>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</si>
  <si>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</si>
  <si>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</si>
  <si>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</si>
  <si>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</si>
  <si>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</si>
  <si>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</si>
  <si>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</si>
  <si>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</si>
  <si>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</si>
  <si>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</si>
  <si>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</si>
  <si>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</si>
  <si>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</si>
  <si>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</si>
  <si>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</si>
  <si>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</si>
  <si>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</si>
  <si>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</si>
  <si>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</si>
  <si>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</si>
  <si>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</si>
  <si>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</si>
  <si>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</si>
  <si>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</si>
  <si>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</si>
  <si>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</si>
  <si>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</si>
  <si>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</si>
  <si>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</si>
  <si>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</si>
  <si>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</si>
  <si>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</si>
  <si>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</si>
  <si>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</si>
  <si>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</si>
  <si>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</si>
  <si>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</si>
  <si>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</si>
  <si>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</si>
  <si>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</si>
  <si>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</si>
  <si>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</si>
  <si>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</si>
  <si>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</si>
  <si>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</si>
  <si>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</si>
  <si>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</si>
  <si>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</si>
  <si>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</si>
  <si>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</si>
  <si>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</si>
  <si>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</si>
  <si>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</si>
  <si>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</si>
  <si>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</si>
  <si>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</si>
  <si>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</si>
  <si>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</si>
  <si>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</si>
  <si>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</si>
  <si>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</si>
  <si>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</si>
  <si>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</si>
  <si>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</si>
  <si>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</si>
  <si>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</si>
  <si>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</si>
  <si>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</si>
  <si>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</si>
  <si>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</si>
  <si>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</si>
  <si>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</si>
  <si>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</si>
  <si>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</si>
  <si>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</si>
  <si>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</si>
  <si>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</si>
  <si>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</si>
  <si>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</si>
  <si>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</si>
  <si>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</si>
  <si>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</si>
  <si>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</si>
  <si>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</si>
  <si>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</si>
  <si>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</si>
  <si>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</si>
  <si>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</si>
  <si>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</si>
  <si>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</si>
  <si>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</si>
  <si>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</si>
  <si>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</si>
  <si>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</si>
  <si>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</si>
  <si>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</si>
  <si>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</si>
  <si>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</si>
  <si>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</si>
  <si>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</si>
  <si>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</si>
  <si>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</si>
  <si>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</si>
  <si>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</si>
  <si>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</si>
  <si>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</si>
  <si>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</si>
  <si>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</si>
  <si>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</si>
  <si>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</si>
  <si>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</si>
  <si>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</si>
  <si>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</si>
  <si>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</si>
  <si>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</si>
  <si>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</si>
  <si>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</si>
  <si>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</si>
  <si>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</si>
  <si>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</si>
  <si>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</si>
  <si>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</si>
  <si>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</si>
  <si>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</si>
  <si>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</si>
  <si>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</si>
  <si>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</si>
  <si>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</si>
  <si>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</si>
  <si>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</si>
  <si>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</si>
  <si>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</si>
  <si>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</si>
  <si>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</si>
  <si>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</si>
  <si>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</si>
  <si>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</si>
  <si>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</si>
  <si>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</si>
  <si>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</si>
  <si>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</si>
  <si>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</si>
  <si>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</si>
  <si>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</si>
  <si>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</si>
  <si>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</si>
  <si>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</si>
  <si>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</si>
  <si>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</si>
  <si>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</si>
  <si>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</si>
  <si>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</si>
  <si>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</si>
  <si>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</si>
  <si>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</si>
  <si>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</si>
  <si>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</si>
  <si>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</si>
  <si>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</si>
  <si>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</si>
  <si>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</si>
  <si>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</si>
  <si>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</si>
  <si>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</si>
  <si>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</si>
  <si>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</si>
  <si>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</si>
  <si>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</si>
  <si>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</si>
  <si>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</si>
  <si>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</si>
  <si>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</si>
  <si>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</si>
  <si>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</si>
  <si>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</si>
  <si>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</si>
  <si>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</si>
  <si>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</si>
  <si>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</si>
  <si>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</si>
  <si>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</si>
  <si>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</si>
  <si>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</si>
  <si>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</si>
  <si>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</si>
  <si>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</si>
  <si>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</si>
  <si>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</si>
  <si>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</si>
  <si>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</si>
  <si>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</si>
  <si>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</si>
  <si>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</si>
  <si>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</si>
  <si>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</si>
  <si>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</si>
  <si>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</si>
  <si>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</si>
  <si>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</si>
  <si>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</si>
  <si>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</si>
  <si>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</si>
  <si>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</si>
  <si>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</si>
  <si>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</si>
  <si>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</si>
  <si>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</si>
  <si>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</si>
  <si>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</si>
  <si>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</si>
  <si>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</si>
  <si>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</si>
  <si>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</si>
  <si>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</si>
  <si>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</si>
  <si>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</si>
  <si>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</si>
  <si>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</si>
  <si>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</si>
  <si>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</si>
  <si>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</si>
  <si>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</si>
  <si>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</si>
  <si>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</si>
  <si>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</si>
  <si>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</si>
  <si>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</si>
  <si>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</si>
  <si>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</si>
  <si>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</si>
  <si>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</si>
  <si>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</si>
  <si>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</si>
  <si>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</si>
  <si>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</si>
  <si>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</si>
  <si>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</si>
  <si>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</si>
  <si>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</si>
  <si>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</si>
  <si>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</si>
  <si>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</si>
  <si>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</si>
  <si>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</si>
  <si>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</si>
  <si>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</si>
  <si>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</si>
  <si>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</si>
  <si>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</si>
  <si>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</si>
  <si>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</si>
  <si>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</si>
  <si>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</si>
  <si>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</si>
  <si>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</si>
  <si>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</si>
  <si>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</si>
  <si>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</si>
  <si>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</si>
  <si>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</si>
  <si>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</si>
  <si>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</si>
  <si>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</si>
  <si>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</si>
  <si>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</si>
  <si>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</si>
  <si>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</si>
  <si>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</si>
  <si>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</si>
  <si>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</si>
  <si>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</si>
  <si>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</si>
  <si>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</si>
  <si>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</si>
  <si>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</si>
  <si>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</si>
  <si>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</si>
  <si>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</si>
  <si>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</si>
  <si>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</si>
  <si>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</si>
  <si>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</si>
  <si>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</si>
  <si>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</si>
  <si>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</si>
  <si>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</si>
  <si>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</si>
  <si>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</si>
  <si>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</si>
  <si>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</si>
  <si>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</si>
  <si>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</si>
  <si>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</si>
  <si>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</si>
  <si>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</si>
  <si>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</si>
  <si>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</si>
  <si>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</si>
  <si>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</si>
  <si>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</si>
  <si>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</si>
  <si>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</si>
  <si>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</si>
  <si>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</si>
  <si>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</si>
  <si>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</si>
  <si>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</si>
  <si>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</si>
  <si>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</si>
  <si>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</si>
  <si>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</si>
  <si>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</si>
  <si>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</si>
  <si>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</si>
  <si>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</si>
  <si>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</si>
  <si>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</si>
  <si>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</si>
  <si>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</si>
  <si>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</si>
  <si>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</si>
  <si>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</si>
  <si>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</si>
  <si>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</si>
  <si>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</si>
  <si>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</si>
  <si>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</si>
  <si>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</si>
  <si>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</si>
  <si>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</si>
  <si>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</si>
  <si>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</si>
  <si>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</si>
  <si>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</si>
  <si>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</si>
  <si>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</si>
  <si>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</si>
  <si>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</si>
  <si>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</si>
  <si>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</si>
  <si>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</si>
  <si>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</si>
  <si>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</si>
  <si>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</si>
  <si>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</si>
  <si>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</si>
  <si>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</si>
  <si>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</si>
  <si>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</si>
  <si>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</si>
  <si>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</si>
  <si>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</si>
  <si>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</si>
  <si>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</si>
  <si>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</si>
  <si>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</si>
  <si>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</si>
  <si>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</si>
  <si>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</si>
  <si>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</si>
  <si>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</si>
  <si>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</si>
  <si>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</si>
  <si>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</si>
  <si>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</si>
  <si>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</si>
  <si>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</si>
  <si>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</si>
  <si>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</si>
  <si>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</si>
  <si>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</si>
  <si>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</si>
  <si>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</si>
  <si>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</si>
  <si>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</si>
  <si>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</si>
  <si>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</si>
  <si>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</si>
  <si>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</si>
  <si>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</si>
  <si>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</si>
  <si>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</si>
  <si>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</si>
  <si>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</si>
  <si>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</si>
  <si>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</si>
  <si>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</si>
  <si>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</si>
  <si>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</si>
  <si>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</si>
  <si>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</si>
  <si>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</si>
  <si>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</si>
  <si>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</si>
  <si>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</si>
  <si>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</si>
  <si>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</si>
  <si>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</si>
  <si>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</si>
  <si>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</si>
  <si>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</si>
  <si>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</si>
  <si>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</si>
  <si>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</si>
  <si>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</si>
  <si>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</si>
  <si>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</si>
  <si>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</si>
  <si>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</si>
  <si>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</si>
  <si>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</si>
  <si>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</si>
  <si>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</si>
  <si>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</si>
  <si>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</si>
  <si>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</si>
  <si>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</si>
  <si>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</si>
  <si>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</si>
  <si>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</si>
  <si>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</si>
  <si>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</si>
  <si>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</si>
  <si>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</si>
  <si>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</si>
  <si>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</si>
  <si>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</si>
  <si>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</si>
  <si>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</si>
  <si>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</si>
  <si>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</si>
  <si>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</si>
  <si>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</si>
  <si>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</si>
  <si>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</si>
  <si>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</si>
  <si>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</si>
  <si>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</si>
  <si>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</si>
  <si>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</si>
  <si>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</si>
  <si>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</si>
  <si>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</si>
  <si>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</si>
  <si>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</si>
  <si>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</si>
  <si>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</si>
  <si>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</si>
  <si>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</si>
  <si>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</si>
  <si>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</si>
  <si>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</si>
  <si>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</si>
  <si>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</si>
  <si>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</si>
  <si>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</si>
  <si>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</si>
  <si>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</si>
  <si>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</si>
  <si>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</si>
  <si>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</si>
  <si>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</si>
  <si>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</si>
  <si>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</si>
  <si>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</si>
  <si>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</si>
  <si>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</si>
  <si>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</si>
  <si>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</si>
  <si>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</si>
  <si>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</si>
  <si>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</si>
  <si>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</si>
  <si>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</si>
  <si>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</si>
  <si>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</si>
  <si>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</si>
  <si>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</si>
  <si>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</si>
  <si>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</si>
  <si>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</si>
  <si>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</si>
  <si>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</si>
  <si>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</si>
  <si>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</si>
  <si>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</si>
  <si>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</si>
  <si>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</si>
  <si>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</si>
  <si>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</si>
  <si>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</si>
  <si>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</si>
  <si>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</si>
  <si>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</si>
  <si>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</si>
  <si>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</si>
  <si>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</si>
  <si>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</si>
  <si>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</si>
  <si>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</si>
  <si>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</si>
  <si>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</si>
  <si>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</si>
  <si>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</si>
  <si>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</si>
  <si>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</si>
  <si>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</si>
  <si>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</si>
  <si>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</si>
  <si>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</si>
  <si>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</si>
  <si>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</si>
  <si>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</si>
  <si>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</si>
  <si>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</si>
  <si>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</si>
  <si>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</si>
  <si>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</si>
  <si>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</si>
  <si>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</si>
  <si>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</si>
  <si>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</si>
  <si>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</si>
  <si>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</si>
  <si>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</si>
  <si>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</si>
  <si>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</si>
  <si>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</si>
  <si>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</si>
  <si>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</si>
  <si>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</si>
  <si>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</si>
  <si>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</si>
  <si>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</si>
  <si>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</si>
  <si>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</si>
  <si>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</si>
  <si>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</si>
  <si>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</si>
  <si>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</si>
  <si>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</si>
  <si>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</si>
  <si>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</si>
  <si>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</si>
  <si>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</si>
  <si>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</si>
  <si>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</si>
  <si>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</si>
  <si>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</si>
  <si>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</si>
  <si>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</si>
  <si>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</si>
  <si>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</si>
  <si>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</si>
  <si>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</si>
  <si>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</si>
  <si>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</si>
  <si>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</si>
  <si>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</si>
  <si>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</si>
  <si>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</si>
  <si>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</si>
  <si>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</si>
  <si>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</si>
  <si>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</si>
  <si>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</si>
  <si>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</si>
  <si>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</si>
  <si>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</si>
  <si>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</si>
  <si>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</si>
  <si>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</si>
  <si>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</si>
  <si>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</si>
  <si>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</si>
  <si>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</si>
  <si>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</si>
  <si>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</si>
  <si>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</si>
  <si>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</si>
  <si>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</si>
  <si>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</si>
  <si>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</si>
  <si>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</si>
  <si>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</si>
  <si>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</si>
  <si>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</si>
  <si>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</si>
  <si>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</si>
  <si>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</si>
  <si>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</si>
  <si>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</si>
  <si>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</si>
  <si>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</si>
  <si>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</si>
  <si>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</si>
  <si>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</si>
  <si>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</si>
  <si>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</si>
  <si>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</si>
  <si>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</si>
  <si>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</si>
  <si>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</si>
  <si>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</si>
  <si>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</si>
  <si>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</si>
  <si>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</si>
  <si>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</si>
  <si>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</si>
  <si>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</si>
  <si>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</si>
  <si>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</si>
  <si>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</si>
  <si>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</si>
  <si>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</si>
  <si>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</si>
  <si>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</si>
  <si>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</si>
  <si>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</si>
  <si>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</si>
  <si>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</si>
  <si>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</si>
  <si>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</si>
  <si>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</si>
  <si>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</si>
  <si>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</si>
  <si>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</si>
  <si>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</si>
  <si>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</si>
  <si>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</si>
  <si>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</si>
  <si>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</si>
  <si>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</si>
  <si>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</si>
  <si>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</si>
  <si>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</si>
  <si>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</si>
  <si>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</si>
  <si>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</si>
  <si>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</si>
  <si>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</si>
  <si>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</si>
  <si>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</si>
  <si>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</si>
  <si>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</si>
  <si>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</si>
  <si>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</si>
  <si>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</si>
  <si>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</si>
  <si>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</si>
  <si>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</si>
  <si>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</si>
  <si>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</si>
  <si>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</si>
  <si>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</si>
  <si>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</si>
  <si>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</si>
  <si>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</si>
  <si>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</si>
  <si>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</si>
  <si>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</si>
  <si>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</si>
  <si>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</si>
  <si>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</si>
  <si>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</si>
  <si>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</si>
  <si>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</si>
  <si>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</si>
  <si>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</si>
  <si>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</si>
  <si>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</si>
  <si>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</si>
  <si>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</si>
  <si>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</si>
  <si>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</si>
  <si>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</si>
  <si>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</si>
  <si>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</si>
  <si>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</si>
  <si>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</si>
  <si>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</si>
  <si>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</si>
  <si>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</si>
  <si>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</si>
  <si>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</si>
  <si>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</si>
  <si>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</si>
  <si>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</si>
  <si>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</si>
  <si>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</si>
  <si>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</si>
  <si>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</si>
  <si>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</si>
  <si>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</si>
  <si>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</si>
  <si>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</si>
  <si>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</si>
  <si>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</si>
  <si>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</si>
  <si>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</si>
  <si>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</si>
  <si>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</si>
  <si>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</si>
  <si>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</si>
  <si>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</si>
  <si>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</si>
  <si>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</si>
  <si>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</si>
  <si>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</si>
  <si>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</si>
  <si>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</si>
  <si>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</si>
  <si>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</si>
  <si>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</si>
  <si>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</si>
  <si>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</si>
  <si>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</si>
  <si>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</si>
  <si>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</si>
  <si>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</si>
  <si>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</si>
  <si>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</si>
  <si>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</si>
  <si>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</si>
  <si>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</si>
  <si>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</si>
  <si>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</si>
  <si>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</si>
  <si>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</si>
  <si>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</si>
  <si>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</si>
  <si>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</si>
  <si>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</si>
  <si>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</si>
  <si>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</si>
  <si>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</si>
  <si>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</si>
  <si>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</si>
  <si>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</si>
  <si>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</si>
  <si>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</si>
  <si>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</si>
  <si>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</si>
  <si>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</si>
  <si>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</si>
  <si>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</si>
  <si>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</si>
  <si>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</si>
  <si>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</si>
  <si>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</si>
  <si>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</si>
  <si>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</si>
  <si>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</si>
  <si>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</si>
  <si>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</si>
  <si>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</si>
  <si>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</si>
  <si>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</si>
  <si>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</si>
  <si>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</si>
  <si>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</si>
  <si>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</si>
  <si>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</si>
  <si>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</si>
  <si>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</si>
  <si>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</si>
  <si>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</si>
  <si>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</si>
  <si>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</si>
  <si>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</si>
  <si>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</si>
  <si>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</si>
  <si>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</si>
  <si>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</si>
  <si>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</si>
  <si>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</si>
  <si>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</si>
  <si>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</si>
  <si>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</si>
  <si>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</si>
  <si>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</si>
  <si>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</si>
  <si>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</si>
  <si>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</si>
  <si>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</si>
  <si>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</si>
  <si>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</si>
  <si>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</si>
  <si>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</si>
  <si>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</si>
  <si>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</si>
  <si>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</si>
  <si>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</si>
  <si>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</si>
  <si>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</si>
  <si>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</si>
  <si>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</si>
  <si>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</si>
  <si>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</si>
  <si>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</si>
  <si>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</si>
  <si>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</si>
  <si>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</si>
  <si>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</si>
  <si>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</si>
  <si>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</si>
  <si>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</si>
  <si>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</si>
  <si>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</si>
  <si>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</si>
  <si>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</si>
  <si>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</si>
  <si>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</si>
  <si>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</si>
  <si>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</si>
  <si>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</si>
  <si>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</si>
  <si>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</si>
  <si>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</si>
  <si>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</si>
  <si>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</si>
  <si>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</si>
  <si>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</si>
  <si>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</si>
  <si>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</si>
  <si>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</si>
  <si>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</si>
  <si>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</si>
  <si>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</si>
  <si>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</si>
  <si>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</si>
  <si>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</si>
  <si>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</si>
  <si>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</si>
  <si>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</si>
  <si>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</si>
  <si>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</si>
  <si>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</si>
  <si>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</si>
  <si>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</si>
  <si>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</si>
  <si>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</si>
  <si>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</si>
  <si>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</si>
  <si>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</si>
  <si>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</si>
  <si>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</si>
  <si>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</si>
  <si>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</si>
  <si>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</si>
  <si>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</si>
  <si>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</si>
  <si>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</si>
  <si>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</si>
  <si>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</si>
  <si>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</si>
  <si>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</si>
  <si>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</si>
  <si>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</si>
  <si>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</si>
  <si>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</si>
  <si>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</si>
  <si>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</si>
  <si>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</si>
  <si>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</si>
  <si>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</si>
  <si>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</si>
  <si>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</si>
  <si>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</si>
  <si>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</si>
  <si>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</si>
  <si>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</si>
  <si>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</si>
  <si>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</si>
  <si>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</si>
  <si>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</si>
  <si>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</si>
  <si>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</si>
  <si>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</si>
  <si>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</si>
  <si>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</si>
  <si>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</si>
  <si>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</si>
  <si>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</si>
  <si>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</si>
  <si>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</si>
  <si>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</si>
  <si>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</si>
  <si>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</si>
  <si>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</si>
  <si>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</si>
  <si>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</si>
  <si>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</si>
  <si>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</si>
  <si>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</si>
  <si>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</si>
  <si>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</si>
  <si>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</si>
  <si>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</si>
  <si>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</si>
  <si>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</si>
  <si>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</si>
  <si>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</si>
  <si>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</si>
  <si>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</si>
  <si>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</si>
  <si>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</si>
  <si>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</si>
  <si>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</si>
  <si>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</si>
  <si>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</si>
  <si>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</si>
  <si>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</si>
  <si>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</si>
  <si>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</si>
  <si>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</si>
  <si>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</si>
  <si>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</si>
  <si>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</si>
  <si>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</si>
  <si>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</si>
  <si>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</si>
  <si>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</si>
  <si>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</si>
  <si>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</si>
  <si>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</si>
  <si>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</si>
  <si>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</si>
  <si>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</si>
  <si>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</si>
  <si>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</si>
  <si>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</si>
  <si>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</si>
  <si>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</si>
  <si>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</si>
  <si>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</si>
  <si>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</si>
  <si>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</si>
  <si>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</si>
  <si>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</si>
  <si>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</si>
  <si>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</si>
  <si>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</si>
  <si>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</si>
  <si>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</si>
  <si>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</si>
  <si>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</si>
  <si>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</si>
  <si>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</si>
  <si>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</si>
  <si>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</si>
  <si>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</si>
  <si>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</si>
  <si>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</si>
  <si>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</si>
  <si>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抵押</t>
  </si>
  <si>
    <t>抵押价格</t>
  </si>
  <si>
    <t>其他：</t>
  </si>
  <si>
    <t>江苏省淮安市淮安区</t>
    <phoneticPr fontId="6" type="noConversion"/>
  </si>
  <si>
    <t>企业</t>
  </si>
  <si>
    <t>淮安高新置业有限公司</t>
  </si>
  <si>
    <t>淮安高新置业有限公司</t>
    <phoneticPr fontId="6" type="noConversion"/>
  </si>
  <si>
    <t>淮安生态文旅区站前路西侧、淮启路南侧</t>
    <phoneticPr fontId="6" type="noConversion"/>
  </si>
  <si>
    <t>是</t>
  </si>
  <si>
    <t>地上</t>
  </si>
  <si>
    <t>容积率</t>
    <phoneticPr fontId="224" type="noConversion"/>
  </si>
  <si>
    <t>建筑面积</t>
    <phoneticPr fontId="224" type="noConversion"/>
  </si>
  <si>
    <t>商业比例</t>
    <phoneticPr fontId="224" type="noConversion"/>
  </si>
  <si>
    <t>商业建筑面积</t>
    <phoneticPr fontId="224" type="noConversion"/>
  </si>
  <si>
    <t>住宅建筑面积</t>
    <phoneticPr fontId="224" type="noConversion"/>
  </si>
  <si>
    <t>建筑密度</t>
  </si>
  <si>
    <t>建筑密度</t>
    <phoneticPr fontId="224" type="noConversion"/>
  </si>
  <si>
    <t>绿地率</t>
    <phoneticPr fontId="224" type="noConversion"/>
  </si>
  <si>
    <t>限高</t>
    <phoneticPr fontId="224" type="noConversion"/>
  </si>
  <si>
    <r>
      <t>1</t>
    </r>
    <r>
      <rPr>
        <sz val="11"/>
        <color theme="1"/>
        <rFont val="宋体"/>
        <family val="3"/>
        <charset val="134"/>
        <scheme val="minor"/>
      </rPr>
      <t>00米</t>
    </r>
    <phoneticPr fontId="224" type="noConversion"/>
  </si>
  <si>
    <t>住宅</t>
    <phoneticPr fontId="3" type="noConversion"/>
  </si>
  <si>
    <t>不动产收益法</t>
  </si>
  <si>
    <t>http://www.huaian.gov.cn/col/4122_231438/art/16277472/1629872222294xbf7PuIu.html</t>
  </si>
  <si>
    <r>
      <rPr>
        <sz val="11"/>
        <color indexed="8"/>
        <rFont val="宋体"/>
        <family val="3"/>
        <charset val="134"/>
      </rPr>
      <t>市政府关于印发淮安市本级城市基础设施配套费征收管理办法的通知
淮政规〔</t>
    </r>
    <r>
      <rPr>
        <sz val="11"/>
        <color indexed="8"/>
        <rFont val="Arial"/>
        <family val="2"/>
      </rPr>
      <t>2021</t>
    </r>
    <r>
      <rPr>
        <sz val="11"/>
        <color indexed="8"/>
        <rFont val="宋体"/>
        <family val="3"/>
        <charset val="134"/>
      </rPr>
      <t>〕</t>
    </r>
    <r>
      <rPr>
        <sz val="11"/>
        <color indexed="8"/>
        <rFont val="Arial"/>
        <family val="2"/>
      </rPr>
      <t>3</t>
    </r>
    <r>
      <rPr>
        <sz val="11"/>
        <color indexed="8"/>
        <rFont val="宋体"/>
        <family val="3"/>
        <charset val="134"/>
      </rPr>
      <t>号</t>
    </r>
    <phoneticPr fontId="3" type="noConversion"/>
  </si>
  <si>
    <t>https://jiangsu.chinatax.gov.cn/art/2019/3/15/art_9566_246651.html</t>
  </si>
  <si>
    <r>
      <rPr>
        <sz val="11"/>
        <color indexed="8"/>
        <rFont val="宋体"/>
        <family val="3"/>
        <charset val="134"/>
      </rPr>
      <t>市政府关于调整城镇土地使用税税额标准的通告</t>
    </r>
    <r>
      <rPr>
        <sz val="11"/>
        <color indexed="8"/>
        <rFont val="Arial"/>
        <family val="2"/>
      </rPr>
      <t xml:space="preserve">  </t>
    </r>
    <r>
      <rPr>
        <sz val="11"/>
        <color indexed="8"/>
        <rFont val="宋体"/>
        <family val="3"/>
        <charset val="134"/>
      </rPr>
      <t>淮政发〔</t>
    </r>
    <r>
      <rPr>
        <sz val="11"/>
        <color indexed="8"/>
        <rFont val="Arial"/>
        <family val="2"/>
      </rPr>
      <t>2019</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</si>
  <si>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地块名称</t>
  </si>
  <si>
    <t>省份</t>
  </si>
  <si>
    <t>城市</t>
  </si>
  <si>
    <t>区县</t>
  </si>
  <si>
    <t>板块</t>
  </si>
  <si>
    <t>公告编号</t>
  </si>
  <si>
    <t>地块编号</t>
  </si>
  <si>
    <t>土地位置</t>
  </si>
  <si>
    <t>建设用地面积(㎡)</t>
  </si>
  <si>
    <t>规划建筑面积(㎡)</t>
  </si>
  <si>
    <t>容积率上限</t>
  </si>
  <si>
    <t>推出保障房面积(㎡)</t>
  </si>
  <si>
    <t>成交保障房面积(㎡)</t>
  </si>
  <si>
    <t>推出自住房面积(㎡)</t>
  </si>
  <si>
    <t>成交自住房面积(㎡)</t>
  </si>
  <si>
    <t>用地性质</t>
  </si>
  <si>
    <t>详细规划</t>
  </si>
  <si>
    <t>建设用地分类</t>
  </si>
  <si>
    <t>出让年限(年)</t>
  </si>
  <si>
    <t>商业比例(%)</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</si>
  <si>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</si>
  <si>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</si>
  <si>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</si>
  <si>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</si>
  <si>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</si>
  <si>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</si>
  <si>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</si>
  <si>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</si>
  <si>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</si>
  <si>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</si>
  <si>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</si>
  <si>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</si>
  <si>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</si>
  <si>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</si>
  <si>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</si>
  <si>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</si>
  <si>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</si>
  <si>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</si>
  <si>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</si>
  <si>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</si>
  <si>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</si>
  <si>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</si>
  <si>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</si>
  <si>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</si>
  <si>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</si>
  <si>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</si>
  <si>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</si>
  <si>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</si>
  <si>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</si>
  <si>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</si>
  <si>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</si>
  <si>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</si>
  <si>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</si>
  <si>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</si>
  <si>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</si>
  <si>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</si>
  <si>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</si>
  <si>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</si>
  <si>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</si>
  <si>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</si>
  <si>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</si>
  <si>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</si>
  <si>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</si>
  <si>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生态文旅区G15地块</t>
  </si>
  <si>
    <t>江苏省</t>
  </si>
  <si>
    <t>淮安市</t>
  </si>
  <si>
    <t>淮安区</t>
  </si>
  <si>
    <t>高铁新城</t>
  </si>
  <si>
    <t>淮自然资公告[2024]11号</t>
  </si>
  <si>
    <t>生态文旅区站前路东侧、淮兴路南侧</t>
  </si>
  <si>
    <t>住宅用地</t>
  </si>
  <si>
    <t>普通商品住房用地</t>
  </si>
  <si>
    <t>R居住用地</t>
  </si>
  <si>
    <t>70年</t>
  </si>
  <si>
    <t>≥1,≤2.9</t>
  </si>
  <si>
    <t>≤22%</t>
  </si>
  <si>
    <t>≤75</t>
  </si>
  <si>
    <t>挂牌</t>
  </si>
  <si>
    <t/>
  </si>
  <si>
    <t>2024-09-09</t>
  </si>
  <si>
    <t>2024-09-29</t>
  </si>
  <si>
    <t>2024-10-12</t>
  </si>
  <si>
    <t>已成交</t>
  </si>
  <si>
    <t>已开工</t>
  </si>
  <si>
    <t>淮安高新控股</t>
  </si>
  <si>
    <t>地方国有企业</t>
  </si>
  <si>
    <t>城投企业</t>
  </si>
  <si>
    <t>2024-10-10 17:00</t>
  </si>
  <si>
    <t>淮安区国际商城东侧地块</t>
  </si>
  <si>
    <t>淮安区新城区</t>
  </si>
  <si>
    <t>淮自然资公告[2024]5号</t>
  </si>
  <si>
    <t>淮安区翔宇大道南侧、城西北路西侧</t>
    <phoneticPr fontId="224" type="noConversion"/>
  </si>
  <si>
    <t>综合用地(含住宅)</t>
  </si>
  <si>
    <t>≥1,≤2.5</t>
  </si>
  <si>
    <t>≤30%</t>
  </si>
  <si>
    <t>≤100</t>
  </si>
  <si>
    <t>2024-07-22</t>
  </si>
  <si>
    <t>2024-08-12</t>
  </si>
  <si>
    <t>2024-08-21</t>
  </si>
  <si>
    <t>淮安市淮安区经济适用房开发有限公司</t>
  </si>
  <si>
    <t>淮安宏信国资管理</t>
  </si>
  <si>
    <t>2024-08-19 17:00</t>
  </si>
  <si>
    <t>否</t>
  </si>
  <si>
    <t>生态文旅区龙江路北侧地块</t>
  </si>
  <si>
    <t>生态新城河西</t>
  </si>
  <si>
    <t>淮自然资公告[2023]40号</t>
  </si>
  <si>
    <t>生态文旅区万瑞路西侧、龙江路北侧</t>
  </si>
  <si>
    <t>商住用地20%≤商业建筑面积≤25%</t>
  </si>
  <si>
    <t>70年、40年</t>
  </si>
  <si>
    <t>≥1,≤2.2</t>
  </si>
  <si>
    <t>≤40%</t>
  </si>
  <si>
    <t>≤110</t>
  </si>
  <si>
    <t>2023-10-27</t>
  </si>
  <si>
    <t>2023-11-16</t>
  </si>
  <si>
    <t>2023-11-25</t>
  </si>
  <si>
    <t>淮安生态新城置业有限公司</t>
  </si>
  <si>
    <t>淮安新城</t>
  </si>
  <si>
    <t>2023-11-23 17:00</t>
  </si>
  <si>
    <t>正常</t>
  </si>
  <si>
    <t>住宅综合</t>
  </si>
  <si>
    <t>住宅综合</t>
    <phoneticPr fontId="26" type="noConversion"/>
  </si>
  <si>
    <t>住宅</t>
    <phoneticPr fontId="26" type="noConversion"/>
  </si>
  <si>
    <t>70</t>
    <phoneticPr fontId="26" type="noConversion"/>
  </si>
  <si>
    <t>5%</t>
    <phoneticPr fontId="26" type="noConversion"/>
  </si>
  <si>
    <t>20%</t>
    <phoneticPr fontId="26" type="noConversion"/>
  </si>
  <si>
    <t>楼面地价</t>
  </si>
  <si>
    <t>七通</t>
  </si>
  <si>
    <t>六通</t>
  </si>
  <si>
    <t>五通</t>
  </si>
  <si>
    <t>四通</t>
  </si>
  <si>
    <t>三通</t>
  </si>
  <si>
    <t>规则</t>
    <phoneticPr fontId="26" type="noConversion"/>
  </si>
  <si>
    <t>较规则</t>
  </si>
  <si>
    <t>较规则</t>
    <phoneticPr fontId="26" type="noConversion"/>
  </si>
  <si>
    <t>较不规则</t>
  </si>
  <si>
    <t>较不规则</t>
    <phoneticPr fontId="26" type="noConversion"/>
  </si>
  <si>
    <t>不规则</t>
    <phoneticPr fontId="26" type="noConversion"/>
  </si>
  <si>
    <t>较好</t>
  </si>
  <si>
    <t>较好</t>
    <phoneticPr fontId="26" type="noConversion"/>
  </si>
  <si>
    <t>淮自然(新)挂2024第1号</t>
    <phoneticPr fontId="224" type="noConversion"/>
  </si>
  <si>
    <t>淮自然(安)挂2024第3号</t>
    <phoneticPr fontId="224" type="noConversion"/>
  </si>
  <si>
    <t>淮自然(新)挂2023第1号</t>
    <phoneticPr fontId="224" type="noConversion"/>
  </si>
  <si>
    <t>较差</t>
  </si>
  <si>
    <t>一般</t>
  </si>
  <si>
    <t>翔宇大道</t>
    <phoneticPr fontId="26" type="noConversion"/>
  </si>
  <si>
    <t>枚皋路</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</si>
  <si>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</si>
  <si>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</si>
  <si>
    <t>主干道</t>
    <phoneticPr fontId="26" type="noConversion"/>
  </si>
  <si>
    <t>次干道</t>
    <phoneticPr fontId="26" type="noConversion"/>
  </si>
  <si>
    <t>支路</t>
  </si>
  <si>
    <t>支路</t>
    <phoneticPr fontId="26" type="noConversion"/>
  </si>
  <si>
    <t>东站高架</t>
    <phoneticPr fontId="26" type="noConversion"/>
  </si>
  <si>
    <t>押一</t>
  </si>
  <si>
    <t>钢混</t>
  </si>
  <si>
    <t>售价</t>
  </si>
  <si>
    <t>住宅</t>
    <phoneticPr fontId="21" type="noConversion"/>
  </si>
  <si>
    <t>港龙·东望府</t>
    <phoneticPr fontId="21" type="noConversion"/>
  </si>
  <si>
    <t>中奥天樾府</t>
    <phoneticPr fontId="21" type="noConversion"/>
  </si>
  <si>
    <t>文锦城·翰林府</t>
    <phoneticPr fontId="21" type="noConversion"/>
  </si>
  <si>
    <t>淮盛路</t>
    <phoneticPr fontId="224" type="noConversion"/>
  </si>
  <si>
    <t>商业占比</t>
    <phoneticPr fontId="26" type="noConversion"/>
  </si>
  <si>
    <r>
      <t>0</t>
    </r>
    <r>
      <rPr>
        <sz val="11"/>
        <color indexed="8"/>
        <rFont val="宋体"/>
        <family val="3"/>
        <charset val="134"/>
      </rPr>
      <t>（含）</t>
    </r>
    <r>
      <rPr>
        <sz val="11"/>
        <color indexed="8"/>
        <rFont val="Arial"/>
        <family val="2"/>
      </rPr>
      <t>-10%</t>
    </r>
    <phoneticPr fontId="26" type="noConversion"/>
  </si>
  <si>
    <r>
      <t>10</t>
    </r>
    <r>
      <rPr>
        <sz val="11"/>
        <color indexed="8"/>
        <rFont val="宋体"/>
        <family val="3"/>
        <charset val="134"/>
      </rPr>
      <t>（含）</t>
    </r>
    <r>
      <rPr>
        <sz val="11"/>
        <color indexed="8"/>
        <rFont val="Arial"/>
        <family val="2"/>
      </rPr>
      <t>-20%</t>
    </r>
    <phoneticPr fontId="26" type="noConversion"/>
  </si>
  <si>
    <r>
      <t>20</t>
    </r>
    <r>
      <rPr>
        <sz val="11"/>
        <color indexed="8"/>
        <rFont val="宋体"/>
        <family val="3"/>
        <charset val="134"/>
      </rPr>
      <t>（含）</t>
    </r>
    <r>
      <rPr>
        <sz val="11"/>
        <color indexed="8"/>
        <rFont val="Arial"/>
        <family val="2"/>
      </rPr>
      <t>-30%</t>
    </r>
    <phoneticPr fontId="26" type="noConversion"/>
  </si>
  <si>
    <t>住宅</t>
    <phoneticPr fontId="26" type="noConversion"/>
  </si>
  <si>
    <t>商业</t>
    <phoneticPr fontId="26" type="noConversion"/>
  </si>
  <si>
    <t>商业面积占比</t>
    <phoneticPr fontId="224" type="noConversion"/>
  </si>
  <si>
    <t>住宅</t>
    <phoneticPr fontId="224" type="noConversion"/>
  </si>
  <si>
    <t>商业</t>
    <phoneticPr fontId="224" type="noConversion"/>
  </si>
  <si>
    <t>合计</t>
    <phoneticPr fontId="224" type="noConversion"/>
  </si>
  <si>
    <t>面积</t>
    <phoneticPr fontId="224" type="noConversion"/>
  </si>
  <si>
    <t>单价</t>
  </si>
  <si>
    <r>
      <t>30</t>
    </r>
    <r>
      <rPr>
        <sz val="11"/>
        <color indexed="8"/>
        <rFont val="宋体"/>
        <family val="3"/>
        <charset val="134"/>
      </rPr>
      <t>（含）</t>
    </r>
    <r>
      <rPr>
        <sz val="11"/>
        <color indexed="8"/>
        <rFont val="Arial"/>
        <family val="2"/>
      </rPr>
      <t>-40%</t>
    </r>
    <phoneticPr fontId="26" type="noConversion"/>
  </si>
  <si>
    <t>商业面积占比</t>
    <phoneticPr fontId="224" type="noConversion"/>
  </si>
  <si>
    <r>
      <t>0</t>
    </r>
    <r>
      <rPr>
        <sz val="11"/>
        <rFont val="宋体"/>
        <family val="3"/>
        <charset val="134"/>
      </rPr>
      <t>（含）</t>
    </r>
    <r>
      <rPr>
        <sz val="11"/>
        <rFont val="Arial"/>
        <family val="2"/>
      </rPr>
      <t>-10%</t>
    </r>
    <phoneticPr fontId="224" type="noConversion"/>
  </si>
  <si>
    <r>
      <t>10</t>
    </r>
    <r>
      <rPr>
        <sz val="11"/>
        <rFont val="宋体"/>
        <family val="3"/>
        <charset val="134"/>
      </rPr>
      <t>（含）</t>
    </r>
    <r>
      <rPr>
        <sz val="11"/>
        <rFont val="Arial"/>
        <family val="2"/>
      </rPr>
      <t>-20%</t>
    </r>
    <phoneticPr fontId="224" type="noConversion"/>
  </si>
  <si>
    <r>
      <t>20</t>
    </r>
    <r>
      <rPr>
        <sz val="11"/>
        <rFont val="宋体"/>
        <family val="3"/>
        <charset val="134"/>
      </rPr>
      <t>（含）</t>
    </r>
    <r>
      <rPr>
        <sz val="11"/>
        <rFont val="Arial"/>
        <family val="2"/>
      </rPr>
      <t>-30%</t>
    </r>
    <phoneticPr fontId="26" type="noConversion"/>
  </si>
  <si>
    <t>总价</t>
    <phoneticPr fontId="224" type="noConversion"/>
  </si>
  <si>
    <t>土地面积</t>
    <phoneticPr fontId="224" type="noConversion"/>
  </si>
  <si>
    <t>容积率</t>
    <phoneticPr fontId="224" type="noConversion"/>
  </si>
  <si>
    <t>建筑面积</t>
    <phoneticPr fontId="224" type="noConversion"/>
  </si>
  <si>
    <r>
      <t>5</t>
    </r>
    <r>
      <rPr>
        <sz val="11"/>
        <color theme="1"/>
        <rFont val="宋体"/>
        <family val="3"/>
        <charset val="134"/>
        <scheme val="minor"/>
      </rPr>
      <t>4米</t>
    </r>
    <phoneticPr fontId="224" type="noConversion"/>
  </si>
  <si>
    <r>
      <t>30</t>
    </r>
    <r>
      <rPr>
        <sz val="11"/>
        <rFont val="宋体"/>
        <family val="3"/>
        <charset val="134"/>
      </rPr>
      <t>（含）</t>
    </r>
    <r>
      <rPr>
        <sz val="11"/>
        <rFont val="Arial"/>
        <family val="2"/>
      </rPr>
      <t>-40%</t>
    </r>
    <phoneticPr fontId="26" type="noConversion"/>
  </si>
  <si>
    <r>
      <t>0</t>
    </r>
    <r>
      <rPr>
        <sz val="11"/>
        <color rgb="FFFF0000"/>
        <rFont val="宋体"/>
        <family val="3"/>
        <charset val="134"/>
      </rPr>
      <t>（含）</t>
    </r>
    <r>
      <rPr>
        <sz val="11"/>
        <color rgb="FFFF0000"/>
        <rFont val="Arial"/>
        <family val="2"/>
      </rPr>
      <t>-10%</t>
    </r>
    <phoneticPr fontId="224" type="noConversion"/>
  </si>
  <si>
    <t>住宅用地</t>
    <phoneticPr fontId="6" type="noConversion"/>
  </si>
  <si>
    <t>居住项目</t>
  </si>
  <si>
    <t>已全部缴纳</t>
  </si>
  <si>
    <r>
      <rPr>
        <sz val="11"/>
        <color theme="1"/>
        <rFont val="宋体"/>
        <family val="3"/>
        <charset val="134"/>
      </rPr>
      <t>比较法</t>
    </r>
    <r>
      <rPr>
        <sz val="11"/>
        <color theme="1"/>
        <rFont val="Arial"/>
        <family val="2"/>
      </rPr>
      <t>-</t>
    </r>
    <r>
      <rPr>
        <sz val="11"/>
        <color theme="1"/>
        <rFont val="宋体"/>
        <family val="3"/>
        <charset val="134"/>
      </rPr>
      <t>住宅、综合纯住宅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</si>
  <si>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t>
    </r>
    <r>
      <rPr>
        <sz val="11"/>
        <color theme="1"/>
        <rFont val="宋体"/>
        <family val="3"/>
        <charset val="134"/>
      </rPr>
      <t>纯住宅</t>
    </r>
    <phoneticPr fontId="14" type="noConversion"/>
  </si>
  <si>
    <t>比较法-住宅、综合纯住宅</t>
  </si>
  <si>
    <t>剩余法-待开发 纯住宅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</si>
</sst>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indexed="8"/>
      <name val="Arial"/>
      <family val="3"/>
      <charset val="134"/>
    </font>
    <font>
      <sz val="11"/>
      <color indexed="8"/>
      <name val="仿宋_GB2312"/>
      <charset val="134"/>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9" fontId="0" fillId="0" borderId="0" xfId="0" applyNumberFormat="1">
      <alignment vertical="center"/>
    </xf>
    <xf numFmtId="0" fontId="302" fillId="12" borderId="0" xfId="0" applyFont="1" applyFill="1" applyAlignment="1" applyProtection="1">
      <alignment horizontal="center" vertical="center"/>
      <protection locked="0"/>
    </xf>
    <xf numFmtId="0" fontId="302" fillId="12" borderId="0" xfId="0" applyFont="1" applyFill="1" applyProtection="1">
      <alignment vertical="center"/>
      <protection locked="0"/>
    </xf>
    <xf numFmtId="0" fontId="0" fillId="6" borderId="0" xfId="0" applyFill="1" applyAlignment="1"/>
    <xf numFmtId="14" fontId="0" fillId="6" borderId="0" xfId="0" applyNumberFormat="1" applyFill="1" applyAlignment="1"/>
    <xf numFmtId="0" fontId="140" fillId="0" borderId="6" xfId="0" applyFont="1" applyBorder="1" applyAlignment="1" applyProtection="1">
      <alignment horizontal="center" vertical="center" wrapText="1"/>
      <protection locked="0"/>
    </xf>
    <xf numFmtId="9" fontId="48" fillId="0" borderId="20" xfId="0" applyNumberFormat="1" applyFont="1" applyBorder="1" applyAlignment="1" applyProtection="1">
      <alignment horizontal="center" vertical="center" wrapText="1"/>
      <protection locked="0"/>
    </xf>
    <xf numFmtId="0" fontId="303"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49" fontId="140" fillId="0" borderId="18"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208" fillId="5" borderId="0" xfId="0" applyFont="1" applyFill="1" applyAlignment="1" applyProtection="1">
      <alignment horizontal="center" vertical="center"/>
      <protection locked="0"/>
    </xf>
    <xf numFmtId="0" fontId="140" fillId="5" borderId="0" xfId="0" applyFont="1" applyFill="1" applyAlignment="1" applyProtection="1">
      <alignment horizontal="center" vertical="center"/>
      <protection locked="0"/>
    </xf>
    <xf numFmtId="58" fontId="80" fillId="5" borderId="0" xfId="0" applyNumberFormat="1" applyFont="1" applyFill="1" applyAlignment="1" applyProtection="1">
      <alignment horizontal="center" vertical="center"/>
      <protection locked="0"/>
    </xf>
    <xf numFmtId="0" fontId="149" fillId="0" borderId="1"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6" fillId="0" borderId="0" xfId="13" applyFont="1" applyAlignment="1">
      <alignment horizontal="left" vertical="center"/>
    </xf>
    <xf numFmtId="0" fontId="153" fillId="0" borderId="0" xfId="13" applyFont="1" applyAlignment="1">
      <alignment horizontal="left" vertical="center"/>
    </xf>
    <xf numFmtId="0" fontId="149" fillId="2" borderId="30" xfId="0" applyFont="1" applyFill="1" applyBorder="1" applyAlignment="1" applyProtection="1">
      <alignment horizontal="center" vertical="center" wrapText="1"/>
      <protection locked="0"/>
    </xf>
    <xf numFmtId="0" fontId="149" fillId="0" borderId="9" xfId="0" applyFont="1" applyBorder="1" applyAlignment="1" applyProtection="1">
      <alignment horizontal="center" vertical="center" wrapText="1"/>
      <protection locked="0"/>
    </xf>
    <xf numFmtId="0" fontId="149" fillId="0" borderId="8" xfId="0" applyFont="1" applyBorder="1" applyAlignment="1" applyProtection="1">
      <alignment horizontal="center" vertical="center" wrapText="1"/>
      <protection locked="0"/>
    </xf>
    <xf numFmtId="0" fontId="141" fillId="6" borderId="0" xfId="0" applyFont="1" applyFill="1">
      <alignment vertical="center"/>
    </xf>
    <xf numFmtId="0" fontId="0" fillId="6" borderId="0" xfId="0" applyFill="1">
      <alignment vertical="center"/>
    </xf>
    <xf numFmtId="9" fontId="0" fillId="6" borderId="0" xfId="0" applyNumberFormat="1" applyFill="1">
      <alignment vertical="center"/>
    </xf>
    <xf numFmtId="0" fontId="304" fillId="0" borderId="2" xfId="0" applyFont="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392377</xdr:colOff>
      <xdr:row>0</xdr:row>
      <xdr:rowOff>0</xdr:rowOff>
    </xdr:from>
    <xdr:to>
      <xdr:col>21</xdr:col>
      <xdr:colOff>111215</xdr:colOff>
      <xdr:row>21</xdr:row>
      <xdr:rowOff>160020</xdr:rowOff>
    </xdr:to>
    <xdr:pic>
      <xdr:nvPicPr>
        <xdr:cNvPr id="2" name="图片 1">
          <a:extLst>
            <a:ext uri="{FF2B5EF4-FFF2-40B4-BE49-F238E27FC236}">
              <a16:creationId xmlns:a16="http://schemas.microsoft.com/office/drawing/2014/main" id="{9E7EB0C0-9ED3-8168-26A3-80AC3721C616}"/>
            </a:ext>
          </a:extLst>
        </xdr:cNvPr>
        <xdr:cNvPicPr>
          <a:picLocks noChangeAspect="1"/>
        </xdr:cNvPicPr>
      </xdr:nvPicPr>
      <xdr:blipFill>
        <a:blip xmlns:r="http://schemas.openxmlformats.org/officeDocument/2006/relationships" r:embed="rId1"/>
        <a:stretch>
          <a:fillRect/>
        </a:stretch>
      </xdr:blipFill>
      <xdr:spPr>
        <a:xfrm>
          <a:off x="5109157" y="0"/>
          <a:ext cx="6043438"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28940</xdr:colOff>
      <xdr:row>0</xdr:row>
      <xdr:rowOff>0</xdr:rowOff>
    </xdr:from>
    <xdr:to>
      <xdr:col>15</xdr:col>
      <xdr:colOff>257269</xdr:colOff>
      <xdr:row>26</xdr:row>
      <xdr:rowOff>128597</xdr:rowOff>
    </xdr:to>
    <xdr:pic>
      <xdr:nvPicPr>
        <xdr:cNvPr id="5" name="图片 4">
          <a:extLst>
            <a:ext uri="{FF2B5EF4-FFF2-40B4-BE49-F238E27FC236}">
              <a16:creationId xmlns:a16="http://schemas.microsoft.com/office/drawing/2014/main" id="{4C65E575-2625-96AC-8DB4-283716383355}"/>
            </a:ext>
          </a:extLst>
        </xdr:cNvPr>
        <xdr:cNvPicPr>
          <a:picLocks noChangeAspect="1"/>
        </xdr:cNvPicPr>
      </xdr:nvPicPr>
      <xdr:blipFill>
        <a:blip xmlns:r="http://schemas.openxmlformats.org/officeDocument/2006/relationships" r:embed="rId1"/>
        <a:stretch>
          <a:fillRect/>
        </a:stretch>
      </xdr:blipFill>
      <xdr:spPr>
        <a:xfrm>
          <a:off x="28940" y="0"/>
          <a:ext cx="9372329" cy="4883477"/>
        </a:xfrm>
        <a:prstGeom prst="rect">
          <a:avLst/>
        </a:prstGeom>
      </xdr:spPr>
    </xdr:pic>
    <xdr:clientData/>
  </xdr:twoCellAnchor>
  <xdr:twoCellAnchor editAs="oneCell">
    <xdr:from>
      <xdr:col>0</xdr:col>
      <xdr:colOff>7568</xdr:colOff>
      <xdr:row>27</xdr:row>
      <xdr:rowOff>53340</xdr:rowOff>
    </xdr:from>
    <xdr:to>
      <xdr:col>19</xdr:col>
      <xdr:colOff>520096</xdr:colOff>
      <xdr:row>64</xdr:row>
      <xdr:rowOff>2769</xdr:rowOff>
    </xdr:to>
    <xdr:pic>
      <xdr:nvPicPr>
        <xdr:cNvPr id="6" name="图片 5">
          <a:extLst>
            <a:ext uri="{FF2B5EF4-FFF2-40B4-BE49-F238E27FC236}">
              <a16:creationId xmlns:a16="http://schemas.microsoft.com/office/drawing/2014/main" id="{3F1B67EB-314F-2480-7282-6E5A449422DE}"/>
            </a:ext>
          </a:extLst>
        </xdr:cNvPr>
        <xdr:cNvPicPr>
          <a:picLocks noChangeAspect="1"/>
        </xdr:cNvPicPr>
      </xdr:nvPicPr>
      <xdr:blipFill>
        <a:blip xmlns:r="http://schemas.openxmlformats.org/officeDocument/2006/relationships" r:embed="rId2"/>
        <a:stretch>
          <a:fillRect/>
        </a:stretch>
      </xdr:blipFill>
      <xdr:spPr>
        <a:xfrm>
          <a:off x="7568" y="4991100"/>
          <a:ext cx="12094928" cy="6715989"/>
        </a:xfrm>
        <a:prstGeom prst="rect">
          <a:avLst/>
        </a:prstGeom>
      </xdr:spPr>
    </xdr:pic>
    <xdr:clientData/>
  </xdr:twoCellAnchor>
  <xdr:twoCellAnchor editAs="oneCell">
    <xdr:from>
      <xdr:col>0</xdr:col>
      <xdr:colOff>0</xdr:colOff>
      <xdr:row>64</xdr:row>
      <xdr:rowOff>0</xdr:rowOff>
    </xdr:from>
    <xdr:to>
      <xdr:col>24</xdr:col>
      <xdr:colOff>245790</xdr:colOff>
      <xdr:row>106</xdr:row>
      <xdr:rowOff>80945</xdr:rowOff>
    </xdr:to>
    <xdr:pic>
      <xdr:nvPicPr>
        <xdr:cNvPr id="7" name="图片 6">
          <a:extLst>
            <a:ext uri="{FF2B5EF4-FFF2-40B4-BE49-F238E27FC236}">
              <a16:creationId xmlns:a16="http://schemas.microsoft.com/office/drawing/2014/main" id="{C70187B1-427C-BC9E-4EC4-A4310402651A}"/>
            </a:ext>
          </a:extLst>
        </xdr:cNvPr>
        <xdr:cNvPicPr>
          <a:picLocks noChangeAspect="1"/>
        </xdr:cNvPicPr>
      </xdr:nvPicPr>
      <xdr:blipFill>
        <a:blip xmlns:r="http://schemas.openxmlformats.org/officeDocument/2006/relationships" r:embed="rId3"/>
        <a:stretch>
          <a:fillRect/>
        </a:stretch>
      </xdr:blipFill>
      <xdr:spPr>
        <a:xfrm>
          <a:off x="0" y="11704320"/>
          <a:ext cx="14876190" cy="7761905"/>
        </a:xfrm>
        <a:prstGeom prst="rect">
          <a:avLst/>
        </a:prstGeom>
      </xdr:spPr>
    </xdr:pic>
    <xdr:clientData/>
  </xdr:twoCellAnchor>
  <xdr:twoCellAnchor editAs="oneCell">
    <xdr:from>
      <xdr:col>9</xdr:col>
      <xdr:colOff>571500</xdr:colOff>
      <xdr:row>28</xdr:row>
      <xdr:rowOff>171954</xdr:rowOff>
    </xdr:from>
    <xdr:to>
      <xdr:col>19</xdr:col>
      <xdr:colOff>221059</xdr:colOff>
      <xdr:row>44</xdr:row>
      <xdr:rowOff>155311</xdr:rowOff>
    </xdr:to>
    <xdr:pic>
      <xdr:nvPicPr>
        <xdr:cNvPr id="8" name="图片 7">
          <a:extLst>
            <a:ext uri="{FF2B5EF4-FFF2-40B4-BE49-F238E27FC236}">
              <a16:creationId xmlns:a16="http://schemas.microsoft.com/office/drawing/2014/main" id="{DC7074F8-DD29-462E-FB58-776254DD81FC}"/>
            </a:ext>
          </a:extLst>
        </xdr:cNvPr>
        <xdr:cNvPicPr>
          <a:picLocks noChangeAspect="1"/>
        </xdr:cNvPicPr>
      </xdr:nvPicPr>
      <xdr:blipFill>
        <a:blip xmlns:r="http://schemas.openxmlformats.org/officeDocument/2006/relationships" r:embed="rId4"/>
        <a:stretch>
          <a:fillRect/>
        </a:stretch>
      </xdr:blipFill>
      <xdr:spPr>
        <a:xfrm>
          <a:off x="6057900" y="5292594"/>
          <a:ext cx="5745559" cy="2909437"/>
        </a:xfrm>
        <a:prstGeom prst="rect">
          <a:avLst/>
        </a:prstGeom>
      </xdr:spPr>
    </xdr:pic>
    <xdr:clientData/>
  </xdr:twoCellAnchor>
  <xdr:twoCellAnchor editAs="oneCell">
    <xdr:from>
      <xdr:col>10</xdr:col>
      <xdr:colOff>259840</xdr:colOff>
      <xdr:row>1</xdr:row>
      <xdr:rowOff>15240</xdr:rowOff>
    </xdr:from>
    <xdr:to>
      <xdr:col>22</xdr:col>
      <xdr:colOff>292046</xdr:colOff>
      <xdr:row>23</xdr:row>
      <xdr:rowOff>40979</xdr:rowOff>
    </xdr:to>
    <xdr:pic>
      <xdr:nvPicPr>
        <xdr:cNvPr id="9" name="图片 8">
          <a:extLst>
            <a:ext uri="{FF2B5EF4-FFF2-40B4-BE49-F238E27FC236}">
              <a16:creationId xmlns:a16="http://schemas.microsoft.com/office/drawing/2014/main" id="{CD6392A1-EA46-19C8-4D00-E476ECD4479A}"/>
            </a:ext>
          </a:extLst>
        </xdr:cNvPr>
        <xdr:cNvPicPr>
          <a:picLocks noChangeAspect="1"/>
        </xdr:cNvPicPr>
      </xdr:nvPicPr>
      <xdr:blipFill>
        <a:blip xmlns:r="http://schemas.openxmlformats.org/officeDocument/2006/relationships" r:embed="rId5"/>
        <a:stretch>
          <a:fillRect/>
        </a:stretch>
      </xdr:blipFill>
      <xdr:spPr>
        <a:xfrm>
          <a:off x="6355840" y="198120"/>
          <a:ext cx="7347406" cy="4049099"/>
        </a:xfrm>
        <a:prstGeom prst="rect">
          <a:avLst/>
        </a:prstGeom>
      </xdr:spPr>
    </xdr:pic>
    <xdr:clientData/>
  </xdr:twoCellAnchor>
  <xdr:twoCellAnchor editAs="oneCell">
    <xdr:from>
      <xdr:col>11</xdr:col>
      <xdr:colOff>470614</xdr:colOff>
      <xdr:row>69</xdr:row>
      <xdr:rowOff>60960</xdr:rowOff>
    </xdr:from>
    <xdr:to>
      <xdr:col>21</xdr:col>
      <xdr:colOff>32511</xdr:colOff>
      <xdr:row>85</xdr:row>
      <xdr:rowOff>122886</xdr:rowOff>
    </xdr:to>
    <xdr:pic>
      <xdr:nvPicPr>
        <xdr:cNvPr id="10" name="图片 9">
          <a:extLst>
            <a:ext uri="{FF2B5EF4-FFF2-40B4-BE49-F238E27FC236}">
              <a16:creationId xmlns:a16="http://schemas.microsoft.com/office/drawing/2014/main" id="{0DED6B49-F79D-C329-E3C0-66FF51F84B36}"/>
            </a:ext>
          </a:extLst>
        </xdr:cNvPr>
        <xdr:cNvPicPr>
          <a:picLocks noChangeAspect="1"/>
        </xdr:cNvPicPr>
      </xdr:nvPicPr>
      <xdr:blipFill>
        <a:blip xmlns:r="http://schemas.openxmlformats.org/officeDocument/2006/relationships" r:embed="rId6"/>
        <a:stretch>
          <a:fillRect/>
        </a:stretch>
      </xdr:blipFill>
      <xdr:spPr>
        <a:xfrm>
          <a:off x="7176214" y="12679680"/>
          <a:ext cx="5657897" cy="29880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8" customWidth="1"/>
    <col min="2" max="2" width="78.21875" style="2189" customWidth="1"/>
    <col min="3" max="18" width="9" style="2182"/>
    <col min="19" max="19" width="17.88671875" style="2182" customWidth="1"/>
    <col min="20" max="51" width="9" style="2182"/>
    <col min="52" max="52" width="13.21875" style="2182" customWidth="1"/>
    <col min="53" max="53" width="13.44140625" style="2182" bestFit="1" customWidth="1"/>
    <col min="54" max="54" width="11.6640625" style="2182" bestFit="1" customWidth="1"/>
    <col min="55" max="55" width="13.44140625" style="2182" bestFit="1" customWidth="1"/>
    <col min="56" max="16384" width="9" style="2182"/>
  </cols>
  <sheetData>
    <row r="1" spans="1:55" s="2194" customFormat="1" ht="16.2" thickBot="1">
      <c r="A1" s="2192" t="s">
        <v>1938</v>
      </c>
      <c r="B1" s="2193" t="s">
        <v>2035</v>
      </c>
    </row>
    <row r="2" spans="1:55" s="2197" customFormat="1" ht="16.2" thickTop="1">
      <c r="A2" s="2195" t="s">
        <v>1942</v>
      </c>
      <c r="B2" s="2196" t="str">
        <f>'预评函-封皮'!B37</f>
        <v>江苏省淮安市淮安区淮安生态文旅区站前路西侧、淮启路南侧出让国有建设用地使用权抵押价格预评估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
      </c>
    </row>
    <row r="5" spans="1:55" s="2194" customFormat="1" ht="16.2" thickBot="1">
      <c r="A5" s="2200" t="s">
        <v>1945</v>
      </c>
      <c r="B5" s="2201" t="str">
        <f>'预评函-封皮'!B49</f>
        <v>康正预评字号</v>
      </c>
    </row>
    <row r="6" spans="1:55" s="2202" customFormat="1" ht="16.2" thickTop="1">
      <c r="A6" s="2195" t="s">
        <v>1987</v>
      </c>
      <c r="B6" s="2196" t="str">
        <f>'预评函-1'!A4</f>
        <v>受贵公司委托，我公司对江苏省淮安市淮安区淮安生态文旅区站前路西侧、淮启路南侧出让国有建设用地使用权抵押价格进行了预评估。</v>
      </c>
      <c r="AM6" s="2203"/>
    </row>
    <row r="7" spans="1:55">
      <c r="A7" s="2183" t="s">
        <v>1939</v>
      </c>
      <c r="B7" s="2184" t="str">
        <f>'预评函-1'!A6</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92580.4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2025年3月14日</v>
      </c>
    </row>
    <row r="11" spans="1:55">
      <c r="A11" s="2183" t="s">
        <v>1947</v>
      </c>
      <c r="B11" s="2184" t="str">
        <f>'预评函-1'!A14</f>
        <v>根据《国有土地使用证》[]，本次评估估价对象证载（地类）用途为住宅用地。</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根据《国有土地使用证》[]，估价对象（分摊）出让国有建设用地使用权面积为42082平方米。根据《建设工程规划许可证》[]、《出让合同》[]，估价对象规划建筑面积为92580.4平方米。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6.2" thickBot="1">
      <c r="A21" s="2200" t="s">
        <v>1956</v>
      </c>
      <c r="B21" s="2201" t="str">
        <f>'预评函-1'!A28</f>
        <v/>
      </c>
    </row>
    <row r="22" spans="1:48" ht="16.2"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估价期日：2025年3月14日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t="str">
        <f>'预评函-2'!E5</f>
        <v>住宅用地</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42082</v>
      </c>
    </row>
    <row r="44" spans="1:2">
      <c r="A44" s="2183" t="s">
        <v>2022</v>
      </c>
      <c r="B44" s="2184" t="str">
        <f>'预评函-2'!O3</f>
        <v>规划建筑面积/㎡</v>
      </c>
    </row>
    <row r="45" spans="1:2">
      <c r="A45" s="2183" t="s">
        <v>2004</v>
      </c>
      <c r="B45" s="2184">
        <f>'预评函-2'!O5</f>
        <v>92580.400000000009</v>
      </c>
    </row>
    <row r="46" spans="1:2">
      <c r="A46" s="2183" t="s">
        <v>2005</v>
      </c>
      <c r="B46" s="2184">
        <f ca="1">'预评函-2'!P5</f>
        <v>13118</v>
      </c>
    </row>
    <row r="47" spans="1:2">
      <c r="A47" s="2183" t="s">
        <v>2006</v>
      </c>
      <c r="B47" s="2184">
        <f ca="1">'预评函-2'!Q5</f>
        <v>5963</v>
      </c>
    </row>
    <row r="48" spans="1:2">
      <c r="A48" s="2183" t="s">
        <v>2007</v>
      </c>
      <c r="B48" s="2184">
        <f ca="1">'预评函-2'!R5</f>
        <v>55202</v>
      </c>
    </row>
    <row r="49" spans="1:2">
      <c r="A49" s="2183" t="s">
        <v>2023</v>
      </c>
      <c r="B49" s="2184" t="str">
        <f>'预评函-2'!A6</f>
        <v>抵押价格</v>
      </c>
    </row>
    <row r="50" spans="1:2">
      <c r="A50" s="2183" t="s">
        <v>2008</v>
      </c>
      <c r="B50" s="2184">
        <f ca="1">'预评函-2'!R6</f>
        <v>55202</v>
      </c>
    </row>
    <row r="51" spans="1:2">
      <c r="A51" s="2183" t="s">
        <v>2024</v>
      </c>
      <c r="B51" s="2184" t="str">
        <f>'预评函-2'!A7</f>
        <v>——</v>
      </c>
    </row>
    <row r="52" spans="1:2">
      <c r="A52" s="2183" t="s">
        <v>2009</v>
      </c>
      <c r="B52" s="2184" t="str">
        <f>'预评函-2'!R7</f>
        <v>——</v>
      </c>
    </row>
    <row r="53" spans="1:2">
      <c r="A53" s="2183" t="s">
        <v>2025</v>
      </c>
      <c r="B53" s="2184" t="str">
        <f>'预评函-2'!A8</f>
        <v>——</v>
      </c>
    </row>
    <row r="54" spans="1:2" s="2194" customFormat="1" ht="16.2" thickBot="1">
      <c r="A54" s="2200" t="s">
        <v>2010</v>
      </c>
      <c r="B54" s="2201" t="str">
        <f>'预评函-2'!R8</f>
        <v>——</v>
      </c>
    </row>
    <row r="55" spans="1:2" ht="16.2"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6.2" thickBot="1">
      <c r="A58" s="2200" t="s">
        <v>2011</v>
      </c>
      <c r="B58" s="2201" t="str">
        <f>'预评函-3'!A5</f>
        <v>4.影响价格的其他限定条件：无。</v>
      </c>
    </row>
    <row r="59" spans="1:2" ht="16.2"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6.2" thickBot="1">
      <c r="A68" s="2200" t="s">
        <v>1974</v>
      </c>
      <c r="B68" s="2204">
        <f>'预评函-3'!D30</f>
        <v>42558</v>
      </c>
    </row>
    <row r="69" spans="1:2" ht="16.2"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6.2" thickBot="1">
      <c r="A72" s="2200" t="s">
        <v>1973</v>
      </c>
      <c r="B72" s="2201">
        <f>'预评函-3'!B21</f>
        <v>0</v>
      </c>
    </row>
    <row r="73" spans="1:2" ht="16.2"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6.2"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6"/>
    <col min="9" max="18" width="9.6640625" style="2696" customWidth="1"/>
    <col min="19" max="16384" width="15.21875" style="2696"/>
  </cols>
  <sheetData>
    <row r="1" spans="1:18">
      <c r="A1" s="3032" t="s">
        <v>2673</v>
      </c>
      <c r="B1" s="3033"/>
      <c r="C1" s="3033"/>
      <c r="D1" s="3033"/>
      <c r="E1" s="3033"/>
      <c r="F1" s="3034"/>
      <c r="I1" s="3051" t="s">
        <v>3288</v>
      </c>
      <c r="J1" s="3064"/>
      <c r="K1" s="3064"/>
      <c r="L1" s="3064"/>
      <c r="M1" s="3064"/>
      <c r="N1" s="3197"/>
      <c r="O1" s="3197"/>
      <c r="P1" s="3197"/>
      <c r="Q1" s="3197"/>
      <c r="R1" s="3197"/>
    </row>
    <row r="2" spans="1:18">
      <c r="A2" s="3035"/>
      <c r="B2" s="3036"/>
      <c r="C2" s="3036"/>
      <c r="D2" s="3036"/>
      <c r="E2" s="3036"/>
      <c r="F2" s="3037"/>
      <c r="I2" s="3450" t="s">
        <v>3289</v>
      </c>
      <c r="J2" s="3450"/>
      <c r="K2" s="3450"/>
      <c r="L2" s="3450"/>
      <c r="M2" s="3450"/>
      <c r="N2" s="3450"/>
      <c r="O2" s="3450"/>
      <c r="P2" s="3450"/>
      <c r="Q2" s="3450"/>
      <c r="R2" s="3450"/>
    </row>
    <row r="3" spans="1:18">
      <c r="A3" s="2989" t="s">
        <v>2674</v>
      </c>
      <c r="B3" s="3038">
        <f>项目基本情况!D3</f>
        <v>45730</v>
      </c>
      <c r="C3" s="3039"/>
      <c r="D3" s="3039"/>
      <c r="E3" s="3039"/>
      <c r="F3" s="3037"/>
      <c r="I3" s="3055"/>
      <c r="J3" s="3055" t="s">
        <v>3290</v>
      </c>
      <c r="K3" s="3055" t="s">
        <v>3291</v>
      </c>
      <c r="L3" s="3055" t="s">
        <v>3292</v>
      </c>
      <c r="M3" s="3055" t="s">
        <v>3293</v>
      </c>
      <c r="N3" s="3394" t="s">
        <v>3294</v>
      </c>
      <c r="O3" s="3394" t="s">
        <v>3295</v>
      </c>
      <c r="P3" s="3394" t="s">
        <v>3296</v>
      </c>
      <c r="Q3" s="3394" t="s">
        <v>3297</v>
      </c>
      <c r="R3" s="3394" t="s">
        <v>3286</v>
      </c>
    </row>
    <row r="4" spans="1:18">
      <c r="A4" s="2989" t="s">
        <v>2675</v>
      </c>
      <c r="B4" s="3040" t="s">
        <v>2676</v>
      </c>
      <c r="C4" s="3040" t="s">
        <v>2677</v>
      </c>
      <c r="D4" s="3040" t="s">
        <v>2678</v>
      </c>
      <c r="E4" s="3040" t="s">
        <v>2679</v>
      </c>
      <c r="F4" s="3037"/>
      <c r="I4" s="3055" t="s">
        <v>3298</v>
      </c>
      <c r="J4" s="3055">
        <v>80</v>
      </c>
      <c r="K4" s="3055">
        <v>70</v>
      </c>
      <c r="L4" s="3055">
        <v>20</v>
      </c>
      <c r="M4" s="3055">
        <v>30</v>
      </c>
      <c r="N4" s="3040">
        <v>45</v>
      </c>
      <c r="O4" s="3040">
        <v>60</v>
      </c>
      <c r="P4" s="3040">
        <v>50</v>
      </c>
      <c r="Q4" s="3040">
        <v>20</v>
      </c>
      <c r="R4" s="3040">
        <v>375</v>
      </c>
    </row>
    <row r="5" spans="1:18">
      <c r="A5" s="3041"/>
      <c r="B5" s="3038"/>
      <c r="C5" s="3040">
        <f>ROUNDDOWN(MIN((B5-B3)/365,A5),2)</f>
        <v>-125.28</v>
      </c>
      <c r="D5" s="3042">
        <f>IF(ISERROR(ROUND(POWER(1+E5,A5-C5)*(POWER(1+E5,C5)-1)/(POWER(1+E5,A5)-1),3)),0,ROUND(POWER(1+E5,A5-C5)*(POWER(1+E5,C5)-1)/(POWER(1+E5,A5)-1),4))</f>
        <v>0</v>
      </c>
      <c r="E5" s="3043"/>
      <c r="F5" s="3037"/>
      <c r="I5" s="3055" t="s">
        <v>3299</v>
      </c>
      <c r="J5" s="3055">
        <v>70</v>
      </c>
      <c r="K5" s="3055">
        <v>60</v>
      </c>
      <c r="L5" s="3055">
        <v>15</v>
      </c>
      <c r="M5" s="3055">
        <v>25</v>
      </c>
      <c r="N5" s="3040">
        <v>40</v>
      </c>
      <c r="O5" s="3040">
        <v>50</v>
      </c>
      <c r="P5" s="3040">
        <v>40</v>
      </c>
      <c r="Q5" s="3040">
        <v>15</v>
      </c>
      <c r="R5" s="3040">
        <v>315</v>
      </c>
    </row>
    <row r="6" spans="1:18">
      <c r="A6" s="3041"/>
      <c r="B6" s="3038"/>
      <c r="C6" s="3040">
        <f>ROUNDDOWN(MIN((B6-B3)/365,A6),2)</f>
        <v>-125.28</v>
      </c>
      <c r="D6" s="3042">
        <f>IF(ISERROR(ROUND(POWER(1+E6,A6-C6)*(POWER(1+E6,C6)-1)/(POWER(1+E6,A6)-1),3)),0,ROUND(POWER(1+E6,A6-C6)*(POWER(1+E6,C6)-1)/(POWER(1+E6,A6)-1),4))</f>
        <v>0</v>
      </c>
      <c r="E6" s="3043"/>
      <c r="F6" s="3037"/>
      <c r="I6" s="3055" t="s">
        <v>3300</v>
      </c>
      <c r="J6" s="3055">
        <v>60</v>
      </c>
      <c r="K6" s="3055">
        <v>50</v>
      </c>
      <c r="L6" s="3055">
        <v>10</v>
      </c>
      <c r="M6" s="3055">
        <v>20</v>
      </c>
      <c r="N6" s="3040">
        <v>35</v>
      </c>
      <c r="O6" s="3040">
        <v>40</v>
      </c>
      <c r="P6" s="3040">
        <v>30</v>
      </c>
      <c r="Q6" s="3040">
        <v>10</v>
      </c>
      <c r="R6" s="3040">
        <v>255</v>
      </c>
    </row>
    <row r="7" spans="1:18">
      <c r="A7" s="3041"/>
      <c r="B7" s="3038"/>
      <c r="C7" s="3040">
        <f>ROUNDDOWN(MIN((B7-B3)/365,A7),2)</f>
        <v>-125.28</v>
      </c>
      <c r="D7" s="3042">
        <f>IF(ISERROR(ROUND(POWER(1+E7,A7-C7)*(POWER(1+E7,C7)-1)/(POWER(1+E7,A7)-1),3)),0,ROUND(POWER(1+E7,A7-C7)*(POWER(1+E7,C7)-1)/(POWER(1+E7,A7)-1),4))</f>
        <v>0</v>
      </c>
      <c r="E7" s="3043"/>
      <c r="F7" s="3037"/>
    </row>
    <row r="8" spans="1:18">
      <c r="A8" s="3035"/>
      <c r="B8" s="3036"/>
      <c r="C8" s="3036"/>
      <c r="D8" s="3036"/>
      <c r="E8" s="3036"/>
      <c r="F8" s="3037"/>
    </row>
    <row r="9" spans="1:18">
      <c r="A9" s="2989" t="s">
        <v>2680</v>
      </c>
      <c r="B9" s="3040"/>
      <c r="C9" s="3040"/>
      <c r="D9" s="3040"/>
      <c r="E9" s="3040"/>
      <c r="F9" s="3044"/>
    </row>
    <row r="10" spans="1:18">
      <c r="A10" s="2989" t="s">
        <v>2681</v>
      </c>
      <c r="B10" s="3040"/>
      <c r="C10" s="3040"/>
      <c r="D10" s="3040" t="s">
        <v>2679</v>
      </c>
      <c r="E10" s="3040"/>
      <c r="F10" s="3044" t="s">
        <v>2678</v>
      </c>
    </row>
    <row r="11" spans="1:18">
      <c r="A11" s="2989" t="s">
        <v>2682</v>
      </c>
      <c r="B11" s="3045"/>
      <c r="C11" s="3040" t="s">
        <v>2683</v>
      </c>
      <c r="D11" s="3045"/>
      <c r="E11" s="3040" t="s">
        <v>2684</v>
      </c>
      <c r="F11" s="3046">
        <f>ROUND(1-(1/(POWER(1+D11,B11))),4)</f>
        <v>0</v>
      </c>
    </row>
    <row r="12" spans="1:18">
      <c r="A12" s="2989" t="s">
        <v>2685</v>
      </c>
      <c r="B12" s="3045"/>
      <c r="C12" s="3040" t="s">
        <v>2686</v>
      </c>
      <c r="D12" s="3045"/>
      <c r="E12" s="3040" t="s">
        <v>2687</v>
      </c>
      <c r="F12" s="3046">
        <f>ROUND(1-(1/(POWER(1+D12,B12))),4)</f>
        <v>0</v>
      </c>
    </row>
    <row r="13" spans="1:18">
      <c r="A13" s="2989" t="s">
        <v>2688</v>
      </c>
      <c r="B13" s="3040"/>
      <c r="C13" s="3039"/>
      <c r="D13" s="3036"/>
      <c r="E13" s="3036"/>
      <c r="F13" s="3037"/>
    </row>
    <row r="14" spans="1:18">
      <c r="A14" s="2989" t="s">
        <v>2689</v>
      </c>
      <c r="B14" s="3045"/>
      <c r="C14" s="3039"/>
      <c r="D14" s="3036"/>
      <c r="E14" s="3036"/>
      <c r="F14" s="3037"/>
    </row>
    <row r="15" spans="1:18">
      <c r="A15" s="2989" t="s">
        <v>2690</v>
      </c>
      <c r="B15" s="3040" t="e">
        <f>ROUND(B14*F12/F11,2)</f>
        <v>#DIV/0!</v>
      </c>
      <c r="C15" s="3040" t="e">
        <f>ROUND(F12/F11,4)</f>
        <v>#DIV/0!</v>
      </c>
      <c r="D15" s="3036"/>
      <c r="E15" s="3036"/>
      <c r="F15" s="3037"/>
    </row>
    <row r="16" spans="1:18">
      <c r="A16" s="2989" t="s">
        <v>2691</v>
      </c>
      <c r="B16" s="3040"/>
      <c r="C16" s="3039"/>
      <c r="D16" s="3036"/>
      <c r="E16" s="3036"/>
      <c r="F16" s="3037"/>
    </row>
    <row r="17" spans="1:14">
      <c r="A17" s="2989" t="s">
        <v>2690</v>
      </c>
      <c r="B17" s="3045"/>
      <c r="C17" s="3039"/>
      <c r="D17" s="3036"/>
      <c r="E17" s="3036"/>
      <c r="F17" s="3037"/>
    </row>
    <row r="18" spans="1:14" ht="15" thickBot="1">
      <c r="A18" s="3047" t="s">
        <v>2689</v>
      </c>
      <c r="B18" s="3048" t="e">
        <f>ROUND(B17*F11/F12,2)</f>
        <v>#DIV/0!</v>
      </c>
      <c r="C18" s="3048" t="e">
        <f>ROUND(F11/F12,4)</f>
        <v>#DIV/0!</v>
      </c>
      <c r="D18" s="3049"/>
      <c r="E18" s="3049"/>
      <c r="F18" s="3050"/>
    </row>
    <row r="19" spans="1:14" ht="15" thickBot="1"/>
    <row r="20" spans="1:14" ht="15" thickTop="1">
      <c r="A20" s="3051" t="s">
        <v>2692</v>
      </c>
      <c r="B20" s="3052"/>
      <c r="C20" s="3052"/>
      <c r="D20" s="3052"/>
      <c r="E20" s="3052"/>
      <c r="F20" s="3052"/>
      <c r="G20" s="3053"/>
      <c r="I20" s="3397" t="s">
        <v>3301</v>
      </c>
      <c r="J20" s="3397" t="s">
        <v>3302</v>
      </c>
      <c r="K20" s="3397"/>
      <c r="L20" s="3397"/>
      <c r="M20" s="3397"/>
      <c r="N20" s="3398"/>
    </row>
    <row r="21" spans="1:14">
      <c r="A21" s="3054"/>
      <c r="B21" s="3055" t="s">
        <v>2693</v>
      </c>
      <c r="C21" s="3055" t="s">
        <v>2694</v>
      </c>
      <c r="D21" s="3055" t="s">
        <v>2695</v>
      </c>
      <c r="E21" s="3055" t="s">
        <v>2696</v>
      </c>
      <c r="F21" s="3055" t="s">
        <v>2697</v>
      </c>
      <c r="G21" s="3056" t="s">
        <v>2698</v>
      </c>
      <c r="I21" s="3399">
        <v>5</v>
      </c>
      <c r="J21" s="3399">
        <v>54.2</v>
      </c>
      <c r="K21" s="3399"/>
      <c r="L21" s="3399"/>
      <c r="M21" s="3399"/>
    </row>
    <row r="22" spans="1:14">
      <c r="A22" s="3054" t="s">
        <v>2699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2700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3303</v>
      </c>
      <c r="M23" s="3399"/>
      <c r="N23" s="3400" t="s">
        <v>3304</v>
      </c>
    </row>
    <row r="24" spans="1:14">
      <c r="A24" s="3059" t="s">
        <v>2701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3305</v>
      </c>
      <c r="M24" s="3399"/>
      <c r="N24" s="3400">
        <v>10</v>
      </c>
    </row>
    <row r="25" spans="1:14">
      <c r="A25" s="3059" t="s">
        <v>2702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3306</v>
      </c>
      <c r="M25" s="3399"/>
      <c r="N25" s="3400">
        <v>8</v>
      </c>
    </row>
    <row r="26" spans="1:14">
      <c r="A26" s="3060"/>
      <c r="B26" s="3061"/>
      <c r="C26" s="3061"/>
      <c r="D26" s="3061"/>
      <c r="E26" s="3061"/>
      <c r="F26" s="3061"/>
      <c r="G26" s="3062"/>
      <c r="I26" s="3399">
        <v>30</v>
      </c>
      <c r="J26" s="3399">
        <v>90.5</v>
      </c>
      <c r="K26" s="3399">
        <f t="shared" si="0"/>
        <v>4.2000000000000028</v>
      </c>
      <c r="L26" s="3399" t="s">
        <v>3307</v>
      </c>
      <c r="M26" s="3399"/>
      <c r="N26" s="3400">
        <v>5</v>
      </c>
    </row>
    <row r="27" spans="1:14">
      <c r="A27" s="3063" t="s">
        <v>2703</v>
      </c>
      <c r="B27" s="3064"/>
      <c r="C27" s="3064"/>
      <c r="D27" s="3064"/>
      <c r="E27" s="3064"/>
      <c r="F27" s="3064"/>
      <c r="G27" s="3065"/>
      <c r="I27" s="3399">
        <v>35</v>
      </c>
      <c r="J27" s="3399">
        <v>93.8</v>
      </c>
      <c r="K27" s="3399">
        <f t="shared" si="0"/>
        <v>3.2999999999999972</v>
      </c>
      <c r="L27" s="3399" t="s">
        <v>3308</v>
      </c>
      <c r="M27" s="3399"/>
      <c r="N27" s="3400">
        <v>3</v>
      </c>
    </row>
    <row r="28" spans="1:14">
      <c r="A28" s="3063" t="s">
        <v>2704</v>
      </c>
      <c r="B28" s="3064"/>
      <c r="C28" s="3064"/>
      <c r="D28" s="3064"/>
      <c r="E28" s="3064"/>
      <c r="F28" s="3064"/>
      <c r="G28" s="3065"/>
      <c r="I28" s="3399">
        <v>40</v>
      </c>
      <c r="J28" s="3399">
        <v>96.4</v>
      </c>
      <c r="K28" s="3399">
        <f t="shared" si="0"/>
        <v>2.6000000000000085</v>
      </c>
      <c r="L28" s="3399" t="s">
        <v>3309</v>
      </c>
      <c r="M28" s="3399"/>
      <c r="N28" s="3400">
        <v>2</v>
      </c>
    </row>
    <row r="29" spans="1:14">
      <c r="A29" s="3063" t="s">
        <v>2705</v>
      </c>
      <c r="B29" s="3064"/>
      <c r="C29" s="3064"/>
      <c r="D29" s="3064"/>
      <c r="E29" s="3064"/>
      <c r="F29" s="3064"/>
      <c r="G29" s="3065"/>
      <c r="I29" s="3399">
        <v>45</v>
      </c>
      <c r="J29" s="3399">
        <v>98.4</v>
      </c>
      <c r="K29" s="3399">
        <f t="shared" si="0"/>
        <v>2</v>
      </c>
      <c r="L29" s="3399"/>
      <c r="M29" s="3399"/>
    </row>
    <row r="30" spans="1:14">
      <c r="A30" s="3063" t="s">
        <v>2706</v>
      </c>
      <c r="B30" s="3064"/>
      <c r="C30" s="3064"/>
      <c r="D30" s="3064"/>
      <c r="E30" s="3064"/>
      <c r="F30" s="3064"/>
      <c r="G30" s="3065"/>
      <c r="I30" s="3399">
        <v>50</v>
      </c>
      <c r="J30" s="3399">
        <v>100</v>
      </c>
      <c r="K30" s="3399">
        <f t="shared" si="0"/>
        <v>1.5999999999999943</v>
      </c>
      <c r="L30" s="3399"/>
      <c r="M30" s="3399"/>
    </row>
    <row r="31" spans="1:14">
      <c r="A31" s="3063" t="s">
        <v>2707</v>
      </c>
      <c r="B31" s="3064"/>
      <c r="C31" s="3064"/>
      <c r="D31" s="3064"/>
      <c r="E31" s="3064"/>
      <c r="F31" s="3064"/>
      <c r="G31" s="3065"/>
      <c r="I31" s="3399" t="s">
        <v>3310</v>
      </c>
      <c r="J31" s="3399"/>
      <c r="K31" s="3399"/>
      <c r="L31" s="3399"/>
      <c r="M31" s="3399"/>
    </row>
    <row r="32" spans="1:14">
      <c r="A32" s="3063" t="s">
        <v>2708</v>
      </c>
      <c r="B32" s="3064"/>
      <c r="C32" s="3064"/>
      <c r="D32" s="3064"/>
      <c r="E32" s="3064"/>
      <c r="F32" s="3064"/>
      <c r="G32" s="3065"/>
      <c r="I32" s="3399"/>
      <c r="J32" s="3399"/>
      <c r="K32" s="3399"/>
      <c r="L32" s="3399"/>
      <c r="M32" s="3399"/>
    </row>
    <row r="33" spans="1:14">
      <c r="A33" s="3063" t="s">
        <v>2709</v>
      </c>
      <c r="B33" s="3064"/>
      <c r="C33" s="3064"/>
      <c r="D33" s="3064"/>
      <c r="E33" s="3064"/>
      <c r="F33" s="3064"/>
      <c r="G33" s="3065"/>
      <c r="I33" s="3399" t="s">
        <v>3301</v>
      </c>
      <c r="J33" s="3399" t="s">
        <v>3311</v>
      </c>
      <c r="K33" s="3399"/>
      <c r="L33" s="3399"/>
      <c r="M33" s="3399"/>
    </row>
    <row r="34" spans="1:14">
      <c r="A34" s="3063" t="s">
        <v>2710</v>
      </c>
      <c r="B34" s="3064"/>
      <c r="C34" s="3064"/>
      <c r="D34" s="3064"/>
      <c r="E34" s="3064"/>
      <c r="F34" s="3064"/>
      <c r="G34" s="3065"/>
      <c r="I34" s="3399">
        <v>5</v>
      </c>
      <c r="J34" s="3399">
        <v>55.1</v>
      </c>
      <c r="K34" s="3399"/>
      <c r="L34" s="3399"/>
      <c r="M34" s="3399"/>
    </row>
    <row r="35" spans="1:14">
      <c r="A35" s="3063" t="s">
        <v>2711</v>
      </c>
      <c r="B35" s="3064"/>
      <c r="C35" s="3064"/>
      <c r="D35" s="3064"/>
      <c r="E35" s="3064"/>
      <c r="F35" s="3064"/>
      <c r="G35" s="3065"/>
      <c r="I35" s="3399">
        <v>10</v>
      </c>
      <c r="J35" s="3399">
        <v>67</v>
      </c>
      <c r="K35" s="3399">
        <f>J35-J34</f>
        <v>11.899999999999999</v>
      </c>
      <c r="L35" s="3399"/>
      <c r="M35" s="3399"/>
    </row>
    <row r="36" spans="1:14">
      <c r="A36" s="3063" t="s">
        <v>2712</v>
      </c>
      <c r="B36" s="3064"/>
      <c r="C36" s="3064"/>
      <c r="D36" s="3064"/>
      <c r="E36" s="3064"/>
      <c r="F36" s="3064"/>
      <c r="G36" s="3065"/>
      <c r="I36" s="3399">
        <v>15</v>
      </c>
      <c r="J36" s="3399">
        <v>76.3</v>
      </c>
      <c r="K36" s="3399">
        <f t="shared" ref="K36:K41" si="1">J36-J35</f>
        <v>9.2999999999999972</v>
      </c>
      <c r="L36" s="3399" t="s">
        <v>3303</v>
      </c>
      <c r="M36" s="3399"/>
      <c r="N36" s="3400" t="s">
        <v>3304</v>
      </c>
    </row>
    <row r="37" spans="1:14">
      <c r="A37" s="3063" t="s">
        <v>2713</v>
      </c>
      <c r="B37" s="3064"/>
      <c r="C37" s="3064"/>
      <c r="D37" s="3064"/>
      <c r="E37" s="3064"/>
      <c r="F37" s="3064"/>
      <c r="G37" s="3065"/>
      <c r="I37" s="3399">
        <v>20</v>
      </c>
      <c r="J37" s="3399">
        <v>83.6</v>
      </c>
      <c r="K37" s="3399">
        <f t="shared" si="1"/>
        <v>7.2999999999999972</v>
      </c>
      <c r="L37" s="3399" t="s">
        <v>3305</v>
      </c>
      <c r="M37" s="3399"/>
      <c r="N37" s="3400">
        <v>10</v>
      </c>
    </row>
    <row r="38" spans="1:14">
      <c r="A38" s="3063" t="s">
        <v>2714</v>
      </c>
      <c r="B38" s="3064"/>
      <c r="C38" s="3064"/>
      <c r="D38" s="3064"/>
      <c r="E38" s="3064"/>
      <c r="F38" s="3064"/>
      <c r="G38" s="3065"/>
      <c r="I38" s="3399">
        <v>25</v>
      </c>
      <c r="J38" s="3399">
        <v>89.3</v>
      </c>
      <c r="K38" s="3399">
        <f t="shared" si="1"/>
        <v>5.7000000000000028</v>
      </c>
      <c r="L38" s="3399" t="s">
        <v>3306</v>
      </c>
      <c r="M38" s="3399"/>
      <c r="N38" s="3400">
        <v>8</v>
      </c>
    </row>
    <row r="39" spans="1:14">
      <c r="A39" s="3063"/>
      <c r="B39" s="3064"/>
      <c r="C39" s="3064"/>
      <c r="D39" s="3064"/>
      <c r="E39" s="3064"/>
      <c r="F39" s="3064"/>
      <c r="G39" s="3065"/>
      <c r="I39" s="3399">
        <v>30</v>
      </c>
      <c r="J39" s="3399">
        <v>93.8</v>
      </c>
      <c r="K39" s="3399">
        <f t="shared" si="1"/>
        <v>4.5</v>
      </c>
      <c r="L39" s="3399" t="s">
        <v>3307</v>
      </c>
      <c r="M39" s="3399"/>
      <c r="N39" s="3400">
        <v>6</v>
      </c>
    </row>
    <row r="40" spans="1:14">
      <c r="A40" s="3066" t="s">
        <v>2715</v>
      </c>
      <c r="B40" s="3067"/>
      <c r="C40" s="3067"/>
      <c r="D40" s="3067"/>
      <c r="E40" s="3067"/>
      <c r="F40" s="3067"/>
      <c r="G40" s="3068"/>
      <c r="I40" s="3399">
        <v>35</v>
      </c>
      <c r="J40" s="3399">
        <v>97.2</v>
      </c>
      <c r="K40" s="3399">
        <f t="shared" si="1"/>
        <v>3.4000000000000057</v>
      </c>
      <c r="L40" s="3399" t="s">
        <v>3308</v>
      </c>
      <c r="M40" s="3399"/>
      <c r="N40" s="3400">
        <v>3</v>
      </c>
    </row>
    <row r="41" spans="1:14">
      <c r="A41" s="3069" t="s">
        <v>2716</v>
      </c>
      <c r="B41" s="3070" t="s">
        <v>2717</v>
      </c>
      <c r="C41" s="3071" t="s">
        <v>2718</v>
      </c>
      <c r="D41" s="3071" t="s">
        <v>2719</v>
      </c>
      <c r="E41" s="3072"/>
      <c r="F41" s="3073"/>
      <c r="G41" s="3074"/>
      <c r="I41" s="3399">
        <v>40</v>
      </c>
      <c r="J41" s="3399">
        <v>100</v>
      </c>
      <c r="K41" s="3399">
        <f t="shared" si="1"/>
        <v>2.7999999999999972</v>
      </c>
      <c r="L41" s="3399"/>
      <c r="M41" s="3399"/>
    </row>
    <row r="42" spans="1:14">
      <c r="A42" s="3069" t="s">
        <v>2720</v>
      </c>
      <c r="B42" s="3070" t="s">
        <v>2721</v>
      </c>
      <c r="C42" s="3071" t="s">
        <v>2721</v>
      </c>
      <c r="D42" s="3075" t="s">
        <v>2722</v>
      </c>
      <c r="E42" s="3067" t="s">
        <v>2723</v>
      </c>
      <c r="F42" s="3067"/>
      <c r="G42" s="3068"/>
      <c r="I42" s="3399"/>
      <c r="J42" s="3399"/>
      <c r="K42" s="3399"/>
      <c r="L42" s="3399"/>
      <c r="M42" s="3399"/>
    </row>
    <row r="43" spans="1:14">
      <c r="A43" s="3069" t="s">
        <v>2724</v>
      </c>
      <c r="B43" s="3070" t="s">
        <v>2725</v>
      </c>
      <c r="C43" s="3071" t="s">
        <v>2726</v>
      </c>
      <c r="D43" s="3071" t="s">
        <v>2727</v>
      </c>
      <c r="E43" s="3072" t="s">
        <v>2728</v>
      </c>
      <c r="F43" s="3073"/>
      <c r="G43" s="3074"/>
      <c r="I43" s="3399" t="s">
        <v>3301</v>
      </c>
      <c r="J43" s="3399" t="s">
        <v>3312</v>
      </c>
      <c r="K43" s="3399"/>
      <c r="L43" s="3399"/>
      <c r="M43" s="3399"/>
    </row>
    <row r="44" spans="1:14">
      <c r="A44" s="3069" t="s">
        <v>2729</v>
      </c>
      <c r="B44" s="3070" t="s">
        <v>2730</v>
      </c>
      <c r="C44" s="3071" t="s">
        <v>2731</v>
      </c>
      <c r="D44" s="3075">
        <v>0.5</v>
      </c>
      <c r="E44" s="3072" t="s">
        <v>2732</v>
      </c>
      <c r="F44" s="3073"/>
      <c r="G44" s="3074"/>
      <c r="I44" s="3399">
        <v>30</v>
      </c>
      <c r="J44" s="3399">
        <v>81.7</v>
      </c>
      <c r="K44" s="3399"/>
      <c r="L44" s="3399"/>
      <c r="M44" s="3399"/>
    </row>
    <row r="45" spans="1:14" ht="15" thickBot="1">
      <c r="A45" s="3076" t="s">
        <v>2733</v>
      </c>
      <c r="B45" s="3077" t="s">
        <v>2721</v>
      </c>
      <c r="C45" s="3078" t="s">
        <v>2721</v>
      </c>
      <c r="D45" s="3078" t="s">
        <v>2734</v>
      </c>
      <c r="E45" s="3079" t="s">
        <v>2735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5" thickBot="1"/>
    <row r="49" spans="1:4">
      <c r="A49" s="3051" t="s">
        <v>3287</v>
      </c>
    </row>
    <row r="50" spans="1:4">
      <c r="A50" s="3394" t="s">
        <v>3277</v>
      </c>
      <c r="B50" s="3394" t="s">
        <v>3274</v>
      </c>
      <c r="C50" s="3394" t="s">
        <v>3275</v>
      </c>
      <c r="D50" s="3394" t="s">
        <v>3276</v>
      </c>
    </row>
    <row r="51" spans="1:4">
      <c r="A51" s="3394" t="s">
        <v>3278</v>
      </c>
      <c r="B51" s="3040">
        <f>B52+B53</f>
        <v>15000</v>
      </c>
      <c r="C51" s="3395">
        <f>D51/B51</f>
        <v>2666.6666666666665</v>
      </c>
      <c r="D51" s="3040">
        <f>D52+D53</f>
        <v>40000000</v>
      </c>
    </row>
    <row r="52" spans="1:4">
      <c r="A52" s="2751" t="s">
        <v>3279</v>
      </c>
      <c r="B52" s="3391">
        <v>10000</v>
      </c>
      <c r="C52" s="3391">
        <v>1500</v>
      </c>
      <c r="D52" s="2356">
        <f>C52*B52</f>
        <v>15000000</v>
      </c>
    </row>
    <row r="53" spans="1:4">
      <c r="A53" s="2751" t="s">
        <v>3280</v>
      </c>
      <c r="B53" s="3391">
        <v>5000</v>
      </c>
      <c r="C53" s="3391">
        <v>5000</v>
      </c>
      <c r="D53" s="2356">
        <f>C53*B53</f>
        <v>25000000</v>
      </c>
    </row>
    <row r="54" spans="1:4">
      <c r="A54" s="3394" t="s">
        <v>3281</v>
      </c>
      <c r="B54" s="3040">
        <f>B51</f>
        <v>15000</v>
      </c>
      <c r="C54" s="3045">
        <v>700</v>
      </c>
      <c r="D54" s="3040">
        <f t="shared" ref="D54:D55" si="3">C54*B54</f>
        <v>10500000</v>
      </c>
    </row>
    <row r="55" spans="1:4">
      <c r="A55" s="3394" t="s">
        <v>3282</v>
      </c>
      <c r="B55" s="3040">
        <f>B51</f>
        <v>15000</v>
      </c>
      <c r="C55" s="3045">
        <v>1500</v>
      </c>
      <c r="D55" s="3040">
        <f t="shared" si="3"/>
        <v>22500000</v>
      </c>
    </row>
    <row r="56" spans="1:4">
      <c r="A56" s="3394" t="s">
        <v>3283</v>
      </c>
      <c r="B56" s="3040">
        <f>B51</f>
        <v>15000</v>
      </c>
      <c r="C56" s="3396">
        <f>C51+C54+C55</f>
        <v>4866.6666666666661</v>
      </c>
      <c r="D56" s="3040">
        <f>D51+D54+D55</f>
        <v>73000000</v>
      </c>
    </row>
    <row r="58" spans="1:4">
      <c r="A58" s="3394" t="s">
        <v>3284</v>
      </c>
      <c r="B58" s="3392">
        <v>0.05</v>
      </c>
      <c r="C58" s="3040">
        <f>C56*(1+B58)</f>
        <v>5110</v>
      </c>
      <c r="D58" s="3040">
        <f>D56*B58</f>
        <v>3650000</v>
      </c>
    </row>
    <row r="60" spans="1:4">
      <c r="A60" s="3394" t="s">
        <v>3285</v>
      </c>
      <c r="B60" s="3045">
        <v>3500</v>
      </c>
      <c r="C60" s="3045">
        <f>C53</f>
        <v>5000</v>
      </c>
      <c r="D60" s="3040">
        <f>C60*B60</f>
        <v>17500000</v>
      </c>
    </row>
    <row r="62" spans="1:4">
      <c r="A62" s="3394" t="s">
        <v>3286</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7" zoomScaleNormal="100" zoomScaleSheetLayoutView="100" workbookViewId="0">
      <selection activeCell="F10" sqref="F10"/>
    </sheetView>
  </sheetViews>
  <sheetFormatPr defaultColWidth="10" defaultRowHeight="15.6"/>
  <cols>
    <col min="1" max="1" width="15.33203125" style="1402" customWidth="1"/>
    <col min="2" max="2" width="11.33203125" style="1402" customWidth="1"/>
    <col min="3" max="3" width="16.44140625" style="1402" customWidth="1"/>
    <col min="4" max="4" width="16.88671875" style="1402" customWidth="1"/>
    <col min="5" max="8" width="13.109375" style="1402" customWidth="1"/>
    <col min="9" max="9" width="13.109375" style="1403" customWidth="1"/>
    <col min="10" max="10" width="10" style="1402"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2"/>
  </cols>
  <sheetData>
    <row r="1" spans="1:21" ht="16.2" thickBot="1">
      <c r="A1" s="1377" t="s">
        <v>1457</v>
      </c>
      <c r="B1" s="3466" t="str">
        <f>IF(B10="北京市","北京市",C10)&amp;F10&amp;A17&amp;"国有建设用地使用权"&amp;B9&amp;"预评估"</f>
        <v>江苏省淮安市淮安区淮安生态文旅区站前路西侧、淮启路南侧出让国有建设用地使用权抵押价格预评估</v>
      </c>
      <c r="C1" s="3467"/>
      <c r="D1" s="3467"/>
      <c r="E1" s="3467"/>
      <c r="F1" s="3467"/>
      <c r="G1" s="3467"/>
      <c r="H1" s="3467"/>
      <c r="I1" s="3468"/>
      <c r="J1" s="2603"/>
      <c r="K1" s="1972" t="str">
        <f>IF(B10="北京市","北京市",C10)&amp;F10&amp;A17&amp;"国有建设用地使用权"&amp;B9</f>
        <v>江苏省淮安市淮安区淮安生态文旅区站前路西侧、淮启路南侧出让国有建设用地使用权抵押价格</v>
      </c>
      <c r="L1" s="2583"/>
      <c r="M1" s="2583"/>
      <c r="N1" s="2584"/>
      <c r="O1" s="2585"/>
      <c r="P1" s="2584"/>
      <c r="Q1" s="2584"/>
      <c r="R1" s="2584"/>
      <c r="S1" s="2584"/>
      <c r="T1" s="2584"/>
      <c r="U1" s="2584"/>
    </row>
    <row r="2" spans="1:21">
      <c r="A2" s="1378" t="s">
        <v>1458</v>
      </c>
      <c r="B2" s="1531"/>
      <c r="D2" s="2603"/>
      <c r="E2" s="2603"/>
      <c r="F2" s="2603"/>
      <c r="G2" s="2603"/>
      <c r="H2" s="2603"/>
      <c r="I2" s="2604"/>
      <c r="J2" s="2603"/>
      <c r="K2" s="1972" t="str">
        <f>IF(B10="北京市","北京市",C10)&amp;F10&amp;A17&amp;"国有建设用地使用权"</f>
        <v>江苏省淮安市淮安区淮安生态文旅区站前路西侧、淮启路南侧出让国有建设用地使用权</v>
      </c>
      <c r="L2" s="2583"/>
      <c r="M2" s="2583"/>
      <c r="N2" s="2584"/>
      <c r="O2" s="2585"/>
      <c r="P2" s="2584"/>
      <c r="Q2" s="2584"/>
      <c r="R2" s="2584"/>
      <c r="S2" s="2584"/>
      <c r="T2" s="2584"/>
      <c r="U2" s="2584"/>
    </row>
    <row r="3" spans="1:21">
      <c r="A3" s="1379" t="s">
        <v>1459</v>
      </c>
      <c r="B3" s="1380"/>
      <c r="C3" s="2532" t="s">
        <v>1513</v>
      </c>
      <c r="D3" s="1380">
        <v>45730</v>
      </c>
      <c r="E3" s="2603"/>
      <c r="F3" s="2603"/>
      <c r="G3" s="2603"/>
      <c r="H3" s="2603"/>
      <c r="I3" s="2604"/>
      <c r="J3" s="2603"/>
      <c r="K3" s="2587"/>
      <c r="L3" s="2583"/>
      <c r="M3" s="2583"/>
      <c r="N3" s="2584"/>
      <c r="O3" s="2585"/>
      <c r="P3" s="2584"/>
      <c r="Q3" s="2584"/>
      <c r="R3" s="2584"/>
      <c r="S3" s="2584"/>
      <c r="T3" s="2584"/>
      <c r="U3" s="2584"/>
    </row>
    <row r="4" spans="1:21" ht="31.8"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3"/>
      <c r="K4" s="1972" t="str">
        <f>IF(AND(F4="——",H4="——"),B4&amp;"、"&amp;D4,IF(AND(F4&lt;&gt;"——",H4="——"),B4&amp;"、"&amp;D4&amp;"、"&amp;F4,B4&amp;"、"&amp;D4&amp;"、"&amp;F4&amp;"、"&amp;H4))</f>
        <v>土地估价师、土地估价师</v>
      </c>
      <c r="L4" s="2583"/>
      <c r="M4" s="2583"/>
      <c r="N4" s="2584"/>
      <c r="O4" s="2585"/>
      <c r="P4" s="2584"/>
      <c r="Q4" s="2584"/>
      <c r="R4" s="2584"/>
      <c r="S4" s="2584"/>
      <c r="T4" s="2584"/>
      <c r="U4" s="2584"/>
    </row>
    <row r="5" spans="1:21" ht="16.2" thickTop="1">
      <c r="A5" s="1383" t="s">
        <v>1461</v>
      </c>
      <c r="B5" s="1485"/>
      <c r="C5" s="1384"/>
      <c r="D5" s="1385"/>
      <c r="E5" s="2603"/>
      <c r="F5" s="2603"/>
      <c r="G5" s="2603"/>
      <c r="H5" s="2603"/>
      <c r="I5" s="2604"/>
      <c r="J5" s="2603"/>
      <c r="K5" s="2587"/>
      <c r="L5" s="2583"/>
      <c r="M5" s="2583"/>
      <c r="N5" s="2584"/>
      <c r="O5" s="2585"/>
      <c r="P5" s="2584"/>
      <c r="Q5" s="2584"/>
      <c r="R5" s="2584"/>
      <c r="S5" s="2584"/>
      <c r="T5" s="2584"/>
      <c r="U5" s="2584"/>
    </row>
    <row r="6" spans="1:21" ht="27.6">
      <c r="A6" s="1381" t="s">
        <v>1988</v>
      </c>
      <c r="B6" s="1485"/>
      <c r="C6" s="1462"/>
      <c r="D6" s="1386"/>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7" t="s">
        <v>1989</v>
      </c>
      <c r="B7" s="1485"/>
      <c r="C7" s="1462"/>
      <c r="D7" s="1386"/>
      <c r="E7" s="2603"/>
      <c r="F7" s="2603"/>
      <c r="G7" s="2603"/>
      <c r="H7" s="2603"/>
      <c r="I7" s="2604"/>
      <c r="J7" s="2603"/>
      <c r="K7" s="2587"/>
      <c r="L7" s="2583"/>
      <c r="M7" s="2583"/>
      <c r="N7" s="2584"/>
      <c r="O7" s="2585"/>
      <c r="P7" s="2584"/>
      <c r="Q7" s="2584"/>
      <c r="R7" s="2584"/>
      <c r="S7" s="2584"/>
      <c r="T7" s="2584"/>
      <c r="U7" s="2584"/>
    </row>
    <row r="8" spans="1:21">
      <c r="A8" s="2533" t="s">
        <v>1462</v>
      </c>
      <c r="B8" s="1388" t="s">
        <v>3314</v>
      </c>
      <c r="C8" s="1389"/>
      <c r="D8" s="3472" t="s">
        <v>1464</v>
      </c>
      <c r="E8" s="1533" t="s">
        <v>3315</v>
      </c>
      <c r="F8" s="1390"/>
      <c r="G8" s="2603"/>
      <c r="H8" s="2603"/>
      <c r="I8" s="2604"/>
      <c r="J8" s="2603"/>
      <c r="K8" s="2587"/>
      <c r="L8" s="2583"/>
      <c r="M8" s="2583"/>
      <c r="N8" s="2584"/>
      <c r="O8" s="2585"/>
      <c r="P8" s="2584"/>
      <c r="Q8" s="2584"/>
      <c r="R8" s="2584"/>
      <c r="S8" s="2584"/>
      <c r="T8" s="2584"/>
      <c r="U8" s="2584"/>
    </row>
    <row r="9" spans="1:21" ht="16.2" thickBot="1">
      <c r="A9" s="2534" t="s">
        <v>1463</v>
      </c>
      <c r="B9" s="1391" t="s">
        <v>3315</v>
      </c>
      <c r="C9" s="1392"/>
      <c r="D9" s="3473"/>
      <c r="E9" s="1391" t="s">
        <v>877</v>
      </c>
      <c r="F9" s="1448"/>
      <c r="G9" s="2606"/>
      <c r="H9" s="2606"/>
      <c r="I9" s="2607"/>
      <c r="J9" s="2603"/>
      <c r="K9" s="2587"/>
      <c r="L9" s="2583"/>
      <c r="M9" s="2583"/>
      <c r="N9" s="2584"/>
      <c r="O9" s="2585"/>
      <c r="P9" s="2584"/>
      <c r="Q9" s="2584"/>
      <c r="R9" s="2584"/>
      <c r="S9" s="2584"/>
      <c r="T9" s="2584"/>
      <c r="U9" s="2584"/>
    </row>
    <row r="10" spans="1:21" ht="31.8" thickTop="1">
      <c r="A10" s="2535" t="s">
        <v>1517</v>
      </c>
      <c r="B10" s="1426" t="s">
        <v>3316</v>
      </c>
      <c r="C10" s="1393" t="s">
        <v>3317</v>
      </c>
      <c r="D10" s="1385"/>
      <c r="E10" s="1394" t="s">
        <v>1466</v>
      </c>
      <c r="F10" s="1395" t="s">
        <v>3321</v>
      </c>
      <c r="G10" s="1446"/>
      <c r="H10" s="1447"/>
      <c r="I10" s="1385"/>
      <c r="J10" s="2603"/>
      <c r="K10" s="2587"/>
      <c r="L10" s="2583"/>
      <c r="M10" s="2583"/>
      <c r="N10" s="2584"/>
      <c r="O10" s="2585"/>
      <c r="P10" s="2584"/>
      <c r="Q10" s="2584"/>
      <c r="R10" s="2584"/>
      <c r="S10" s="2584"/>
      <c r="T10" s="2584"/>
      <c r="U10" s="2584"/>
    </row>
    <row r="11" spans="1:21" ht="31.2">
      <c r="A11" s="2536" t="s">
        <v>1518</v>
      </c>
      <c r="B11" s="1407" t="s">
        <v>3318</v>
      </c>
      <c r="C11" s="1396" t="s">
        <v>3320</v>
      </c>
      <c r="D11" s="1463"/>
      <c r="E11" s="2584"/>
      <c r="F11" s="2584"/>
      <c r="G11" s="2584"/>
      <c r="H11" s="2584"/>
      <c r="I11" s="2584"/>
      <c r="J11" s="2603"/>
      <c r="K11" s="2587"/>
      <c r="L11" s="2583"/>
      <c r="M11" s="2583"/>
      <c r="N11" s="2584"/>
      <c r="O11" s="2585"/>
      <c r="P11" s="2584"/>
      <c r="Q11" s="2584"/>
      <c r="R11" s="2584"/>
      <c r="S11" s="2584"/>
      <c r="T11" s="2584"/>
      <c r="U11" s="2584"/>
    </row>
    <row r="12" spans="1:21">
      <c r="A12" s="1481" t="s">
        <v>1576</v>
      </c>
      <c r="B12" s="3469" t="s">
        <v>3525</v>
      </c>
      <c r="C12" s="3470"/>
      <c r="D12" s="3471"/>
      <c r="E12" s="1408" t="s">
        <v>1579</v>
      </c>
      <c r="F12" s="3487" t="s">
        <v>2163</v>
      </c>
      <c r="G12" s="3488"/>
      <c r="H12" s="3488"/>
      <c r="I12" s="3489"/>
      <c r="J12" s="2603"/>
      <c r="K12" s="2587"/>
      <c r="L12" s="2583"/>
      <c r="M12" s="2583"/>
      <c r="N12" s="2584"/>
      <c r="O12" s="2585"/>
      <c r="P12" s="2584"/>
      <c r="Q12" s="2584"/>
      <c r="R12" s="2584"/>
      <c r="S12" s="2584"/>
      <c r="T12" s="2584"/>
      <c r="U12" s="2584"/>
    </row>
    <row r="13" spans="1:21">
      <c r="A13" s="1400" t="s">
        <v>1577</v>
      </c>
      <c r="B13" s="3469"/>
      <c r="C13" s="3470"/>
      <c r="D13" s="3471"/>
      <c r="E13" s="1408" t="s">
        <v>1579</v>
      </c>
      <c r="F13" s="3487" t="s">
        <v>2164</v>
      </c>
      <c r="G13" s="3488"/>
      <c r="H13" s="3488"/>
      <c r="I13" s="3489"/>
      <c r="J13" s="2603"/>
      <c r="K13" s="2587"/>
      <c r="L13" s="2583"/>
      <c r="M13" s="2583"/>
      <c r="N13" s="2584"/>
      <c r="O13" s="2585"/>
      <c r="P13" s="2584"/>
      <c r="Q13" s="2584"/>
      <c r="R13" s="2584"/>
      <c r="S13" s="2584"/>
      <c r="T13" s="2584"/>
      <c r="U13" s="2584"/>
    </row>
    <row r="14" spans="1:21">
      <c r="A14" s="1379" t="s">
        <v>1580</v>
      </c>
      <c r="B14" s="1408"/>
      <c r="C14" s="1534"/>
      <c r="D14" s="1439" t="str">
        <f>IF(C14="不一致","是否符合证载地类范围","")</f>
        <v/>
      </c>
      <c r="E14" s="1408"/>
      <c r="F14" s="1486"/>
      <c r="G14" s="1435"/>
      <c r="H14" s="1435"/>
      <c r="I14" s="1527"/>
      <c r="J14" s="2603"/>
      <c r="K14" s="2587"/>
      <c r="L14" s="2583"/>
      <c r="M14" s="2583"/>
      <c r="N14" s="2584"/>
      <c r="O14" s="2585"/>
      <c r="P14" s="2584"/>
      <c r="Q14" s="2584"/>
      <c r="R14" s="2584"/>
      <c r="S14" s="2584"/>
      <c r="T14" s="2584"/>
      <c r="U14" s="2584"/>
    </row>
    <row r="15" spans="1:21">
      <c r="A15" s="2087"/>
      <c r="B15" s="1381"/>
      <c r="C15" s="1467" t="s">
        <v>1469</v>
      </c>
      <c r="D15" s="1467" t="s">
        <v>1470</v>
      </c>
      <c r="E15" s="1467" t="s">
        <v>1179</v>
      </c>
      <c r="F15" s="1399" t="s">
        <v>1471</v>
      </c>
      <c r="G15" s="1399" t="s">
        <v>1472</v>
      </c>
      <c r="H15" s="1399" t="s">
        <v>776</v>
      </c>
      <c r="I15" s="1399" t="s">
        <v>2737</v>
      </c>
      <c r="J15" s="2603"/>
      <c r="K15" s="2587"/>
      <c r="L15" s="2583"/>
      <c r="M15" s="2583"/>
      <c r="N15" s="2584"/>
      <c r="O15" s="2585"/>
      <c r="P15" s="2584"/>
      <c r="Q15" s="2584"/>
      <c r="R15" s="2584"/>
      <c r="S15" s="2584"/>
      <c r="T15" s="2584"/>
      <c r="U15" s="2584"/>
    </row>
    <row r="16" spans="1:21" ht="46.8">
      <c r="A16" s="2537" t="s">
        <v>1467</v>
      </c>
      <c r="B16" s="1408" t="s">
        <v>1468</v>
      </c>
      <c r="C16" s="1467" t="s">
        <v>1469</v>
      </c>
      <c r="D16" s="1429" t="s">
        <v>2738</v>
      </c>
      <c r="E16" s="1429" t="s">
        <v>1212</v>
      </c>
      <c r="F16" s="1429" t="s">
        <v>2739</v>
      </c>
      <c r="G16" s="1429" t="s">
        <v>2740</v>
      </c>
      <c r="H16" s="1399" t="s">
        <v>776</v>
      </c>
      <c r="I16" s="1399" t="s">
        <v>2737</v>
      </c>
      <c r="J16" s="2603"/>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2741</v>
      </c>
      <c r="B17" s="2538" t="s">
        <v>1473</v>
      </c>
      <c r="C17" s="3081">
        <v>70551</v>
      </c>
      <c r="D17" s="3081"/>
      <c r="E17" s="3081"/>
      <c r="F17" s="3081"/>
      <c r="G17" s="3081"/>
      <c r="H17" s="3081"/>
      <c r="I17" s="3081"/>
      <c r="J17" s="2603"/>
      <c r="K17" s="2582" t="str">
        <f>CONCATENATE(K16,L16,M16,N16,O16,P16,Q16,R16,S16,T16,,U16)</f>
        <v/>
      </c>
      <c r="L17" s="2583"/>
      <c r="M17" s="2583"/>
      <c r="N17" s="2584"/>
      <c r="O17" s="2585"/>
      <c r="P17" s="2584"/>
      <c r="Q17" s="2584"/>
      <c r="R17" s="2584"/>
      <c r="S17" s="2584"/>
      <c r="T17" s="2584"/>
      <c r="U17" s="2584"/>
    </row>
    <row r="18" spans="1:21">
      <c r="A18" s="1464"/>
      <c r="B18" s="2538" t="s">
        <v>1474</v>
      </c>
      <c r="C18" s="1397">
        <v>70</v>
      </c>
      <c r="D18" s="1397">
        <v>40</v>
      </c>
      <c r="E18" s="1397"/>
      <c r="F18" s="1397"/>
      <c r="G18" s="1397"/>
      <c r="H18" s="1397"/>
      <c r="I18" s="1397"/>
      <c r="J18" s="2603"/>
      <c r="K18" s="2587"/>
      <c r="L18" s="2583"/>
      <c r="M18" s="2583"/>
      <c r="N18" s="2584"/>
      <c r="O18" s="2585"/>
      <c r="P18" s="2584"/>
      <c r="Q18" s="2584"/>
      <c r="R18" s="2584"/>
      <c r="S18" s="2584"/>
      <c r="T18" s="2584"/>
      <c r="U18" s="2584"/>
    </row>
    <row r="19" spans="1:21">
      <c r="A19" s="1464"/>
      <c r="B19" s="1378" t="s">
        <v>1475</v>
      </c>
      <c r="C19" s="1459">
        <f>IF(A17="出让",IF(C17="","",ROUNDDOWN(MIN((C17-$D$3)/365,C18),2)),C18)</f>
        <v>68</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3"/>
      <c r="K19" s="2587"/>
      <c r="L19" s="2583"/>
      <c r="M19" s="2583"/>
      <c r="N19" s="2584"/>
      <c r="O19" s="2585"/>
      <c r="P19" s="2584"/>
      <c r="Q19" s="2584"/>
      <c r="R19" s="2584"/>
      <c r="S19" s="2584"/>
      <c r="T19" s="2584"/>
      <c r="U19" s="2584"/>
    </row>
    <row r="20" spans="1:21">
      <c r="A20" s="1482"/>
      <c r="B20" s="1483"/>
      <c r="C20" s="1484" t="s">
        <v>1578</v>
      </c>
      <c r="D20" s="3484"/>
      <c r="E20" s="3485"/>
      <c r="F20" s="3485"/>
      <c r="G20" s="3485"/>
      <c r="H20" s="3485"/>
      <c r="I20" s="3486"/>
      <c r="J20" s="2603"/>
      <c r="K20" s="2587"/>
      <c r="L20" s="2583"/>
      <c r="M20" s="2583"/>
      <c r="N20" s="2584"/>
      <c r="O20" s="2585"/>
      <c r="P20" s="2584"/>
      <c r="Q20" s="2584"/>
      <c r="R20" s="2584"/>
      <c r="S20" s="2584"/>
      <c r="T20" s="2584"/>
      <c r="U20" s="2584"/>
    </row>
    <row r="21" spans="1:21">
      <c r="A21" s="1464" t="s">
        <v>1476</v>
      </c>
      <c r="B21" s="1465" t="s">
        <v>1477</v>
      </c>
      <c r="C21" s="1460">
        <f>'数据-汇总表'!E3</f>
        <v>92580.400000000009</v>
      </c>
      <c r="D21" s="1461" t="s">
        <v>1478</v>
      </c>
      <c r="E21" s="3474" t="s">
        <v>1516</v>
      </c>
      <c r="F21" s="3475"/>
      <c r="G21" s="3475"/>
      <c r="H21" s="3475"/>
      <c r="I21" s="3476"/>
      <c r="J21" s="2603"/>
      <c r="K21" s="2587"/>
      <c r="L21" s="2583"/>
      <c r="M21" s="2583"/>
      <c r="N21" s="2584"/>
      <c r="O21" s="2585"/>
      <c r="P21" s="2584"/>
      <c r="Q21" s="2584"/>
      <c r="R21" s="2584"/>
      <c r="S21" s="2584"/>
      <c r="T21" s="2584"/>
      <c r="U21" s="2584"/>
    </row>
    <row r="22" spans="1:21">
      <c r="A22" s="2366" t="s">
        <v>877</v>
      </c>
      <c r="B22" s="1379" t="s">
        <v>1479</v>
      </c>
      <c r="C22" s="1399">
        <f>'数据-汇总表'!D3</f>
        <v>42082</v>
      </c>
      <c r="D22" s="1400" t="s">
        <v>1478</v>
      </c>
      <c r="E22" s="3474" t="s">
        <v>2165</v>
      </c>
      <c r="F22" s="3475"/>
      <c r="G22" s="3475"/>
      <c r="H22" s="3475"/>
      <c r="I22" s="3476"/>
      <c r="J22" s="2603"/>
      <c r="K22" s="2587"/>
      <c r="L22" s="2583"/>
      <c r="M22" s="2583"/>
      <c r="N22" s="2584"/>
      <c r="O22" s="2585"/>
      <c r="P22" s="2584"/>
      <c r="Q22" s="2584"/>
      <c r="R22" s="2584"/>
      <c r="S22" s="2584"/>
      <c r="T22" s="2584"/>
      <c r="U22" s="2584"/>
    </row>
    <row r="23" spans="1:21" ht="31.8" thickBot="1">
      <c r="A23" s="1466" t="s">
        <v>1480</v>
      </c>
      <c r="B23" s="1409" t="s">
        <v>1481</v>
      </c>
      <c r="C23" s="1410"/>
      <c r="D23" s="1411" t="s">
        <v>1482</v>
      </c>
      <c r="E23" s="1412"/>
      <c r="F23" s="1413" t="str">
        <f>IF(AND(C23="是",E23="否"),"是否提供他项权证或相关说明","")</f>
        <v/>
      </c>
      <c r="G23" s="1414"/>
      <c r="H23" s="2603"/>
      <c r="I23" s="2604"/>
      <c r="J23" s="2603"/>
      <c r="K23" s="2587"/>
      <c r="L23" s="2583"/>
      <c r="M23" s="2583"/>
      <c r="N23" s="2584"/>
      <c r="O23" s="2585"/>
      <c r="P23" s="2584"/>
      <c r="Q23" s="2584"/>
      <c r="R23" s="2584"/>
      <c r="S23" s="2584"/>
      <c r="T23" s="2584"/>
      <c r="U23" s="2584"/>
    </row>
    <row r="24" spans="1:21">
      <c r="A24" s="1451" t="s">
        <v>1483</v>
      </c>
      <c r="B24" s="3477" t="s">
        <v>1484</v>
      </c>
      <c r="C24" s="3478"/>
      <c r="D24" s="3479" t="s">
        <v>1485</v>
      </c>
      <c r="E24" s="3480"/>
      <c r="F24" s="1415" t="s">
        <v>1486</v>
      </c>
      <c r="G24" s="2603"/>
      <c r="H24" s="2603"/>
      <c r="I24" s="2604"/>
      <c r="J24" s="2603"/>
      <c r="K24" s="3465"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4"/>
      <c r="O24" s="2585"/>
      <c r="P24" s="2584"/>
      <c r="Q24" s="2584"/>
      <c r="R24" s="2584"/>
      <c r="S24" s="2584"/>
      <c r="T24" s="2584"/>
      <c r="U24" s="2584"/>
    </row>
    <row r="25" spans="1:21" ht="31.2">
      <c r="A25" s="1452"/>
      <c r="B25" s="1449" t="s">
        <v>1682</v>
      </c>
      <c r="C25" s="1416" t="s">
        <v>1488</v>
      </c>
      <c r="D25" s="1417"/>
      <c r="E25" s="1418" t="s">
        <v>877</v>
      </c>
      <c r="F25" s="1419"/>
      <c r="G25" s="2603"/>
      <c r="H25" s="2603"/>
      <c r="I25" s="2604"/>
      <c r="J25" s="2603"/>
      <c r="K25" s="3465"/>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4"/>
      <c r="O25" s="2585"/>
      <c r="P25" s="2584"/>
      <c r="Q25" s="2584"/>
      <c r="R25" s="2584"/>
      <c r="S25" s="2584"/>
      <c r="T25" s="2584"/>
      <c r="U25" s="2584"/>
    </row>
    <row r="26" spans="1:21" ht="47.4" thickBot="1">
      <c r="A26" s="1453"/>
      <c r="B26" s="1450" t="s">
        <v>1489</v>
      </c>
      <c r="C26" s="1416" t="s">
        <v>1683</v>
      </c>
      <c r="D26" s="2603"/>
      <c r="E26" s="2603"/>
      <c r="F26" s="2608"/>
      <c r="G26" s="2603"/>
      <c r="H26" s="2603"/>
      <c r="I26" s="2604"/>
      <c r="J26" s="2603"/>
      <c r="K26" s="3465"/>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4"/>
      <c r="O26" s="2585"/>
      <c r="P26" s="2584"/>
      <c r="Q26" s="2584"/>
      <c r="R26" s="2584"/>
      <c r="S26" s="2584"/>
      <c r="T26" s="2584"/>
      <c r="U26" s="2584"/>
    </row>
    <row r="27" spans="1:21">
      <c r="A27" s="1456" t="s">
        <v>1490</v>
      </c>
      <c r="B27" s="1454" t="s">
        <v>1491</v>
      </c>
      <c r="C27" s="1420"/>
      <c r="D27" s="2091" t="s">
        <v>1491</v>
      </c>
      <c r="E27" s="1421"/>
      <c r="F27" s="2608"/>
      <c r="G27" s="2603"/>
      <c r="H27" s="2603"/>
      <c r="I27" s="2604"/>
      <c r="J27" s="2603"/>
      <c r="K27" s="2587"/>
      <c r="L27" s="2583"/>
      <c r="M27" s="2583"/>
      <c r="N27" s="2584"/>
      <c r="O27" s="2585"/>
      <c r="P27" s="2584"/>
      <c r="Q27" s="2584"/>
      <c r="R27" s="2584"/>
      <c r="S27" s="2584"/>
      <c r="T27" s="2584"/>
      <c r="U27" s="2584"/>
    </row>
    <row r="28" spans="1:21">
      <c r="A28" s="1457"/>
      <c r="B28" s="1454" t="s">
        <v>1492</v>
      </c>
      <c r="C28" s="1422"/>
      <c r="D28" s="2092" t="s">
        <v>1492</v>
      </c>
      <c r="E28" s="1423"/>
      <c r="F28" s="2608"/>
      <c r="G28" s="2603"/>
      <c r="H28" s="2603"/>
      <c r="I28" s="2604"/>
      <c r="J28" s="2603"/>
      <c r="K28" s="2587"/>
      <c r="L28" s="2583"/>
      <c r="M28" s="2583"/>
      <c r="N28" s="2584"/>
      <c r="O28" s="2585"/>
      <c r="P28" s="2584"/>
      <c r="Q28" s="2584"/>
      <c r="R28" s="2584"/>
      <c r="S28" s="2584"/>
      <c r="T28" s="2584"/>
      <c r="U28" s="2584"/>
    </row>
    <row r="29" spans="1:21">
      <c r="A29" s="1457"/>
      <c r="B29" s="1454" t="s">
        <v>1493</v>
      </c>
      <c r="C29" s="1422"/>
      <c r="D29" s="2092" t="s">
        <v>1493</v>
      </c>
      <c r="E29" s="1423"/>
      <c r="F29" s="2608"/>
      <c r="G29" s="2603"/>
      <c r="H29" s="2603"/>
      <c r="I29" s="2604"/>
      <c r="J29" s="2603"/>
      <c r="K29" s="2587"/>
      <c r="L29" s="2583"/>
      <c r="M29" s="2583"/>
      <c r="N29" s="2584"/>
      <c r="O29" s="2585"/>
      <c r="P29" s="2584"/>
      <c r="Q29" s="2584"/>
      <c r="R29" s="2584"/>
      <c r="S29" s="2584"/>
      <c r="T29" s="2584"/>
      <c r="U29" s="2584"/>
    </row>
    <row r="30" spans="1:21" ht="16.2" thickBot="1">
      <c r="A30" s="1458"/>
      <c r="B30" s="1455" t="s">
        <v>1494</v>
      </c>
      <c r="C30" s="1424"/>
      <c r="D30" s="2093" t="s">
        <v>1494</v>
      </c>
      <c r="E30" s="1425"/>
      <c r="F30" s="2609"/>
      <c r="G30" s="2606"/>
      <c r="H30" s="2606"/>
      <c r="I30" s="2607"/>
      <c r="J30" s="2603"/>
      <c r="K30" s="2587"/>
      <c r="L30" s="2583"/>
      <c r="M30" s="2583"/>
      <c r="N30" s="2584"/>
      <c r="O30" s="2585"/>
      <c r="P30" s="2584"/>
      <c r="Q30" s="2584"/>
      <c r="R30" s="2584"/>
      <c r="S30" s="2584"/>
      <c r="T30" s="2584"/>
      <c r="U30" s="2584"/>
    </row>
    <row r="31" spans="1:21" ht="16.2" thickTop="1">
      <c r="A31" s="3451" t="s">
        <v>1519</v>
      </c>
      <c r="B31" s="1465" t="s">
        <v>1520</v>
      </c>
      <c r="C31" s="3490" t="s">
        <v>3526</v>
      </c>
      <c r="D31" s="3491"/>
      <c r="E31" s="2603"/>
      <c r="F31" s="2603"/>
      <c r="G31" s="2603"/>
      <c r="H31" s="2603"/>
      <c r="I31" s="2604"/>
      <c r="J31" s="2603"/>
      <c r="K31" s="2590"/>
      <c r="L31" s="2584"/>
      <c r="M31" s="2584"/>
      <c r="N31" s="2584"/>
      <c r="O31" s="2584"/>
      <c r="P31" s="2584"/>
      <c r="Q31" s="2584"/>
      <c r="R31" s="2584"/>
      <c r="S31" s="2584"/>
      <c r="T31" s="2584"/>
      <c r="U31" s="2584"/>
    </row>
    <row r="32" spans="1:21">
      <c r="A32" s="3451"/>
      <c r="B32" s="1379" t="s">
        <v>1521</v>
      </c>
      <c r="C32" s="1426"/>
      <c r="D32" s="1427"/>
      <c r="E32" s="2603"/>
      <c r="F32" s="2603"/>
      <c r="G32" s="2603"/>
      <c r="H32" s="2603"/>
      <c r="I32" s="2604"/>
      <c r="J32" s="2603"/>
      <c r="K32" s="2590"/>
      <c r="L32" s="2584"/>
      <c r="M32" s="2584"/>
      <c r="N32" s="2584"/>
      <c r="O32" s="2584"/>
      <c r="P32" s="2584"/>
      <c r="Q32" s="2584"/>
      <c r="R32" s="2584"/>
      <c r="S32" s="2584"/>
      <c r="T32" s="2584"/>
      <c r="U32" s="2584"/>
    </row>
    <row r="33" spans="1:28">
      <c r="A33" s="3451"/>
      <c r="B33" s="1379" t="s">
        <v>1522</v>
      </c>
      <c r="C33" s="1428"/>
      <c r="D33" s="1528"/>
      <c r="E33" s="2603"/>
      <c r="F33" s="2603"/>
      <c r="G33" s="2603"/>
      <c r="H33" s="2603"/>
      <c r="I33" s="2604"/>
      <c r="J33" s="2603"/>
      <c r="K33" s="2590"/>
      <c r="L33" s="2584"/>
      <c r="M33" s="2584"/>
      <c r="N33" s="2584"/>
      <c r="O33" s="2584"/>
      <c r="P33" s="2584"/>
      <c r="Q33" s="2584"/>
      <c r="R33" s="2584"/>
      <c r="S33" s="2584"/>
      <c r="T33" s="2584"/>
      <c r="U33" s="2584"/>
    </row>
    <row r="34" spans="1:28">
      <c r="A34" s="3452"/>
      <c r="B34" s="1379" t="s">
        <v>1523</v>
      </c>
      <c r="C34" s="3453"/>
      <c r="D34" s="3454"/>
      <c r="E34" s="2603"/>
      <c r="F34" s="2603"/>
      <c r="G34" s="2603"/>
      <c r="H34" s="2603"/>
      <c r="I34" s="2604"/>
      <c r="J34" s="2603"/>
      <c r="K34" s="2590"/>
      <c r="L34" s="2584"/>
      <c r="M34" s="2584"/>
      <c r="N34" s="2584"/>
      <c r="O34" s="2584"/>
      <c r="P34" s="2584"/>
      <c r="Q34" s="2584"/>
      <c r="R34" s="2584"/>
      <c r="S34" s="2584"/>
      <c r="T34" s="2584"/>
      <c r="U34" s="2584"/>
    </row>
    <row r="35" spans="1:28">
      <c r="A35" s="3455" t="s">
        <v>785</v>
      </c>
      <c r="B35" s="1429"/>
      <c r="C35" s="1473" t="str">
        <f>IF(B35="场地平整","——","具体情况：")</f>
        <v>具体情况：</v>
      </c>
      <c r="D35" s="3457"/>
      <c r="E35" s="3458"/>
      <c r="F35" s="3458"/>
      <c r="G35" s="3458"/>
      <c r="H35" s="3458"/>
      <c r="I35" s="3459"/>
      <c r="J35" s="2603"/>
      <c r="K35" s="2591"/>
      <c r="L35" s="2583"/>
      <c r="M35" s="2583"/>
      <c r="N35" s="2584"/>
      <c r="O35" s="2585"/>
      <c r="P35" s="2584"/>
      <c r="Q35" s="2584"/>
      <c r="R35" s="2584"/>
      <c r="S35" s="2584"/>
      <c r="T35" s="2584"/>
      <c r="U35" s="2584"/>
    </row>
    <row r="36" spans="1:28">
      <c r="A36" s="3451"/>
      <c r="B36" s="3460" t="s">
        <v>1572</v>
      </c>
      <c r="C36" s="3461"/>
      <c r="D36" s="1488"/>
      <c r="E36" s="3462"/>
      <c r="F36" s="3462"/>
      <c r="G36" s="1400" t="str">
        <f>IF(B35="场地未平整","估价结果处理","")</f>
        <v/>
      </c>
      <c r="H36" s="3463"/>
      <c r="I36" s="3463"/>
      <c r="J36" s="2603"/>
      <c r="K36" s="2591"/>
      <c r="L36" s="2583"/>
      <c r="M36" s="2583"/>
      <c r="N36" s="2584"/>
      <c r="O36" s="2585"/>
      <c r="P36" s="2584"/>
      <c r="Q36" s="2584"/>
      <c r="R36" s="2584"/>
      <c r="S36" s="2584"/>
      <c r="T36" s="2584"/>
      <c r="U36" s="2584"/>
    </row>
    <row r="37" spans="1:28">
      <c r="A37" s="3451"/>
      <c r="B37" s="3481" t="s">
        <v>786</v>
      </c>
      <c r="C37" s="1431" t="s">
        <v>787</v>
      </c>
      <c r="D37" s="1432"/>
      <c r="E37" s="1433"/>
      <c r="F37" s="2603"/>
      <c r="G37" s="2603"/>
      <c r="H37" s="2603"/>
      <c r="I37" s="2604"/>
      <c r="J37" s="2603"/>
      <c r="K37" s="2591"/>
      <c r="L37" s="2584"/>
      <c r="M37" s="2584"/>
      <c r="N37" s="2584"/>
      <c r="O37" s="2584"/>
      <c r="P37" s="2584"/>
      <c r="Q37" s="2584"/>
      <c r="R37" s="2584"/>
      <c r="S37" s="2584"/>
      <c r="T37" s="2584"/>
      <c r="U37" s="2584"/>
    </row>
    <row r="38" spans="1:28">
      <c r="A38" s="3451"/>
      <c r="B38" s="3482"/>
      <c r="C38" s="1387" t="s">
        <v>788</v>
      </c>
      <c r="D38" s="1487">
        <f>ROUNDDOWN(MIN(('数据-取费表'!$B$2-D37)/365,D34),1)</f>
        <v>125.2</v>
      </c>
      <c r="E38" s="1434" t="s">
        <v>789</v>
      </c>
      <c r="F38" s="2603"/>
      <c r="G38" s="2603"/>
      <c r="H38" s="2603"/>
      <c r="I38" s="2604"/>
      <c r="J38" s="2603"/>
      <c r="K38" s="2591"/>
      <c r="L38" s="2584"/>
      <c r="M38" s="2584"/>
      <c r="N38" s="2584"/>
      <c r="O38" s="2584"/>
      <c r="P38" s="2584"/>
      <c r="Q38" s="2584"/>
      <c r="R38" s="2584"/>
      <c r="S38" s="2584"/>
      <c r="T38" s="2584"/>
      <c r="U38" s="2584"/>
    </row>
    <row r="39" spans="1:28">
      <c r="A39" s="3452"/>
      <c r="B39" s="3483"/>
      <c r="C39" s="1406" t="str">
        <f>IF(D38&lt;1,"不存在土地闲置",IF(B35="宗地内已开工建设","已开工，不存在土地闲置","估价对象已涉嫌土地闲置"))</f>
        <v>估价对象已涉嫌土地闲置</v>
      </c>
      <c r="D39" s="1435"/>
      <c r="E39" s="1436"/>
      <c r="F39" s="2603"/>
      <c r="G39" s="2603"/>
      <c r="H39" s="2603"/>
      <c r="I39" s="2604"/>
      <c r="J39" s="2603"/>
      <c r="K39" s="2587"/>
      <c r="L39" s="2583"/>
      <c r="M39" s="2583"/>
      <c r="N39" s="2584"/>
      <c r="O39" s="2585"/>
      <c r="P39" s="2584"/>
      <c r="Q39" s="2584"/>
      <c r="R39" s="2584"/>
      <c r="S39" s="2584"/>
      <c r="T39" s="2584"/>
      <c r="U39" s="2584"/>
    </row>
    <row r="40" spans="1:28">
      <c r="A40" s="1400" t="s">
        <v>1495</v>
      </c>
      <c r="B40" s="1401"/>
      <c r="C40" s="1401"/>
      <c r="D40" s="1401"/>
      <c r="E40" s="1401"/>
      <c r="F40" s="1401"/>
      <c r="G40" s="1401"/>
      <c r="H40" s="1401"/>
      <c r="I40" s="2604"/>
      <c r="J40" s="2603"/>
      <c r="K40" s="1437">
        <f>COUNTIF(B40:H40,"——")</f>
        <v>0</v>
      </c>
      <c r="L40" s="1408" t="s">
        <v>1496</v>
      </c>
      <c r="M40" s="1405" t="s">
        <v>1497</v>
      </c>
      <c r="N40" s="1405" t="s">
        <v>1498</v>
      </c>
      <c r="O40" s="1405" t="s">
        <v>1499</v>
      </c>
      <c r="P40" s="1405" t="s">
        <v>1500</v>
      </c>
      <c r="Q40" s="1405" t="s">
        <v>1501</v>
      </c>
      <c r="R40" s="1405" t="s">
        <v>1502</v>
      </c>
      <c r="S40" s="3464" t="s">
        <v>1503</v>
      </c>
      <c r="T40" s="1408" t="str">
        <f>NUMBERSTRING(7-K40,1)&amp;"通"</f>
        <v>七通</v>
      </c>
      <c r="U40" s="2584"/>
    </row>
    <row r="41" spans="1:28" ht="31.2">
      <c r="A41" s="1381"/>
      <c r="B41" s="3456" t="s">
        <v>1250</v>
      </c>
      <c r="C41" s="3456"/>
      <c r="D41" s="3456"/>
      <c r="E41" s="3456"/>
      <c r="F41" s="1438" t="str">
        <f>C10</f>
        <v>江苏省淮安市淮安区</v>
      </c>
      <c r="G41" s="2603"/>
      <c r="H41" s="2603"/>
      <c r="I41" s="2604"/>
      <c r="J41" s="2603"/>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64"/>
      <c r="T41" s="1439" t="str">
        <f>IF(T40="一通",L41,IF(T40="二通",M41,IF(T40="三通",N41,IF(T40="四通",O41,IF(T40="五通",P41,IF(T40="六通",Q41,R41))))))</f>
        <v>、、、、、、</v>
      </c>
      <c r="U41" s="2584"/>
    </row>
    <row r="42" spans="1:28">
      <c r="A42" s="1441"/>
      <c r="B42" s="1467" t="s">
        <v>1422</v>
      </c>
      <c r="C42" s="1467" t="s">
        <v>1423</v>
      </c>
      <c r="D42" s="1467" t="s">
        <v>1424</v>
      </c>
      <c r="E42" s="1467" t="s">
        <v>2742</v>
      </c>
      <c r="F42" s="1467" t="s">
        <v>2743</v>
      </c>
      <c r="G42" s="2603"/>
      <c r="H42" s="2603"/>
      <c r="I42" s="2604"/>
      <c r="J42" s="2603"/>
      <c r="K42" s="2587"/>
      <c r="L42" s="2583"/>
      <c r="M42" s="2583"/>
      <c r="N42" s="2584"/>
      <c r="O42" s="2585"/>
      <c r="P42" s="2584"/>
      <c r="Q42" s="2584"/>
      <c r="R42" s="2584"/>
      <c r="S42" s="2584"/>
      <c r="T42" s="2584"/>
      <c r="U42" s="2584"/>
    </row>
    <row r="43" spans="1:28">
      <c r="A43" s="2559" t="s">
        <v>1235</v>
      </c>
      <c r="B43" s="1443"/>
      <c r="C43" s="1443"/>
      <c r="D43" s="1443"/>
      <c r="E43" s="1443"/>
      <c r="F43" s="1443"/>
      <c r="G43" s="2603"/>
      <c r="H43" s="2603"/>
      <c r="I43" s="2604"/>
      <c r="J43" s="2603"/>
      <c r="K43" s="2587"/>
      <c r="L43" s="2583"/>
      <c r="M43" s="2583"/>
      <c r="N43" s="2584"/>
      <c r="O43" s="2585"/>
      <c r="P43" s="2584"/>
      <c r="Q43" s="2584"/>
      <c r="R43" s="2584"/>
      <c r="S43" s="2584"/>
      <c r="T43" s="2584"/>
      <c r="U43" s="2584"/>
    </row>
    <row r="44" spans="1:28">
      <c r="A44" s="2559" t="s">
        <v>1236</v>
      </c>
      <c r="B44" s="1443"/>
      <c r="C44" s="1443"/>
      <c r="D44" s="1443"/>
      <c r="E44" s="1488"/>
      <c r="F44" s="1488"/>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8"/>
      <c r="B46" s="1378"/>
      <c r="C46" s="1378"/>
      <c r="D46" s="1378"/>
      <c r="E46" s="1378"/>
      <c r="F46" s="1378"/>
      <c r="G46" s="1378"/>
      <c r="H46" s="1378"/>
      <c r="I46" s="1404"/>
      <c r="J46" s="1378"/>
      <c r="K46" s="2587"/>
      <c r="L46" s="2583"/>
      <c r="M46" s="2583"/>
      <c r="N46" s="2584"/>
      <c r="O46" s="2585"/>
      <c r="P46" s="2584"/>
      <c r="Q46" s="2584"/>
      <c r="R46" s="2584"/>
      <c r="S46" s="2584"/>
      <c r="T46" s="2584"/>
      <c r="U46" s="2584"/>
    </row>
    <row r="47" spans="1:28">
      <c r="A47" s="1444" t="s">
        <v>1524</v>
      </c>
      <c r="B47" s="1445"/>
      <c r="C47" s="1436"/>
      <c r="D47" s="1378"/>
      <c r="E47" s="1378"/>
      <c r="F47" s="1378"/>
      <c r="G47" s="1378"/>
      <c r="H47" s="1378"/>
      <c r="I47" s="1404"/>
      <c r="J47" s="1378"/>
      <c r="K47" s="2587"/>
      <c r="L47" s="2583"/>
      <c r="M47" s="2583"/>
      <c r="N47" s="2584"/>
      <c r="O47" s="2585"/>
      <c r="P47" s="2584"/>
      <c r="Q47" s="2584"/>
      <c r="R47" s="2584"/>
      <c r="S47" s="2584"/>
      <c r="T47" s="2584"/>
      <c r="U47" s="2584"/>
    </row>
    <row r="48" spans="1:28" ht="46.8">
      <c r="A48" s="1408" t="s">
        <v>1525</v>
      </c>
      <c r="B48" s="1399" t="s">
        <v>1526</v>
      </c>
      <c r="C48" s="1399" t="s">
        <v>1527</v>
      </c>
      <c r="D48" s="1399" t="s">
        <v>1528</v>
      </c>
      <c r="E48" s="1399" t="s">
        <v>1529</v>
      </c>
      <c r="F48" s="1399" t="s">
        <v>1530</v>
      </c>
      <c r="G48" s="1399" t="s">
        <v>1531</v>
      </c>
      <c r="H48" s="1399" t="s">
        <v>1532</v>
      </c>
      <c r="I48" s="1399" t="s">
        <v>1533</v>
      </c>
      <c r="J48" s="1472"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5"/>
      <c r="B49" s="1437"/>
      <c r="C49" s="1437"/>
      <c r="D49" s="1437"/>
      <c r="E49" s="1437"/>
      <c r="F49" s="1437"/>
      <c r="G49" s="1437"/>
      <c r="H49" s="1437"/>
      <c r="I49" s="1437"/>
      <c r="J49" s="1529"/>
      <c r="K49" s="2599"/>
      <c r="L49" s="2599"/>
      <c r="M49" s="1442"/>
      <c r="N49" s="1442"/>
      <c r="O49" s="1442"/>
      <c r="P49" s="1442"/>
      <c r="Q49" s="1442"/>
      <c r="R49" s="1442"/>
      <c r="S49" s="2584"/>
      <c r="T49" s="2584"/>
      <c r="U49" s="2584"/>
    </row>
    <row r="50" spans="1:21">
      <c r="A50" s="1405"/>
      <c r="B50" s="1405"/>
      <c r="C50" s="1437"/>
      <c r="D50" s="1437"/>
      <c r="E50" s="1437"/>
      <c r="F50" s="1437"/>
      <c r="G50" s="1437"/>
      <c r="H50" s="1437"/>
      <c r="I50" s="1437"/>
      <c r="J50" s="1529"/>
      <c r="K50" s="2599"/>
      <c r="L50" s="2599"/>
      <c r="M50" s="1442"/>
      <c r="N50" s="1442"/>
      <c r="O50" s="1442"/>
      <c r="P50" s="1442"/>
      <c r="Q50" s="1442"/>
      <c r="R50" s="1442"/>
      <c r="S50" s="2584"/>
      <c r="T50" s="2584"/>
      <c r="U50" s="2584"/>
    </row>
    <row r="51" spans="1:21">
      <c r="A51" s="1405"/>
      <c r="B51" s="1405"/>
      <c r="C51" s="1437"/>
      <c r="D51" s="1437"/>
      <c r="E51" s="1437"/>
      <c r="F51" s="1437"/>
      <c r="G51" s="1437"/>
      <c r="H51" s="1437"/>
      <c r="I51" s="1437"/>
      <c r="J51" s="1529"/>
      <c r="K51" s="2599"/>
      <c r="L51" s="2599"/>
      <c r="M51" s="1442"/>
      <c r="N51" s="1442"/>
      <c r="O51" s="1442"/>
      <c r="P51" s="1442"/>
      <c r="Q51" s="1442"/>
      <c r="R51" s="1442"/>
      <c r="S51" s="2584"/>
      <c r="T51" s="2584"/>
      <c r="U51" s="2584"/>
    </row>
    <row r="52" spans="1:21">
      <c r="A52" s="1405"/>
      <c r="B52" s="1405"/>
      <c r="C52" s="1437"/>
      <c r="D52" s="1437"/>
      <c r="E52" s="1437"/>
      <c r="F52" s="1437"/>
      <c r="G52" s="1437"/>
      <c r="H52" s="1437"/>
      <c r="I52" s="1437"/>
      <c r="J52" s="1529"/>
      <c r="K52" s="2599"/>
      <c r="L52" s="2599"/>
      <c r="M52" s="1442"/>
      <c r="N52" s="1442"/>
      <c r="O52" s="1442"/>
      <c r="P52" s="1442"/>
      <c r="Q52" s="1442"/>
      <c r="R52" s="1442"/>
      <c r="S52" s="2584"/>
      <c r="T52" s="2584"/>
      <c r="U52" s="2584"/>
    </row>
    <row r="53" spans="1:21">
      <c r="A53" s="1405"/>
      <c r="B53" s="1405"/>
      <c r="C53" s="1437"/>
      <c r="D53" s="1437"/>
      <c r="E53" s="1437"/>
      <c r="F53" s="1437"/>
      <c r="G53" s="1437"/>
      <c r="H53" s="1437"/>
      <c r="I53" s="1437"/>
      <c r="J53" s="1529"/>
      <c r="K53" s="2599"/>
      <c r="L53" s="2599"/>
      <c r="M53" s="1442"/>
      <c r="N53" s="1442"/>
      <c r="O53" s="1442"/>
      <c r="P53" s="1442"/>
      <c r="Q53" s="1442"/>
      <c r="R53" s="1442"/>
      <c r="S53" s="2584"/>
      <c r="T53" s="2584"/>
      <c r="U53" s="2584"/>
    </row>
    <row r="54" spans="1:21">
      <c r="A54" s="1405"/>
      <c r="B54" s="1405"/>
      <c r="C54" s="1405"/>
      <c r="D54" s="1405"/>
      <c r="E54" s="1405"/>
      <c r="F54" s="1437"/>
      <c r="G54" s="1405"/>
      <c r="H54" s="1405"/>
      <c r="I54" s="1405"/>
      <c r="J54" s="1530"/>
      <c r="K54" s="2599"/>
      <c r="L54" s="2599"/>
      <c r="M54" s="2599"/>
      <c r="N54" s="2556"/>
      <c r="O54" s="2556"/>
      <c r="P54" s="2556"/>
      <c r="Q54" s="2556"/>
      <c r="R54" s="2556"/>
      <c r="S54" s="2584"/>
      <c r="T54" s="2584"/>
      <c r="U54" s="2584"/>
    </row>
    <row r="55" spans="1:21">
      <c r="A55" s="1405"/>
      <c r="B55" s="1405"/>
      <c r="C55" s="1405"/>
      <c r="D55" s="1405"/>
      <c r="E55" s="1405"/>
      <c r="F55" s="1437"/>
      <c r="G55" s="1405"/>
      <c r="H55" s="1405"/>
      <c r="I55" s="1405"/>
      <c r="J55" s="1530"/>
      <c r="K55" s="2599"/>
      <c r="L55" s="2599"/>
      <c r="M55" s="2599"/>
      <c r="N55" s="2556"/>
      <c r="O55" s="2556"/>
      <c r="P55" s="2556"/>
      <c r="Q55" s="2556"/>
      <c r="R55" s="2556"/>
      <c r="S55" s="2584"/>
      <c r="T55" s="2584"/>
      <c r="U55" s="2584"/>
    </row>
    <row r="56" spans="1:21">
      <c r="A56" s="1405"/>
      <c r="B56" s="1405"/>
      <c r="C56" s="1405"/>
      <c r="D56" s="1405"/>
      <c r="E56" s="1405"/>
      <c r="F56" s="1437"/>
      <c r="G56" s="1405"/>
      <c r="H56" s="1405"/>
      <c r="I56" s="1405"/>
      <c r="J56" s="1530"/>
      <c r="K56" s="2599"/>
      <c r="L56" s="2599"/>
      <c r="M56" s="2599"/>
      <c r="N56" s="2556"/>
      <c r="O56" s="2556"/>
      <c r="P56" s="2556"/>
      <c r="Q56" s="2556"/>
      <c r="R56" s="2556"/>
      <c r="S56" s="2584"/>
      <c r="T56" s="2584"/>
      <c r="U56" s="2584"/>
    </row>
    <row r="57" spans="1:21">
      <c r="A57" s="1405"/>
      <c r="B57" s="1405"/>
      <c r="C57" s="1405"/>
      <c r="D57" s="1405"/>
      <c r="E57" s="1405"/>
      <c r="F57" s="1437"/>
      <c r="G57" s="1405"/>
      <c r="H57" s="1405"/>
      <c r="I57" s="1405"/>
      <c r="J57" s="1530"/>
      <c r="K57" s="2599"/>
      <c r="L57" s="2599"/>
      <c r="M57" s="2599"/>
      <c r="N57" s="2556"/>
      <c r="O57" s="2556"/>
      <c r="P57" s="2556"/>
      <c r="Q57" s="2556"/>
      <c r="R57" s="2556"/>
      <c r="S57" s="2584"/>
      <c r="T57" s="2584"/>
      <c r="U57" s="2584"/>
    </row>
    <row r="58" spans="1:21">
      <c r="A58" s="1405"/>
      <c r="B58" s="1405"/>
      <c r="C58" s="1405"/>
      <c r="D58" s="1405"/>
      <c r="E58" s="1405"/>
      <c r="F58" s="1437"/>
      <c r="G58" s="1405"/>
      <c r="H58" s="1405"/>
      <c r="I58" s="1405"/>
      <c r="J58" s="1530"/>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6" sqref="F16"/>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3.2">
      <c r="A3" s="18">
        <f>'信息+土地案例'!B13</f>
        <v>42082</v>
      </c>
      <c r="B3" s="19">
        <f>IF(C3="否",G5-AT5,G5)</f>
        <v>92580.400000000009</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92580.400000000009</v>
      </c>
      <c r="H5" s="23">
        <f t="shared" ref="H5:AT5" si="0">SUM(H13:H641)</f>
        <v>92580.400000000009</v>
      </c>
      <c r="I5" s="23">
        <f t="shared" si="0"/>
        <v>92580.400000000009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92580.400000000009</v>
      </c>
      <c r="BA5" s="25">
        <f t="shared" si="1"/>
        <v>92580.400000000009</v>
      </c>
      <c r="BB5" s="25">
        <f t="shared" si="1"/>
        <v>92580.400000000009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42082</v>
      </c>
      <c r="F6" s="23" t="s">
        <v>0</v>
      </c>
      <c r="G6" s="23" t="s">
        <v>1</v>
      </c>
      <c r="H6" s="29">
        <f>SUMIF(I$12:AB$12,"总值",I6:AB6)</f>
        <v>42082</v>
      </c>
      <c r="I6" s="23">
        <f t="shared" ref="I6:AB6" si="2">ROUND($A$3*I5/$B$3,2)</f>
        <v>42082</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42082</v>
      </c>
      <c r="AZ6" s="23" t="s">
        <v>2</v>
      </c>
      <c r="BA6" s="23">
        <f>ROUND($AY$6*BA5/$AZ$5,2)</f>
        <v>42082</v>
      </c>
      <c r="BB6" s="23">
        <f>ROUND($AY$6*BB5/$AZ$5,2)</f>
        <v>42082</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3323</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c r="L10" s="47"/>
      <c r="M10" s="2306"/>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c r="B13" s="2300"/>
      <c r="C13" s="2300" t="s">
        <v>3334</v>
      </c>
      <c r="D13" s="2301" t="s">
        <v>3322</v>
      </c>
      <c r="E13" s="23">
        <f t="shared" ref="E13:E20" si="6">IF($C$3="是",ROUND($A$3*G13/$B$3,2),ROUND($A$3*(G13-AT13)/$B$3,2))</f>
        <v>42082</v>
      </c>
      <c r="F13" s="76"/>
      <c r="G13" s="77">
        <f t="shared" ref="G13:G20" si="7">H13+AC13+AT13</f>
        <v>92580.400000000009</v>
      </c>
      <c r="H13" s="29">
        <f t="shared" ref="H13:H20" si="8">SUMIF(I$12:AB$12,"总值",I13:AB13)</f>
        <v>92580.400000000009</v>
      </c>
      <c r="I13" s="2303">
        <f>'信息+土地案例'!B15</f>
        <v>92580.400000000009</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10">
        <f t="shared" ref="AY13:AY20" si="11">ROUND($AY$6*AZ13/$AZ$5,2)</f>
        <v>42082</v>
      </c>
      <c r="AZ13" s="23">
        <f t="shared" ref="AZ13:AZ20" si="12">BA13+BL13</f>
        <v>92580.400000000009</v>
      </c>
      <c r="BA13" s="23">
        <f t="shared" ref="BA13:BA20" si="13">SUM(BB13:BK13)</f>
        <v>92580.400000000009</v>
      </c>
      <c r="BB13" s="23">
        <f t="shared" ref="BB13:BB20" si="14">IF($D13="是",I13-J13,0)</f>
        <v>92580.400000000009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3"/>
      <c r="C19" s="1181"/>
      <c r="D19" s="2301"/>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3"/>
      <c r="C20" s="1181"/>
      <c r="D20" s="2301"/>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80"/>
      <c r="C21" s="1181"/>
      <c r="D21" s="2301"/>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80"/>
      <c r="C22" s="1181"/>
      <c r="D22" s="2301"/>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80"/>
      <c r="C23" s="1181"/>
      <c r="D23" s="2301"/>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80"/>
      <c r="C24" s="1181"/>
      <c r="D24" s="2301"/>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80"/>
      <c r="C25" s="1181"/>
      <c r="D25" s="2301"/>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80"/>
      <c r="C26" s="1181"/>
      <c r="D26" s="2301"/>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80"/>
      <c r="C27" s="1181"/>
      <c r="D27" s="2301"/>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80"/>
      <c r="C28" s="1181"/>
      <c r="D28" s="2301"/>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80"/>
      <c r="C29" s="1181"/>
      <c r="D29" s="2301"/>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80"/>
      <c r="C30" s="1181"/>
      <c r="D30" s="2301"/>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80"/>
      <c r="C31" s="1181"/>
      <c r="D31" s="2301"/>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80"/>
      <c r="C32" s="1181"/>
      <c r="D32" s="2301"/>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80"/>
      <c r="C33" s="1181"/>
      <c r="D33" s="2301"/>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80"/>
      <c r="C34" s="1181"/>
      <c r="D34" s="2301"/>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80"/>
      <c r="C35" s="1181"/>
      <c r="D35" s="2301"/>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80"/>
      <c r="C36" s="1181"/>
      <c r="D36" s="2301"/>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80"/>
      <c r="C37" s="1181"/>
      <c r="D37" s="2301"/>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80"/>
      <c r="C38" s="1181"/>
      <c r="D38" s="2301"/>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80"/>
      <c r="C39" s="1181"/>
      <c r="D39" s="2301"/>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80"/>
      <c r="C40" s="1181"/>
      <c r="D40" s="2301"/>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80"/>
      <c r="C41" s="1181"/>
      <c r="D41" s="2301"/>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80"/>
      <c r="C42" s="1181"/>
      <c r="D42" s="2301"/>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80"/>
      <c r="C43" s="1181"/>
      <c r="D43" s="2301"/>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80"/>
      <c r="C44" s="1181"/>
      <c r="D44" s="2301"/>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80"/>
      <c r="C45" s="1181"/>
      <c r="D45" s="2301"/>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80"/>
      <c r="C46" s="1181"/>
      <c r="D46" s="2301"/>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80"/>
      <c r="C47" s="1181"/>
      <c r="D47" s="2301"/>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80"/>
      <c r="C48" s="1181"/>
      <c r="D48" s="2301"/>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80"/>
      <c r="C49" s="1181"/>
      <c r="D49" s="2301"/>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80"/>
      <c r="C50" s="1181"/>
      <c r="D50" s="2301"/>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80"/>
      <c r="C51" s="1181"/>
      <c r="D51" s="2301"/>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80"/>
      <c r="C52" s="1181"/>
      <c r="D52" s="2301"/>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80"/>
      <c r="C53" s="1181"/>
      <c r="D53" s="2301"/>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80"/>
      <c r="C54" s="1181"/>
      <c r="D54" s="2301"/>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80"/>
      <c r="C55" s="1181"/>
      <c r="D55" s="2301"/>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80"/>
      <c r="C113" s="1181"/>
      <c r="D113" s="2301"/>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80"/>
      <c r="C114" s="1181"/>
      <c r="D114" s="2301"/>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80"/>
      <c r="C115" s="1181"/>
      <c r="D115" s="2301"/>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80"/>
      <c r="C116" s="1181"/>
      <c r="D116" s="2301"/>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80"/>
      <c r="C117" s="1181"/>
      <c r="D117" s="2301"/>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80"/>
      <c r="C118" s="1181"/>
      <c r="D118" s="2301"/>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80"/>
      <c r="C119" s="1181"/>
      <c r="D119" s="2301"/>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80"/>
      <c r="C120" s="1181"/>
      <c r="D120" s="2301"/>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80"/>
      <c r="C121" s="1181"/>
      <c r="D121" s="2301"/>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80"/>
      <c r="C122" s="1181"/>
      <c r="D122" s="2301"/>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80"/>
      <c r="C123" s="1181"/>
      <c r="D123" s="2301"/>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80"/>
      <c r="C124" s="1181"/>
      <c r="D124" s="2301"/>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80"/>
      <c r="C125" s="1181"/>
      <c r="D125" s="2301"/>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80"/>
      <c r="C126" s="1181"/>
      <c r="D126" s="2301"/>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80"/>
      <c r="C127" s="1181"/>
      <c r="D127" s="2301"/>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80"/>
      <c r="C128" s="1181"/>
      <c r="D128" s="2301"/>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80"/>
      <c r="C129" s="1181"/>
      <c r="D129" s="2301"/>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80"/>
      <c r="C130" s="1181"/>
      <c r="D130" s="2301"/>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80"/>
      <c r="C131" s="1181"/>
      <c r="D131" s="2301"/>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80"/>
      <c r="C132" s="1181"/>
      <c r="D132" s="2301"/>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80"/>
      <c r="C133" s="1181"/>
      <c r="D133" s="2301"/>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80"/>
      <c r="C134" s="1181"/>
      <c r="D134" s="2301"/>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80"/>
      <c r="C135" s="1181"/>
      <c r="D135" s="2301"/>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80"/>
      <c r="C136" s="1181"/>
      <c r="D136" s="2301"/>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80"/>
      <c r="C137" s="1181"/>
      <c r="D137" s="2301"/>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80"/>
      <c r="C138" s="1181"/>
      <c r="D138" s="2301"/>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80"/>
      <c r="C139" s="1181"/>
      <c r="D139" s="2301"/>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80"/>
      <c r="C140" s="1181"/>
      <c r="D140" s="2301"/>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80"/>
      <c r="C141" s="1181"/>
      <c r="D141" s="2301"/>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80"/>
      <c r="C142" s="1181"/>
      <c r="D142" s="2301"/>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80"/>
      <c r="C143" s="1181"/>
      <c r="D143" s="2301"/>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80"/>
      <c r="C144" s="1181"/>
      <c r="D144" s="2301"/>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80"/>
      <c r="C145" s="1181"/>
      <c r="D145" s="2301"/>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80"/>
      <c r="C146" s="1181"/>
      <c r="D146" s="2301"/>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80"/>
      <c r="C147" s="1181"/>
      <c r="D147" s="2301"/>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80"/>
      <c r="C205" s="1181"/>
      <c r="D205" s="2301"/>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80"/>
      <c r="C206" s="1181"/>
      <c r="D206" s="2301"/>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80"/>
      <c r="C207" s="1181"/>
      <c r="D207" s="2301"/>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80"/>
      <c r="C208" s="1181"/>
      <c r="D208" s="2301"/>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80"/>
      <c r="C209" s="1181"/>
      <c r="D209" s="2301"/>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80"/>
      <c r="C210" s="1181"/>
      <c r="D210" s="2301"/>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80"/>
      <c r="C211" s="1181"/>
      <c r="D211" s="2301"/>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80"/>
      <c r="C212" s="1181"/>
      <c r="D212" s="2301"/>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80"/>
      <c r="C213" s="1181"/>
      <c r="D213" s="2301"/>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80"/>
      <c r="C214" s="1181"/>
      <c r="D214" s="2301"/>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80"/>
      <c r="C215" s="1181"/>
      <c r="D215" s="2301"/>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80"/>
      <c r="C216" s="1181"/>
      <c r="D216" s="2301"/>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80"/>
      <c r="C217" s="1181"/>
      <c r="D217" s="2301"/>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80"/>
      <c r="C218" s="1181"/>
      <c r="D218" s="2301"/>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80"/>
      <c r="C219" s="1181"/>
      <c r="D219" s="2301"/>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80"/>
      <c r="C220" s="1181"/>
      <c r="D220" s="2301"/>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80"/>
      <c r="C221" s="1181"/>
      <c r="D221" s="2301"/>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80"/>
      <c r="C222" s="1181"/>
      <c r="D222" s="2301"/>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80"/>
      <c r="C223" s="1181"/>
      <c r="D223" s="2301"/>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80"/>
      <c r="C224" s="1181"/>
      <c r="D224" s="2301"/>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80"/>
      <c r="C225" s="1181"/>
      <c r="D225" s="2301"/>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80"/>
      <c r="C226" s="1181"/>
      <c r="D226" s="2301"/>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80"/>
      <c r="C227" s="1181"/>
      <c r="D227" s="2301"/>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80"/>
      <c r="C228" s="1181"/>
      <c r="D228" s="2301"/>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80"/>
      <c r="C229" s="1181"/>
      <c r="D229" s="2301"/>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80"/>
      <c r="C230" s="1181"/>
      <c r="D230" s="2301"/>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80"/>
      <c r="C231" s="1181"/>
      <c r="D231" s="2301"/>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80"/>
      <c r="C232" s="1181"/>
      <c r="D232" s="2301"/>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80"/>
      <c r="C233" s="1181"/>
      <c r="D233" s="2301"/>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80"/>
      <c r="C234" s="1181"/>
      <c r="D234" s="2301"/>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80"/>
      <c r="C235" s="1181"/>
      <c r="D235" s="2301"/>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80"/>
      <c r="C236" s="1181"/>
      <c r="D236" s="2301"/>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80"/>
      <c r="C237" s="1181"/>
      <c r="D237" s="2301"/>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80"/>
      <c r="C238" s="1181"/>
      <c r="D238" s="2301"/>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80"/>
      <c r="C239" s="1181"/>
      <c r="D239" s="2301"/>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80"/>
      <c r="C297" s="1181"/>
      <c r="D297" s="2301"/>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80"/>
      <c r="C298" s="1181"/>
      <c r="D298" s="2301"/>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80"/>
      <c r="C299" s="1181"/>
      <c r="D299" s="2301"/>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80"/>
      <c r="C300" s="1181"/>
      <c r="D300" s="2301"/>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80"/>
      <c r="C301" s="1181"/>
      <c r="D301" s="2301"/>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80"/>
      <c r="C302" s="1181"/>
      <c r="D302" s="2301"/>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80"/>
      <c r="C303" s="1181"/>
      <c r="D303" s="2301"/>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80"/>
      <c r="C304" s="1181"/>
      <c r="D304" s="2301"/>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80"/>
      <c r="C305" s="1181"/>
      <c r="D305" s="2301"/>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80"/>
      <c r="C306" s="1181"/>
      <c r="D306" s="2301"/>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80"/>
      <c r="C307" s="1181"/>
      <c r="D307" s="2301"/>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80"/>
      <c r="C308" s="1181"/>
      <c r="D308" s="2301"/>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80"/>
      <c r="C309" s="1181"/>
      <c r="D309" s="2301"/>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80"/>
      <c r="C310" s="1181"/>
      <c r="D310" s="2301"/>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80"/>
      <c r="C311" s="1181"/>
      <c r="D311" s="2301"/>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80"/>
      <c r="C312" s="1181"/>
      <c r="D312" s="2301"/>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80"/>
      <c r="C313" s="1181"/>
      <c r="D313" s="2301"/>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80"/>
      <c r="C314" s="1181"/>
      <c r="D314" s="2301"/>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80"/>
      <c r="C315" s="1181"/>
      <c r="D315" s="2301"/>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80"/>
      <c r="C316" s="1181"/>
      <c r="D316" s="2301"/>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80"/>
      <c r="C317" s="1181"/>
      <c r="D317" s="2301"/>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80"/>
      <c r="C318" s="1181"/>
      <c r="D318" s="2301"/>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80"/>
      <c r="C319" s="1181"/>
      <c r="D319" s="2301"/>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80"/>
      <c r="C320" s="1181"/>
      <c r="D320" s="2301"/>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80"/>
      <c r="C321" s="1181"/>
      <c r="D321" s="2301"/>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80"/>
      <c r="C322" s="1181"/>
      <c r="D322" s="2301"/>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80"/>
      <c r="C323" s="1181"/>
      <c r="D323" s="2301"/>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80"/>
      <c r="C324" s="1181"/>
      <c r="D324" s="2301"/>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80"/>
      <c r="C325" s="1181"/>
      <c r="D325" s="2301"/>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80"/>
      <c r="C326" s="1181"/>
      <c r="D326" s="2301"/>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80"/>
      <c r="C327" s="1181"/>
      <c r="D327" s="2301"/>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80"/>
      <c r="C328" s="1181"/>
      <c r="D328" s="2301"/>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80"/>
      <c r="C329" s="1181"/>
      <c r="D329" s="2301"/>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80"/>
      <c r="C330" s="1181"/>
      <c r="D330" s="2301"/>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80"/>
      <c r="C331" s="1181"/>
      <c r="D331" s="2301"/>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80"/>
      <c r="C389" s="1181"/>
      <c r="D389" s="2301"/>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80"/>
      <c r="C390" s="1181"/>
      <c r="D390" s="2301"/>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80"/>
      <c r="C391" s="1181"/>
      <c r="D391" s="2301"/>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80"/>
      <c r="C392" s="1181"/>
      <c r="D392" s="2301"/>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80"/>
      <c r="C393" s="1181"/>
      <c r="D393" s="2301"/>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80"/>
      <c r="C394" s="1181"/>
      <c r="D394" s="2301"/>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80"/>
      <c r="C395" s="1181"/>
      <c r="D395" s="2301"/>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80"/>
      <c r="C396" s="1181"/>
      <c r="D396" s="2301"/>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80"/>
      <c r="C397" s="1181"/>
      <c r="D397" s="2301"/>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80"/>
      <c r="C398" s="1181"/>
      <c r="D398" s="2301"/>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80"/>
      <c r="C399" s="1181"/>
      <c r="D399" s="2301"/>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80"/>
      <c r="C400" s="1181"/>
      <c r="D400" s="2301"/>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80"/>
      <c r="C401" s="1181"/>
      <c r="D401" s="2301"/>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80"/>
      <c r="C402" s="1181"/>
      <c r="D402" s="2301"/>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80"/>
      <c r="C403" s="1181"/>
      <c r="D403" s="2301"/>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80"/>
      <c r="C404" s="1181"/>
      <c r="D404" s="2301"/>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80"/>
      <c r="C405" s="1181"/>
      <c r="D405" s="2301"/>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80"/>
      <c r="C406" s="1181"/>
      <c r="D406" s="2301"/>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80"/>
      <c r="C407" s="1181"/>
      <c r="D407" s="2301"/>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80"/>
      <c r="C408" s="1181"/>
      <c r="D408" s="2301"/>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80"/>
      <c r="C409" s="1181"/>
      <c r="D409" s="2301"/>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80"/>
      <c r="C410" s="1181"/>
      <c r="D410" s="2301"/>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80"/>
      <c r="C411" s="1181"/>
      <c r="D411" s="2301"/>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80"/>
      <c r="C412" s="1181"/>
      <c r="D412" s="2301"/>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80"/>
      <c r="C413" s="1181"/>
      <c r="D413" s="2301"/>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80"/>
      <c r="C414" s="1181"/>
      <c r="D414" s="2301"/>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80"/>
      <c r="C415" s="1181"/>
      <c r="D415" s="2301"/>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80"/>
      <c r="C416" s="1181"/>
      <c r="D416" s="2301"/>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80"/>
      <c r="C417" s="1181"/>
      <c r="D417" s="2301"/>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80"/>
      <c r="C418" s="1181"/>
      <c r="D418" s="2301"/>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80"/>
      <c r="C419" s="1181"/>
      <c r="D419" s="2301"/>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80"/>
      <c r="C420" s="1181"/>
      <c r="D420" s="2301"/>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80"/>
      <c r="C421" s="1181"/>
      <c r="D421" s="2301"/>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80"/>
      <c r="C422" s="1181"/>
      <c r="D422" s="2301"/>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80"/>
      <c r="C423" s="1181"/>
      <c r="D423" s="2301"/>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80"/>
      <c r="C481" s="1181"/>
      <c r="D481" s="2301"/>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80"/>
      <c r="C482" s="1181"/>
      <c r="D482" s="2301"/>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80"/>
      <c r="C483" s="1181"/>
      <c r="D483" s="2301"/>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80"/>
      <c r="C484" s="1181"/>
      <c r="D484" s="2301"/>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80"/>
      <c r="C485" s="1181"/>
      <c r="D485" s="2301"/>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80"/>
      <c r="C486" s="1181"/>
      <c r="D486" s="2301"/>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80"/>
      <c r="C487" s="1181"/>
      <c r="D487" s="2301"/>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80"/>
      <c r="C488" s="1181"/>
      <c r="D488" s="2301"/>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80"/>
      <c r="C489" s="1181"/>
      <c r="D489" s="2301"/>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80"/>
      <c r="C490" s="1181"/>
      <c r="D490" s="2301"/>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80"/>
      <c r="C491" s="1181"/>
      <c r="D491" s="2301"/>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80"/>
      <c r="C492" s="1181"/>
      <c r="D492" s="2301"/>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80"/>
      <c r="C493" s="1181"/>
      <c r="D493" s="2301"/>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80"/>
      <c r="C494" s="1181"/>
      <c r="D494" s="2301"/>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80"/>
      <c r="C495" s="1181"/>
      <c r="D495" s="2301"/>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80"/>
      <c r="C496" s="1181"/>
      <c r="D496" s="2301"/>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80"/>
      <c r="C497" s="1181"/>
      <c r="D497" s="2301"/>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80"/>
      <c r="C498" s="1181"/>
      <c r="D498" s="2301"/>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80"/>
      <c r="C499" s="1181"/>
      <c r="D499" s="2301"/>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80"/>
      <c r="C500" s="1181"/>
      <c r="D500" s="2301"/>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80"/>
      <c r="C501" s="1181"/>
      <c r="D501" s="2301"/>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80"/>
      <c r="C502" s="1181"/>
      <c r="D502" s="2301"/>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80"/>
      <c r="C503" s="1181"/>
      <c r="D503" s="2301"/>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80"/>
      <c r="C504" s="1181"/>
      <c r="D504" s="2301"/>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80"/>
      <c r="C505" s="1181"/>
      <c r="D505" s="2301"/>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80"/>
      <c r="C506" s="1181"/>
      <c r="D506" s="2301"/>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80"/>
      <c r="C507" s="1181"/>
      <c r="D507" s="2301"/>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80"/>
      <c r="C508" s="1181"/>
      <c r="D508" s="2301"/>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80"/>
      <c r="C509" s="1181"/>
      <c r="D509" s="2301"/>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80"/>
      <c r="C510" s="1181"/>
      <c r="D510" s="2301"/>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80"/>
      <c r="C511" s="1181"/>
      <c r="D511" s="2301"/>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80"/>
      <c r="C512" s="1181"/>
      <c r="D512" s="2301"/>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80"/>
      <c r="C513" s="1181"/>
      <c r="D513" s="2301"/>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80"/>
      <c r="C514" s="1181"/>
      <c r="D514" s="2301"/>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80"/>
      <c r="C515" s="1181"/>
      <c r="D515" s="2301"/>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5" sqref="H25"/>
    </sheetView>
  </sheetViews>
  <sheetFormatPr defaultColWidth="9.21875" defaultRowHeight="13.8"/>
  <cols>
    <col min="1" max="1" width="8.21875" style="1635" customWidth="1"/>
    <col min="2" max="2" width="10.21875" style="1635" customWidth="1"/>
    <col min="3" max="3" width="18.44140625" style="1635" customWidth="1"/>
    <col min="4" max="4" width="11.109375" style="1635" customWidth="1"/>
    <col min="5" max="5" width="13.33203125" style="1635" customWidth="1"/>
    <col min="6" max="8" width="11.44140625" style="1635" customWidth="1"/>
    <col min="9" max="9" width="10.33203125" style="1635" customWidth="1"/>
    <col min="10" max="10" width="3.109375" style="1635" customWidth="1"/>
    <col min="11" max="16" width="11.6640625" style="1635" customWidth="1"/>
    <col min="17" max="17" width="3.33203125" style="1635" customWidth="1"/>
    <col min="18" max="16384" width="9.21875" style="1635"/>
  </cols>
  <sheetData>
    <row r="1" spans="1:16" ht="17.399999999999999">
      <c r="A1" s="95" t="s">
        <v>168</v>
      </c>
      <c r="B1" s="1634"/>
      <c r="C1" s="1634"/>
      <c r="D1" s="1634"/>
      <c r="E1" s="1634"/>
      <c r="F1" s="1634"/>
      <c r="G1" s="1634"/>
      <c r="H1" s="1634"/>
      <c r="I1" s="1634"/>
      <c r="J1" s="1634"/>
      <c r="K1" s="1634"/>
      <c r="L1" s="1634"/>
      <c r="M1" s="1634"/>
      <c r="N1" s="1634"/>
      <c r="O1" s="1634"/>
      <c r="P1" s="1634"/>
    </row>
    <row r="2" spans="1:16" ht="14.4">
      <c r="A2" s="3501" t="s">
        <v>169</v>
      </c>
      <c r="B2" s="3501"/>
      <c r="C2" s="3501"/>
      <c r="D2" s="1632" t="s">
        <v>170</v>
      </c>
      <c r="E2" s="97" t="s">
        <v>171</v>
      </c>
      <c r="F2" s="2610"/>
      <c r="G2" s="1042"/>
      <c r="H2" s="1043"/>
      <c r="I2" s="1044" t="s">
        <v>795</v>
      </c>
      <c r="J2" s="2610"/>
      <c r="K2" s="2610"/>
      <c r="L2" s="2610"/>
      <c r="M2" s="2610"/>
      <c r="N2" s="2610"/>
      <c r="O2" s="2610"/>
      <c r="P2" s="2610"/>
    </row>
    <row r="3" spans="1:16" ht="15" thickBot="1">
      <c r="A3" s="3502" t="s">
        <v>172</v>
      </c>
      <c r="B3" s="3502"/>
      <c r="C3" s="3502"/>
      <c r="D3" s="98">
        <f>'数据-基础表'!AY6</f>
        <v>42082</v>
      </c>
      <c r="E3" s="98">
        <f>'数据-基础表'!AZ5</f>
        <v>92580.400000000009</v>
      </c>
      <c r="F3" s="2610"/>
      <c r="G3" s="106" t="s">
        <v>796</v>
      </c>
      <c r="H3" s="102" t="s">
        <v>797</v>
      </c>
      <c r="I3" s="997">
        <f>ROUND('数据-基础表'!B3/'数据-基础表'!A3,2)</f>
        <v>2.2000000000000002</v>
      </c>
      <c r="J3" s="2610"/>
      <c r="K3" s="2610"/>
      <c r="L3" s="2610"/>
      <c r="M3" s="2610"/>
      <c r="N3" s="2610"/>
      <c r="O3" s="2610"/>
      <c r="P3" s="2610"/>
    </row>
    <row r="4" spans="1:16" ht="14.4">
      <c r="A4" s="3503"/>
      <c r="B4" s="3504"/>
      <c r="C4" s="3505"/>
      <c r="D4" s="99" t="s">
        <v>170</v>
      </c>
      <c r="E4" s="100" t="s">
        <v>171</v>
      </c>
      <c r="F4" s="2610"/>
      <c r="G4" s="119"/>
      <c r="H4" s="102" t="s">
        <v>798</v>
      </c>
      <c r="I4" s="997">
        <f>ROUND(SUMIF('数据-基础表'!I9:AS9,"地上",'数据-基础表'!I5:AS5)/'数据-基础表'!A3,2)</f>
        <v>2.2000000000000002</v>
      </c>
      <c r="J4" s="2610"/>
      <c r="K4" s="2610"/>
      <c r="L4" s="2610"/>
      <c r="M4" s="2610"/>
      <c r="N4" s="2610"/>
      <c r="O4" s="2610"/>
      <c r="P4" s="2610"/>
    </row>
    <row r="5" spans="1:16" ht="14.4">
      <c r="A5" s="101" t="s">
        <v>173</v>
      </c>
      <c r="B5" s="3506" t="s">
        <v>196</v>
      </c>
      <c r="C5" s="3506"/>
      <c r="D5" s="102">
        <f>ROUND($D$3*E5/$E$3,2)</f>
        <v>42082</v>
      </c>
      <c r="E5" s="103">
        <f>SUMIF('数据-基础表'!$11:$11,"住宅",'数据-基础表'!$5:$5)</f>
        <v>92580.400000000009</v>
      </c>
      <c r="F5" s="2610"/>
      <c r="G5" s="106" t="s">
        <v>799</v>
      </c>
      <c r="H5" s="102" t="s">
        <v>797</v>
      </c>
      <c r="I5" s="997">
        <f>ROUND(E31/D31,2)</f>
        <v>2.2000000000000002</v>
      </c>
      <c r="J5" s="2610"/>
      <c r="K5" s="2610"/>
      <c r="L5" s="2610"/>
      <c r="M5" s="2610"/>
      <c r="N5" s="2610"/>
      <c r="O5" s="2610"/>
      <c r="P5" s="2610"/>
    </row>
    <row r="6" spans="1:16" ht="15" thickBot="1">
      <c r="A6" s="104"/>
      <c r="B6" s="3506" t="s">
        <v>174</v>
      </c>
      <c r="C6" s="3506"/>
      <c r="D6" s="102">
        <f>ROUND($D$3*E6/$E$3,2)</f>
        <v>0</v>
      </c>
      <c r="E6" s="103">
        <f>E3-E5</f>
        <v>0</v>
      </c>
      <c r="F6" s="2610"/>
      <c r="G6" s="119"/>
      <c r="H6" s="102" t="s">
        <v>798</v>
      </c>
      <c r="I6" s="997">
        <f>ROUND(F31/D31,2)</f>
        <v>2.2000000000000002</v>
      </c>
      <c r="J6" s="2610"/>
      <c r="K6" s="2610"/>
      <c r="L6" s="2610"/>
      <c r="M6" s="2610"/>
      <c r="N6" s="2610"/>
      <c r="O6" s="2610"/>
      <c r="P6" s="2610"/>
    </row>
    <row r="7" spans="1:16" ht="14.4">
      <c r="A7" s="3498"/>
      <c r="B7" s="3499"/>
      <c r="C7" s="3500"/>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42082</v>
      </c>
      <c r="E8" s="107">
        <f>SUMIF('数据-基础表'!BB10:BK10,"地上",'数据-基础表'!BB5:BK5)</f>
        <v>92580.400000000009</v>
      </c>
      <c r="F8" s="2610"/>
      <c r="G8" s="2610"/>
      <c r="H8" s="2610"/>
      <c r="I8" s="2610"/>
      <c r="J8" s="2610"/>
      <c r="K8" s="2610"/>
      <c r="L8" s="2610"/>
      <c r="M8" s="2610"/>
      <c r="N8" s="2610"/>
      <c r="O8" s="2610"/>
      <c r="P8" s="2610"/>
    </row>
    <row r="9" spans="1:16" ht="14.4">
      <c r="A9" s="108"/>
      <c r="B9" s="109"/>
      <c r="C9" s="102" t="s">
        <v>178</v>
      </c>
      <c r="D9" s="102">
        <f t="shared" si="0"/>
        <v>0</v>
      </c>
      <c r="E9" s="110">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9"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9"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42082</v>
      </c>
      <c r="E16" s="111">
        <f>SUM(E8:E15)</f>
        <v>92580.400000000009</v>
      </c>
      <c r="F16" s="2610"/>
      <c r="G16" s="2610"/>
      <c r="H16" s="883" t="s">
        <v>185</v>
      </c>
      <c r="I16" s="884"/>
      <c r="J16" s="1634"/>
      <c r="K16" s="3492" t="s">
        <v>1849</v>
      </c>
      <c r="L16" s="3493"/>
      <c r="M16" s="3493"/>
      <c r="N16" s="3493"/>
      <c r="O16" s="3493"/>
      <c r="P16" s="3494"/>
    </row>
    <row r="17" spans="1:19" ht="14.4">
      <c r="A17" s="112" t="s">
        <v>182</v>
      </c>
      <c r="B17" s="113" t="s">
        <v>183</v>
      </c>
      <c r="C17" s="1887" t="s">
        <v>1670</v>
      </c>
      <c r="D17" s="99" t="s">
        <v>170</v>
      </c>
      <c r="E17" s="115" t="s">
        <v>171</v>
      </c>
      <c r="F17" s="116"/>
      <c r="G17" s="1159"/>
      <c r="H17" s="885" t="s">
        <v>184</v>
      </c>
      <c r="I17" s="886" t="s">
        <v>1669</v>
      </c>
      <c r="J17" s="1634"/>
      <c r="K17" s="3495" t="s">
        <v>1850</v>
      </c>
      <c r="L17" s="3496"/>
      <c r="M17" s="3497"/>
      <c r="N17" s="3495" t="s">
        <v>1851</v>
      </c>
      <c r="O17" s="3496"/>
      <c r="P17" s="3497"/>
      <c r="R17" s="1888" t="s">
        <v>1668</v>
      </c>
      <c r="S17" s="125"/>
    </row>
    <row r="18" spans="1:19" ht="14.4">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ht="14.4">
      <c r="A19" s="123"/>
      <c r="B19" s="106" t="s">
        <v>191</v>
      </c>
      <c r="C19" s="2310" t="str">
        <f>'数据-基础表'!C13</f>
        <v>住宅</v>
      </c>
      <c r="D19" s="102">
        <f t="shared" ref="D19:D26" si="1">ROUND($D$3*E19/$E$3,2)</f>
        <v>42082</v>
      </c>
      <c r="E19" s="124">
        <f t="shared" ref="E19:E26" si="2">SUM(F19:G19)</f>
        <v>92580.400000000009</v>
      </c>
      <c r="F19" s="2611">
        <f>'数据-基础表'!H13</f>
        <v>92580.400000000009</v>
      </c>
      <c r="G19" s="2612"/>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42082</v>
      </c>
      <c r="S19" s="124">
        <f t="shared" si="5"/>
        <v>92580.400000000009</v>
      </c>
    </row>
    <row r="20" spans="1:19" ht="14.4">
      <c r="A20" s="123"/>
      <c r="B20" s="106" t="s">
        <v>192</v>
      </c>
      <c r="C20" s="2310"/>
      <c r="D20" s="102">
        <f t="shared" si="1"/>
        <v>0</v>
      </c>
      <c r="E20" s="124">
        <f t="shared" si="2"/>
        <v>0</v>
      </c>
      <c r="F20" s="2611"/>
      <c r="G20" s="2612"/>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ht="14.4">
      <c r="A21" s="123"/>
      <c r="B21" s="106" t="s">
        <v>192</v>
      </c>
      <c r="C21" s="2310"/>
      <c r="D21" s="102">
        <f t="shared" si="1"/>
        <v>0</v>
      </c>
      <c r="E21" s="124">
        <f t="shared" si="2"/>
        <v>0</v>
      </c>
      <c r="F21" s="2611"/>
      <c r="G21" s="2612"/>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ht="14.4">
      <c r="A22" s="123"/>
      <c r="B22" s="106" t="s">
        <v>192</v>
      </c>
      <c r="C22" s="3084"/>
      <c r="D22" s="102">
        <f t="shared" si="1"/>
        <v>0</v>
      </c>
      <c r="E22" s="124">
        <f t="shared" si="2"/>
        <v>0</v>
      </c>
      <c r="F22" s="2613"/>
      <c r="G22" s="2614"/>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ht="14.4">
      <c r="A23" s="123"/>
      <c r="B23" s="106" t="s">
        <v>192</v>
      </c>
      <c r="C23" s="3084"/>
      <c r="D23" s="102">
        <f>ROUND($D$3*E23/$E$3,2)</f>
        <v>0</v>
      </c>
      <c r="E23" s="124">
        <f>SUM(F23:G23)</f>
        <v>0</v>
      </c>
      <c r="F23" s="2613"/>
      <c r="G23" s="2614"/>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ht="14.4">
      <c r="A24" s="123"/>
      <c r="B24" s="106" t="s">
        <v>192</v>
      </c>
      <c r="C24" s="3084"/>
      <c r="D24" s="102">
        <f>ROUND($D$3*E24/$E$3,2)</f>
        <v>0</v>
      </c>
      <c r="E24" s="124">
        <f>SUM(F24:G24)</f>
        <v>0</v>
      </c>
      <c r="F24" s="2613"/>
      <c r="G24" s="2614"/>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ht="14.4">
      <c r="A25" s="123"/>
      <c r="B25" s="106" t="s">
        <v>192</v>
      </c>
      <c r="C25" s="3084"/>
      <c r="D25" s="102">
        <f t="shared" si="1"/>
        <v>0</v>
      </c>
      <c r="E25" s="124">
        <f t="shared" si="2"/>
        <v>0</v>
      </c>
      <c r="F25" s="2613"/>
      <c r="G25" s="2614"/>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 thickBot="1">
      <c r="A27" s="123"/>
      <c r="B27" s="102"/>
      <c r="C27" s="118" t="s">
        <v>181</v>
      </c>
      <c r="D27" s="124">
        <f>SUM(D19:D26)</f>
        <v>42082</v>
      </c>
      <c r="E27" s="129">
        <f>IF(SUM(E19:E26)='数据-基础表'!BA5,SUM(E19:E26),IF(F27="地上面积有误","面积有误","地下面积有误"))</f>
        <v>92580.400000000009</v>
      </c>
      <c r="F27" s="124">
        <f>IF(SUM(F19:F26)=E8,SUM(F19:F26),"地上面积有误")</f>
        <v>92580.400000000009</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42082</v>
      </c>
      <c r="S27" s="102">
        <f>IF(SUM(S19:S26)=$E$3,SUM(S19:S26),SUM(S19:S26)&amp;"误差"&amp;ROUND(SUM(S19:S26)-E3,2))</f>
        <v>92580.400000000009</v>
      </c>
    </row>
    <row r="28" spans="1:19" ht="14.4">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ht="14.4">
      <c r="A29" s="123"/>
      <c r="B29" s="106" t="s">
        <v>193</v>
      </c>
      <c r="C29" s="1901"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ht="14.4">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8" t="s">
        <v>1679</v>
      </c>
      <c r="D31" s="1163">
        <f>D27+D30</f>
        <v>42082</v>
      </c>
      <c r="E31" s="1163">
        <f>E27+E30</f>
        <v>92580.400000000009</v>
      </c>
      <c r="F31" s="1164">
        <f>F27+F30</f>
        <v>92580.400000000009</v>
      </c>
      <c r="G31" s="1165">
        <f>G27+G30</f>
        <v>0</v>
      </c>
      <c r="H31" s="2610"/>
      <c r="I31" s="2610"/>
      <c r="J31" s="2610"/>
      <c r="K31" s="2610"/>
      <c r="L31" s="2610"/>
      <c r="M31" s="2610"/>
      <c r="N31" s="2610"/>
      <c r="O31" s="2610"/>
      <c r="P31" s="2610"/>
    </row>
    <row r="32" spans="1:19" ht="14.4">
      <c r="A32" s="1634"/>
      <c r="B32" s="1930" t="s">
        <v>1678</v>
      </c>
      <c r="C32" s="2088"/>
      <c r="D32" s="119"/>
      <c r="E32" s="119">
        <f>SUMIF(C19:C26,"*住宅*",E19:E26)</f>
        <v>92580.400000000009</v>
      </c>
      <c r="F32" s="119"/>
      <c r="G32" s="119"/>
      <c r="H32" s="2610"/>
      <c r="I32" s="2610"/>
      <c r="J32" s="2610"/>
      <c r="K32" s="2610"/>
      <c r="L32" s="2610"/>
      <c r="M32" s="2610"/>
      <c r="N32" s="2610"/>
      <c r="O32" s="2610"/>
      <c r="P32" s="2610"/>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I10" sqref="I10"/>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6"/>
      <c r="AO1" s="2616"/>
      <c r="AP1" s="2616"/>
      <c r="AQ1" s="2616"/>
      <c r="AR1" s="2616"/>
      <c r="AS1" s="2616"/>
      <c r="AT1" s="2616"/>
      <c r="AU1" s="2616"/>
      <c r="AV1" s="2616"/>
      <c r="AW1" s="2616"/>
      <c r="AX1" s="2616"/>
      <c r="AY1" s="2616"/>
      <c r="AZ1" s="2616"/>
    </row>
    <row r="2" spans="1:83" s="1047" customFormat="1" ht="15" thickBot="1">
      <c r="A2" s="133" t="s">
        <v>201</v>
      </c>
      <c r="B2" s="1926">
        <f>项目基本情况!D3</f>
        <v>45730</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0"/>
      <c r="AO2" s="2610"/>
      <c r="AP2" s="2610"/>
      <c r="AQ2" s="2610"/>
      <c r="AR2" s="2610"/>
      <c r="AS2" s="2610"/>
      <c r="AT2" s="2610"/>
      <c r="AU2" s="2610"/>
      <c r="AV2" s="2610"/>
      <c r="AW2" s="2610"/>
      <c r="AX2" s="2610"/>
      <c r="AY2" s="2610"/>
      <c r="AZ2" s="2610"/>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4.4"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0"/>
      <c r="AO3" s="2610"/>
      <c r="AP3" s="2610"/>
      <c r="AQ3" s="2610"/>
      <c r="AR3" s="2610"/>
      <c r="AS3" s="2610"/>
      <c r="AT3" s="2610"/>
      <c r="AU3" s="2610"/>
      <c r="AV3" s="2610"/>
      <c r="AW3" s="2610"/>
      <c r="AX3" s="2610"/>
      <c r="AY3" s="2610"/>
      <c r="AZ3" s="2610"/>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7.6">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8"/>
      <c r="AP5" s="2615" t="s">
        <v>2264</v>
      </c>
      <c r="AQ5" s="2628"/>
      <c r="AR5" s="2628"/>
      <c r="AS5" s="2628"/>
      <c r="AT5" s="2628"/>
      <c r="AU5" s="2628"/>
      <c r="AV5" s="2628"/>
      <c r="AW5" s="2628"/>
      <c r="AX5" s="2628"/>
      <c r="AY5" s="2628"/>
      <c r="AZ5" s="2628"/>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4">
      <c r="A6" s="1890" t="str">
        <f>'数据-汇总表'!C19</f>
        <v>住宅</v>
      </c>
      <c r="B6" s="1925" t="str">
        <f>IF(A6=0,"","经营性")</f>
        <v>经营性</v>
      </c>
      <c r="C6" s="157" t="s">
        <v>851</v>
      </c>
      <c r="D6" s="1896">
        <f>SUMIF(项目基本情况!C$15:I$15,C6,项目基本情况!C$18:I$18)</f>
        <v>70</v>
      </c>
      <c r="E6" s="1897">
        <f>IF(B6="","",SUMIF(项目基本情况!C$15:I$15,C6,项目基本情况!C$17:I$17))</f>
        <v>70551</v>
      </c>
      <c r="F6" s="158">
        <f>SUMIF(项目基本情况!C$15:I$15,C6,项目基本情况!C$19:I$19)</f>
        <v>68</v>
      </c>
      <c r="G6" s="159">
        <f t="shared" ref="G6:G13" si="0">IF(ISERROR(ROUND(POWER(1+H6,D6-F6)*(POWER(1+H6,F6)-1)/(POWER(1+H6,D6)-1),3)),0,ROUND(POWER(1+H6,D6-F6)*(POWER(1+H6,F6)-1)/(POWER(1+H6,D6)-1),3))</f>
        <v>0.997</v>
      </c>
      <c r="H6" s="2311">
        <v>0.05</v>
      </c>
      <c r="I6" s="2311">
        <v>5.5E-2</v>
      </c>
      <c r="J6" s="160">
        <v>7.0000000000000007E-2</v>
      </c>
      <c r="K6" s="163">
        <f>SUMIF('数据-汇总表'!C$19:C$33,'数据-取费表'!A6,'数据-汇总表'!E$19:E$33)</f>
        <v>92580.400000000009</v>
      </c>
      <c r="L6" s="2312"/>
      <c r="M6" s="161">
        <f t="shared" ref="M6:M14" si="1">ROUND(K6*L6/10000,0)</f>
        <v>0</v>
      </c>
      <c r="N6" s="2313">
        <v>0</v>
      </c>
      <c r="O6" s="161">
        <f>IF($N$5="成新度","——",ROUND(M6*N6,0))</f>
        <v>0</v>
      </c>
      <c r="P6" s="162">
        <f>IF($N$5="成新度","——",M6-O6)</f>
        <v>0</v>
      </c>
      <c r="Q6" s="2314">
        <v>0.15</v>
      </c>
      <c r="R6" s="163">
        <f>SUMIF('数据-汇总表'!C$19:C$33,A6,'数据-汇总表'!R$19:R$33)</f>
        <v>42082</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2"/>
      <c r="AN6" s="1125"/>
      <c r="AO6" s="2610"/>
      <c r="AP6" s="96">
        <f>ROUND(1-1/(1+H6)^F6,3)</f>
        <v>0.96399999999999997</v>
      </c>
      <c r="AQ6" s="2610"/>
      <c r="AR6" s="2610"/>
      <c r="AS6" s="2610"/>
      <c r="AT6" s="2610"/>
      <c r="AU6" s="2610"/>
      <c r="AV6" s="2610"/>
      <c r="AW6" s="2610"/>
      <c r="AX6" s="2610"/>
      <c r="AY6" s="2610"/>
      <c r="AZ6" s="2610"/>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4">
      <c r="A7" s="1890">
        <f>'数据-汇总表'!C20</f>
        <v>0</v>
      </c>
      <c r="B7" s="1925" t="str">
        <f t="shared" ref="B7:B13" si="2">IF(A7=0,"","经营性")</f>
        <v/>
      </c>
      <c r="C7" s="157" t="s">
        <v>2738</v>
      </c>
      <c r="D7" s="1896">
        <f>SUMIF(项目基本情况!C$15:I$15,C7,项目基本情况!C$18:I$18)</f>
        <v>40</v>
      </c>
      <c r="E7" s="1897" t="str">
        <f>IF(B7="","",SUMIF(项目基本情况!C$15:I$15,C7,项目基本情况!C$17:I$17))</f>
        <v/>
      </c>
      <c r="F7" s="158">
        <f>SUMIF(项目基本情况!C$15:I$15,C7,项目基本情况!C$19:I$19)</f>
        <v>0</v>
      </c>
      <c r="G7" s="159">
        <f t="shared" si="0"/>
        <v>0</v>
      </c>
      <c r="H7" s="2311">
        <f>H6</f>
        <v>0.05</v>
      </c>
      <c r="I7" s="2311">
        <f>I6</f>
        <v>5.5E-2</v>
      </c>
      <c r="J7" s="160">
        <f>J6</f>
        <v>7.0000000000000007E-2</v>
      </c>
      <c r="K7" s="163">
        <f>SUMIF('数据-汇总表'!C$19:C$33,'数据-取费表'!A7,'数据-汇总表'!E$19:E$33)</f>
        <v>0</v>
      </c>
      <c r="L7" s="2312">
        <f>L6</f>
        <v>0</v>
      </c>
      <c r="M7" s="161">
        <f t="shared" si="1"/>
        <v>0</v>
      </c>
      <c r="N7" s="2313">
        <f>N6</f>
        <v>0</v>
      </c>
      <c r="O7" s="161">
        <f t="shared" ref="O7:O14" si="3">IF($N$5="成新度","——",ROUND(M7*N7,0))</f>
        <v>0</v>
      </c>
      <c r="P7" s="162">
        <f t="shared" ref="P7:P14" si="4">IF($N$5="成新度","——",M7-O7)</f>
        <v>0</v>
      </c>
      <c r="Q7" s="2314">
        <f>Q6</f>
        <v>0.15</v>
      </c>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v>0.02</v>
      </c>
      <c r="W7" s="165">
        <v>0.1</v>
      </c>
      <c r="X7" s="1909"/>
      <c r="Y7" s="166">
        <v>1</v>
      </c>
      <c r="Z7" s="167"/>
      <c r="AA7" s="160"/>
      <c r="AB7" s="160"/>
      <c r="AC7" s="1912"/>
      <c r="AD7" s="168"/>
      <c r="AE7" s="887" t="e">
        <f t="shared" ref="AE7:AE13" ca="1" si="6">IF(AN7="",0,SUMIF(INDIRECT("'"&amp;AN7&amp;"'"&amp;"!E:E"),$AE$5,INDIRECT("'"&amp;AN7&amp;"'"&amp;"!F:F")))</f>
        <v>#N/A</v>
      </c>
      <c r="AF7" s="127"/>
      <c r="AG7" s="1054">
        <f t="shared" ref="AG7:AG13" si="7">IF(AF7="",0,AE7-AF7)</f>
        <v>0</v>
      </c>
      <c r="AH7" s="127"/>
      <c r="AI7" s="171">
        <v>365</v>
      </c>
      <c r="AJ7" s="127"/>
      <c r="AK7" s="172">
        <v>0.01</v>
      </c>
      <c r="AL7" s="173">
        <v>1E-3</v>
      </c>
      <c r="AM7" s="2322">
        <v>0.01</v>
      </c>
      <c r="AN7" s="1125" t="s">
        <v>3335</v>
      </c>
      <c r="AO7" s="2610"/>
      <c r="AP7" s="96">
        <f t="shared" ref="AP7:AP13" si="8">ROUND(1-1/(1+H7)^F7,3)</f>
        <v>0</v>
      </c>
      <c r="AQ7" s="2610"/>
      <c r="AR7" s="2610"/>
      <c r="AS7" s="2610"/>
      <c r="AT7" s="2610"/>
      <c r="AU7" s="2610"/>
      <c r="AV7" s="2610"/>
      <c r="AW7" s="2610"/>
      <c r="AX7" s="2610"/>
      <c r="AY7" s="2610"/>
      <c r="AZ7" s="2610"/>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4">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4">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4">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4">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4">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4">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0"/>
      <c r="AP13" s="96">
        <f t="shared" si="8"/>
        <v>0</v>
      </c>
      <c r="AQ13" s="2610"/>
      <c r="AR13" s="2610"/>
      <c r="AS13" s="2610"/>
      <c r="AT13" s="2610"/>
      <c r="AU13" s="2610"/>
      <c r="AV13" s="2610"/>
      <c r="AW13" s="2610"/>
      <c r="AX13" s="2610"/>
      <c r="AY13" s="2610"/>
      <c r="AZ13" s="2610"/>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3.8">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0"/>
      <c r="AO14" s="2610"/>
      <c r="AP14" s="2610"/>
      <c r="AQ14" s="2610"/>
      <c r="AR14" s="2610"/>
      <c r="AS14" s="2610"/>
      <c r="AT14" s="2610"/>
      <c r="AU14" s="2610"/>
      <c r="AV14" s="2610"/>
      <c r="AW14" s="2610"/>
      <c r="AX14" s="2610"/>
      <c r="AY14" s="2610"/>
      <c r="AZ14" s="2610"/>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8.8">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0"/>
      <c r="AO15" s="2610"/>
      <c r="AP15" s="2610"/>
      <c r="AQ15" s="2610"/>
      <c r="AR15" s="2610"/>
      <c r="AS15" s="2610"/>
      <c r="AT15" s="2610"/>
      <c r="AU15" s="2610"/>
      <c r="AV15" s="2610"/>
      <c r="AW15" s="2610"/>
      <c r="AX15" s="2610"/>
      <c r="AY15" s="2610"/>
      <c r="AZ15" s="2610"/>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 thickBot="1">
      <c r="A16" s="179" t="s">
        <v>228</v>
      </c>
      <c r="B16" s="180"/>
      <c r="C16" s="181"/>
      <c r="D16" s="182"/>
      <c r="E16" s="180"/>
      <c r="F16" s="180"/>
      <c r="G16" s="183">
        <f>ROUND(SUMPRODUCT(G6:G13,K6:K13)/SUMPRODUCT((G6:G13&gt;0)*(K6:K13)),3)</f>
        <v>0.997</v>
      </c>
      <c r="H16" s="184">
        <f>ROUND(SUMPRODUCT(H6:H13,K6:K13)/SUMPRODUCT((H6:H13&gt;0)*(K6:K13)),3)</f>
        <v>0.05</v>
      </c>
      <c r="I16" s="185"/>
      <c r="J16" s="185"/>
      <c r="K16" s="186">
        <f>SUM(K6:K15)</f>
        <v>92580.400000000009</v>
      </c>
      <c r="L16" s="187">
        <f>ROUND(M16*10000/SUM(K6:K14),0)</f>
        <v>0</v>
      </c>
      <c r="M16" s="187">
        <f>SUM(M6:M14)</f>
        <v>0</v>
      </c>
      <c r="N16" s="188" t="e">
        <f>ROUND(SUMPRODUCT(M6:M14,N6:N14)/M16,3)</f>
        <v>#DIV/0!</v>
      </c>
      <c r="O16" s="187">
        <f>SUM(O6:O14)</f>
        <v>0</v>
      </c>
      <c r="P16" s="187">
        <f>SUM(P6:P14)</f>
        <v>0</v>
      </c>
      <c r="Q16" s="189">
        <f>ROUND(SUMPRODUCT(Q6:Q13,K6:K13)/SUMPRODUCT((Q6:Q13&gt;0)*(K6:K13)),2)</f>
        <v>0.15</v>
      </c>
      <c r="R16" s="1899">
        <f>SUM(R6:R13)</f>
        <v>42082</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0.96399999999999997</v>
      </c>
      <c r="AQ16" s="2610"/>
      <c r="AR16" s="2610"/>
      <c r="AS16" s="2610"/>
      <c r="AT16" s="2610"/>
      <c r="AU16" s="2610"/>
      <c r="AV16" s="2610"/>
      <c r="AW16" s="2610"/>
      <c r="AX16" s="2610"/>
      <c r="AY16" s="2610"/>
      <c r="AZ16" s="2610"/>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2272</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105</v>
      </c>
      <c r="C27" s="2630" t="s">
        <v>2273</v>
      </c>
      <c r="D27" s="2622"/>
      <c r="E27" s="2616" t="s">
        <v>3336</v>
      </c>
      <c r="F27" s="2623"/>
      <c r="G27" s="2610"/>
      <c r="H27" s="2610"/>
      <c r="I27" s="2610"/>
      <c r="J27" s="2610"/>
      <c r="K27" s="2618"/>
      <c r="L27" s="2618"/>
      <c r="M27" s="2616"/>
      <c r="N27" s="2616"/>
      <c r="O27" s="2616"/>
      <c r="P27" s="2616"/>
      <c r="Q27" s="2616"/>
      <c r="R27" s="2616"/>
      <c r="S27" s="2616"/>
      <c r="T27" s="2616"/>
      <c r="U27" s="2616"/>
      <c r="V27" s="2616"/>
      <c r="W27" s="2616"/>
      <c r="X27" s="2616"/>
      <c r="Y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105</v>
      </c>
      <c r="C28" s="2624"/>
      <c r="D28" s="2622"/>
      <c r="F28" s="3402" t="s">
        <v>3337</v>
      </c>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70">
        <v>0.05</v>
      </c>
      <c r="C33" s="2632" t="s">
        <v>3270</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0.1</v>
      </c>
      <c r="C34" s="2632" t="s">
        <v>2265</v>
      </c>
      <c r="D34" s="2633" t="s">
        <v>2270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2266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3313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3271</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0.03</v>
      </c>
      <c r="C38" s="2632" t="s">
        <v>3272</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4"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2287</v>
      </c>
      <c r="B40" s="1992">
        <f ca="1">IF(A40="利息：取LPR",存贷款利率!E2,存贷款利率!E2+C40)</f>
        <v>3.1E-2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3273</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2267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2268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2267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t="s">
        <v>3338</v>
      </c>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3403" t="s">
        <v>3339</v>
      </c>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1152</v>
      </c>
      <c r="C53" s="2626" t="s">
        <v>2167</v>
      </c>
      <c r="D53" s="2636" t="s">
        <v>2271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2172</v>
      </c>
      <c r="B58" s="170">
        <v>1.5</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2173</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45" customWidth="1"/>
    <col min="2" max="2" width="23.44140625" style="2666" customWidth="1"/>
    <col min="3" max="3" width="32.21875" style="2666" customWidth="1"/>
    <col min="4" max="4" width="2.6640625" style="2666" customWidth="1"/>
    <col min="5" max="5" width="5.88671875" style="2666" customWidth="1"/>
    <col min="6" max="6" width="23.6640625" style="2666" customWidth="1"/>
    <col min="7" max="7" width="33.33203125" style="2666" customWidth="1"/>
    <col min="8" max="8" width="11.88671875" style="2666" customWidth="1"/>
    <col min="9" max="9" width="16.77734375" style="2666" customWidth="1"/>
    <col min="10" max="10" width="2.6640625" style="2666" customWidth="1"/>
    <col min="11" max="11" width="11.88671875" style="2666" customWidth="1"/>
    <col min="12" max="12" width="16.77734375" style="2666" customWidth="1"/>
    <col min="13" max="13" width="2.6640625" style="2666" customWidth="1"/>
    <col min="14" max="14" width="11.88671875" style="2666" customWidth="1"/>
    <col min="15" max="15" width="16.77734375" style="2666" customWidth="1"/>
    <col min="16" max="16" width="2.6640625" style="2666" customWidth="1"/>
    <col min="17" max="17" width="11.88671875" style="2666" customWidth="1"/>
    <col min="18" max="18" width="16.77734375" style="2645" customWidth="1"/>
    <col min="19" max="16384" width="9" style="2645"/>
  </cols>
  <sheetData>
    <row r="1" spans="1:18" s="2639" customFormat="1" ht="18" thickBot="1">
      <c r="A1" s="3507" t="s">
        <v>1198</v>
      </c>
      <c r="B1" s="3508"/>
      <c r="C1" s="3508"/>
      <c r="D1" s="3508"/>
      <c r="E1" s="3508"/>
      <c r="F1" s="3508"/>
      <c r="G1" s="3508"/>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43.2">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3.2">
      <c r="A4" s="2650"/>
      <c r="B4" s="2653" t="s">
        <v>1202</v>
      </c>
      <c r="C4" s="2654" t="s">
        <v>2185</v>
      </c>
      <c r="D4" s="2649"/>
      <c r="E4" s="2655"/>
      <c r="F4" s="2656" t="s">
        <v>1203</v>
      </c>
      <c r="G4" s="2657" t="s">
        <v>2180</v>
      </c>
      <c r="H4" s="2645"/>
      <c r="I4" s="2645"/>
      <c r="J4" s="2645"/>
      <c r="K4" s="2645"/>
      <c r="L4" s="2645"/>
      <c r="M4" s="2645"/>
      <c r="N4" s="2645"/>
      <c r="O4" s="2645"/>
      <c r="P4" s="2645"/>
      <c r="Q4" s="2645"/>
    </row>
    <row r="5" spans="1:18" ht="43.2">
      <c r="A5" s="2650"/>
      <c r="B5" s="2653" t="s">
        <v>1204</v>
      </c>
      <c r="C5" s="2654" t="s">
        <v>2186</v>
      </c>
      <c r="D5" s="2649"/>
      <c r="E5" s="2655"/>
      <c r="F5" s="2653" t="s">
        <v>1829</v>
      </c>
      <c r="G5" s="2657" t="s">
        <v>2181</v>
      </c>
      <c r="H5" s="2645"/>
      <c r="I5" s="2645"/>
      <c r="J5" s="2645"/>
      <c r="K5" s="2645"/>
      <c r="L5" s="2645"/>
      <c r="M5" s="2645"/>
      <c r="N5" s="2645"/>
      <c r="O5" s="2645"/>
      <c r="P5" s="2645"/>
      <c r="Q5" s="2645"/>
    </row>
    <row r="6" spans="1:18" ht="43.2">
      <c r="A6" s="2650"/>
      <c r="B6" s="2653" t="s">
        <v>1190</v>
      </c>
      <c r="C6" s="2657" t="s">
        <v>2180</v>
      </c>
      <c r="D6" s="2649"/>
      <c r="E6" s="2655"/>
      <c r="F6" s="2653" t="s">
        <v>1830</v>
      </c>
      <c r="G6" s="2657" t="s">
        <v>2178</v>
      </c>
      <c r="H6" s="2645"/>
      <c r="I6" s="2645"/>
      <c r="J6" s="2645"/>
      <c r="K6" s="2645"/>
      <c r="L6" s="2645"/>
      <c r="M6" s="2645"/>
      <c r="N6" s="2645"/>
      <c r="O6" s="2645"/>
      <c r="P6" s="2645"/>
      <c r="Q6" s="2645"/>
    </row>
    <row r="7" spans="1:18" ht="29.4"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8.8">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7.399999999999999">
      <c r="A12" s="2668"/>
      <c r="B12" s="2658"/>
      <c r="C12" s="2649"/>
      <c r="D12" s="2669"/>
      <c r="E12" s="2649"/>
      <c r="F12" s="2658"/>
      <c r="G12" s="2658"/>
      <c r="H12" s="2670"/>
      <c r="I12" s="2670"/>
      <c r="J12" s="2670"/>
      <c r="K12" s="2670"/>
      <c r="L12" s="2671"/>
      <c r="M12" s="2670"/>
      <c r="N12" s="2672"/>
      <c r="O12" s="2672"/>
      <c r="P12" s="2672"/>
      <c r="Q12" s="2672"/>
    </row>
    <row r="13" spans="1:18" ht="18" thickBot="1">
      <c r="A13" s="2673" t="s">
        <v>1207</v>
      </c>
      <c r="B13" s="2669"/>
      <c r="C13" s="2669"/>
      <c r="D13" s="2643"/>
      <c r="E13" s="2669"/>
      <c r="F13" s="2669"/>
      <c r="G13" s="2669"/>
    </row>
    <row r="14" spans="1:18" ht="15" thickBot="1">
      <c r="A14" s="2674"/>
      <c r="B14" s="2674"/>
      <c r="C14" s="2675" t="s">
        <v>1199</v>
      </c>
      <c r="D14" s="2649"/>
      <c r="E14" s="2676"/>
      <c r="F14" s="2676"/>
      <c r="G14" s="2642" t="s">
        <v>1200</v>
      </c>
    </row>
    <row r="15" spans="1:18" ht="43.2">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3.2">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3.2">
      <c r="A17" s="2682"/>
      <c r="B17" s="2683" t="s">
        <v>1204</v>
      </c>
      <c r="C17" s="2684" t="str">
        <f>C5</f>
        <v>估价对象位于XX商圈，周边办公楼项目较多，入驻率高，办公集聚程度较好</v>
      </c>
      <c r="D17" s="2658"/>
      <c r="E17" s="2685"/>
      <c r="F17" s="2686" t="s">
        <v>1209</v>
      </c>
      <c r="G17" s="2688"/>
    </row>
    <row r="18" spans="1:7" ht="43.2">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8.8">
      <c r="A19" s="2682"/>
      <c r="B19" s="2686" t="s">
        <v>1194</v>
      </c>
      <c r="C19" s="2688"/>
      <c r="D19" s="2649"/>
      <c r="E19" s="2685"/>
      <c r="F19" s="2653" t="s">
        <v>1829</v>
      </c>
      <c r="G19" s="2687" t="str">
        <f>G5</f>
        <v>估价对象所在区域公共配套设施齐备情况</v>
      </c>
    </row>
    <row r="20" spans="1:7" ht="28.8">
      <c r="A20" s="2682"/>
      <c r="B20" s="2686" t="s">
        <v>1195</v>
      </c>
      <c r="C20" s="2684" t="str">
        <f>C9</f>
        <v>区域自然环境：；人文环境；综合评价环境状况一般</v>
      </c>
      <c r="D20" s="2658"/>
      <c r="E20" s="2685"/>
      <c r="F20" s="2653" t="s">
        <v>1830</v>
      </c>
      <c r="G20" s="2687" t="str">
        <f>G6</f>
        <v>估价对象所在区域基础设施水平</v>
      </c>
    </row>
    <row r="21" spans="1:7" ht="28.8">
      <c r="A21" s="2682"/>
      <c r="B21" s="2653" t="s">
        <v>1829</v>
      </c>
      <c r="C21" s="2687" t="str">
        <f>C7</f>
        <v>估价对象所在区域公共配套设施齐备情况</v>
      </c>
      <c r="D21" s="2649"/>
      <c r="E21" s="2685"/>
      <c r="F21" s="2686" t="s">
        <v>1196</v>
      </c>
      <c r="G21" s="2689"/>
    </row>
    <row r="22" spans="1:7">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2692"/>
    </row>
    <row r="24" spans="1:7" ht="1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G15" sqref="G15"/>
    </sheetView>
  </sheetViews>
  <sheetFormatPr defaultColWidth="14.6640625" defaultRowHeight="14.4"/>
  <cols>
    <col min="1" max="1" width="24.33203125" style="2696" customWidth="1"/>
    <col min="2" max="16384" width="14.6640625" style="2696"/>
  </cols>
  <sheetData>
    <row r="1" spans="1:10" ht="15.6">
      <c r="A1" s="2695" t="s">
        <v>2118</v>
      </c>
      <c r="B1" s="2695">
        <f>SUM(B14:B23)</f>
        <v>92580.400000000009</v>
      </c>
      <c r="C1" s="2703"/>
      <c r="D1" s="2703"/>
      <c r="E1" s="2703"/>
      <c r="F1" s="2703"/>
      <c r="G1" s="2704"/>
      <c r="H1" s="2704"/>
      <c r="I1" s="2704"/>
      <c r="J1" s="2704"/>
    </row>
    <row r="2" spans="1:10" ht="15.6">
      <c r="A2" s="2695" t="s">
        <v>2119</v>
      </c>
      <c r="B2" s="2695">
        <f>SUM(C14:C23)</f>
        <v>42082</v>
      </c>
      <c r="C2" s="2703"/>
      <c r="D2" s="2703"/>
      <c r="E2" s="2703"/>
      <c r="F2" s="2703"/>
      <c r="G2" s="2704"/>
      <c r="H2" s="2704"/>
      <c r="I2" s="2704"/>
      <c r="J2" s="2704"/>
    </row>
    <row r="3" spans="1:10" ht="15.6">
      <c r="A3" s="2695" t="s">
        <v>2120</v>
      </c>
      <c r="B3" s="2697">
        <f>项目基本情况!D3</f>
        <v>45730</v>
      </c>
      <c r="C3" s="2703"/>
      <c r="D3" s="2703"/>
      <c r="E3" s="2703"/>
      <c r="F3" s="2703"/>
      <c r="G3" s="2704"/>
      <c r="H3" s="2704"/>
      <c r="I3" s="2704"/>
      <c r="J3" s="2704"/>
    </row>
    <row r="4" spans="1:10" ht="31.2">
      <c r="A4" s="2695" t="s">
        <v>2121</v>
      </c>
      <c r="B4" s="2695" t="s">
        <v>2122</v>
      </c>
      <c r="C4" s="2695" t="s">
        <v>2123</v>
      </c>
      <c r="D4" s="2695" t="s">
        <v>2124</v>
      </c>
      <c r="E4" s="2703"/>
      <c r="F4" s="2703"/>
      <c r="G4" s="2704"/>
      <c r="H4" s="2704"/>
      <c r="I4" s="2704"/>
      <c r="J4" s="2704"/>
    </row>
    <row r="5" spans="1:10" ht="15.6">
      <c r="A5" s="2695" t="s">
        <v>2125</v>
      </c>
      <c r="B5" s="2695">
        <f ca="1">SUM(D14:D23)</f>
        <v>55202</v>
      </c>
      <c r="C5" s="2695">
        <f ca="1">ROUND(B5*10000/$B$1,0)</f>
        <v>5963</v>
      </c>
      <c r="D5" s="2695">
        <f ca="1">ROUND(B5*10000/$B$2,0)</f>
        <v>13118</v>
      </c>
      <c r="E5" s="2703"/>
      <c r="F5" s="2703"/>
      <c r="G5" s="2704"/>
      <c r="H5" s="2704"/>
      <c r="I5" s="2704"/>
      <c r="J5" s="2704"/>
    </row>
    <row r="6" spans="1:10" ht="15.6">
      <c r="A6" s="2695" t="s">
        <v>2126</v>
      </c>
      <c r="B6" s="2695">
        <f>SUM(G14:G23)</f>
        <v>0</v>
      </c>
      <c r="C6" s="2695">
        <f>ROUND(B6*10000/$B$1,0)</f>
        <v>0</v>
      </c>
      <c r="D6" s="2695">
        <f>ROUND(B6*10000/$B$2,0)</f>
        <v>0</v>
      </c>
      <c r="E6" s="2703"/>
      <c r="F6" s="2703"/>
      <c r="G6" s="2704"/>
      <c r="H6" s="2704"/>
      <c r="I6" s="2704"/>
      <c r="J6" s="2704"/>
    </row>
    <row r="7" spans="1:10" ht="15.6">
      <c r="A7" s="2695" t="s">
        <v>2127</v>
      </c>
      <c r="B7" s="2695">
        <f>SUM(H14:H23)</f>
        <v>0</v>
      </c>
      <c r="C7" s="2695">
        <f>ROUND(B7*10000/$B$1,0)</f>
        <v>0</v>
      </c>
      <c r="D7" s="2695">
        <f>ROUND(B7*10000/$B$2,0)</f>
        <v>0</v>
      </c>
      <c r="E7" s="2703"/>
      <c r="F7" s="2703"/>
      <c r="G7" s="2704"/>
      <c r="H7" s="2704"/>
      <c r="I7" s="2704"/>
      <c r="J7" s="2704"/>
    </row>
    <row r="8" spans="1:10" ht="15.6">
      <c r="A8" s="2695" t="s">
        <v>2128</v>
      </c>
      <c r="B8" s="2695">
        <f>SUM(I14:I23)</f>
        <v>0</v>
      </c>
      <c r="C8" s="2695">
        <f>ROUND(B8*10000/$B$1,0)</f>
        <v>0</v>
      </c>
      <c r="D8" s="2695">
        <f>ROUND(B8*10000/$B$2,0)</f>
        <v>0</v>
      </c>
      <c r="E8" s="2703"/>
      <c r="F8" s="2703"/>
      <c r="G8" s="2704"/>
      <c r="H8" s="2704"/>
      <c r="I8" s="2704"/>
      <c r="J8" s="2704"/>
    </row>
    <row r="9" spans="1:10" ht="15.6">
      <c r="A9" s="2695" t="s">
        <v>2129</v>
      </c>
      <c r="B9" s="2326"/>
      <c r="C9" s="2703"/>
      <c r="D9" s="2703"/>
      <c r="E9" s="2703"/>
      <c r="F9" s="2703"/>
      <c r="G9" s="2704"/>
      <c r="H9" s="2704"/>
      <c r="I9" s="2704"/>
      <c r="J9" s="2704"/>
    </row>
    <row r="10" spans="1:10" ht="15.6">
      <c r="A10" s="2695" t="s">
        <v>2130</v>
      </c>
      <c r="B10" s="2326"/>
      <c r="C10" s="2703"/>
      <c r="D10" s="2703"/>
      <c r="E10" s="2703"/>
      <c r="F10" s="2703"/>
      <c r="G10" s="2704"/>
      <c r="H10" s="2704"/>
      <c r="I10" s="2704"/>
      <c r="J10" s="2704"/>
    </row>
    <row r="11" spans="1:10" ht="15.6">
      <c r="A11" s="2695" t="s">
        <v>2147</v>
      </c>
      <c r="B11" s="2326"/>
      <c r="C11" s="2703"/>
      <c r="D11" s="2703"/>
      <c r="E11" s="2703"/>
      <c r="F11" s="2703"/>
      <c r="G11" s="2704"/>
      <c r="H11" s="2704"/>
      <c r="I11" s="2704"/>
      <c r="J11" s="2704"/>
    </row>
    <row r="12" spans="1:10" ht="15.6">
      <c r="A12" s="2703"/>
      <c r="B12" s="2703"/>
      <c r="C12" s="2703"/>
      <c r="D12" s="2703"/>
      <c r="E12" s="2703"/>
      <c r="F12" s="2703"/>
      <c r="G12" s="2704"/>
      <c r="H12" s="2704"/>
      <c r="I12" s="2704"/>
      <c r="J12" s="2704"/>
    </row>
    <row r="13" spans="1:10" ht="31.2">
      <c r="A13" s="2698" t="s">
        <v>2146</v>
      </c>
      <c r="B13" s="2699" t="s">
        <v>2118</v>
      </c>
      <c r="C13" s="2699" t="s">
        <v>2119</v>
      </c>
      <c r="D13" s="2699" t="s">
        <v>2131</v>
      </c>
      <c r="E13" s="2695" t="s">
        <v>2145</v>
      </c>
      <c r="F13" s="2695" t="s">
        <v>2124</v>
      </c>
      <c r="G13" s="2699" t="s">
        <v>2132</v>
      </c>
      <c r="H13" s="2699" t="s">
        <v>2133</v>
      </c>
      <c r="I13" s="2699" t="s">
        <v>2134</v>
      </c>
      <c r="J13" s="2704"/>
    </row>
    <row r="14" spans="1:10" ht="15.6">
      <c r="A14" s="2700" t="s">
        <v>2144</v>
      </c>
      <c r="B14" s="2701">
        <f>'信息+土地案例'!B15</f>
        <v>92580.400000000009</v>
      </c>
      <c r="C14" s="2701">
        <f>'信息+土地案例'!B13</f>
        <v>42082</v>
      </c>
      <c r="D14" s="2701">
        <f ca="1">结果表!G19</f>
        <v>55202</v>
      </c>
      <c r="E14" s="2701">
        <f ca="1">结果表!G20</f>
        <v>5963</v>
      </c>
      <c r="F14" s="2701">
        <f ca="1">ROUND(D14*10000/C14,0)</f>
        <v>13118</v>
      </c>
      <c r="G14" s="2701"/>
      <c r="H14" s="2701"/>
      <c r="I14" s="2701"/>
      <c r="J14" s="2704"/>
    </row>
    <row r="15" spans="1:10" ht="15.6">
      <c r="A15" s="2700" t="s">
        <v>2135</v>
      </c>
      <c r="B15" s="2702"/>
      <c r="C15" s="2702"/>
      <c r="D15" s="2702"/>
      <c r="E15" s="2701" t="e">
        <f t="shared" ref="E15:E23" si="0">ROUND(D15*10000/B15,0)</f>
        <v>#DIV/0!</v>
      </c>
      <c r="F15" s="2701" t="e">
        <f t="shared" ref="F15:F23" si="1">ROUND(D15*10000/C15,0)</f>
        <v>#DIV/0!</v>
      </c>
      <c r="G15" s="2326"/>
      <c r="H15" s="2326"/>
      <c r="I15" s="2702"/>
      <c r="J15" s="2704"/>
    </row>
    <row r="16" spans="1:10" ht="15.6">
      <c r="A16" s="2700" t="s">
        <v>2136</v>
      </c>
      <c r="B16" s="2702"/>
      <c r="C16" s="2702"/>
      <c r="D16" s="2702"/>
      <c r="E16" s="2701" t="e">
        <f t="shared" si="0"/>
        <v>#DIV/0!</v>
      </c>
      <c r="F16" s="2701" t="e">
        <f t="shared" si="1"/>
        <v>#DIV/0!</v>
      </c>
      <c r="G16" s="2326"/>
      <c r="H16" s="2326"/>
      <c r="I16" s="2702"/>
      <c r="J16" s="2704"/>
    </row>
    <row r="17" spans="1:10" ht="15.6">
      <c r="A17" s="2700" t="s">
        <v>2137</v>
      </c>
      <c r="B17" s="2702"/>
      <c r="C17" s="2702"/>
      <c r="D17" s="2702"/>
      <c r="E17" s="2701" t="e">
        <f t="shared" si="0"/>
        <v>#DIV/0!</v>
      </c>
      <c r="F17" s="2701" t="e">
        <f t="shared" si="1"/>
        <v>#DIV/0!</v>
      </c>
      <c r="G17" s="2326"/>
      <c r="H17" s="2326"/>
      <c r="I17" s="2702"/>
      <c r="J17" s="2704"/>
    </row>
    <row r="18" spans="1:10" ht="15.6">
      <c r="A18" s="2700" t="s">
        <v>2138</v>
      </c>
      <c r="B18" s="2702"/>
      <c r="C18" s="2702"/>
      <c r="D18" s="2702"/>
      <c r="E18" s="2701" t="e">
        <f t="shared" si="0"/>
        <v>#DIV/0!</v>
      </c>
      <c r="F18" s="2701" t="e">
        <f t="shared" si="1"/>
        <v>#DIV/0!</v>
      </c>
      <c r="G18" s="2702"/>
      <c r="H18" s="2702"/>
      <c r="I18" s="2702"/>
      <c r="J18" s="2704"/>
    </row>
    <row r="19" spans="1:10" ht="15.6">
      <c r="A19" s="2700" t="s">
        <v>2139</v>
      </c>
      <c r="B19" s="2702"/>
      <c r="C19" s="2702"/>
      <c r="D19" s="2702"/>
      <c r="E19" s="2701" t="e">
        <f t="shared" si="0"/>
        <v>#DIV/0!</v>
      </c>
      <c r="F19" s="2701" t="e">
        <f t="shared" si="1"/>
        <v>#DIV/0!</v>
      </c>
      <c r="G19" s="2702"/>
      <c r="H19" s="2702"/>
      <c r="I19" s="2702"/>
      <c r="J19" s="2704"/>
    </row>
    <row r="20" spans="1:10" ht="15.6">
      <c r="A20" s="2700" t="s">
        <v>2140</v>
      </c>
      <c r="B20" s="2702"/>
      <c r="C20" s="2702"/>
      <c r="D20" s="2702"/>
      <c r="E20" s="2701" t="e">
        <f t="shared" si="0"/>
        <v>#DIV/0!</v>
      </c>
      <c r="F20" s="2701" t="e">
        <f t="shared" si="1"/>
        <v>#DIV/0!</v>
      </c>
      <c r="G20" s="2702"/>
      <c r="H20" s="2702"/>
      <c r="I20" s="2702"/>
      <c r="J20" s="2704"/>
    </row>
    <row r="21" spans="1:10" ht="15.6">
      <c r="A21" s="2700" t="s">
        <v>2141</v>
      </c>
      <c r="B21" s="2702"/>
      <c r="C21" s="2702"/>
      <c r="D21" s="2702"/>
      <c r="E21" s="2701" t="e">
        <f t="shared" si="0"/>
        <v>#DIV/0!</v>
      </c>
      <c r="F21" s="2701" t="e">
        <f t="shared" si="1"/>
        <v>#DIV/0!</v>
      </c>
      <c r="G21" s="2702"/>
      <c r="H21" s="2702"/>
      <c r="I21" s="2702"/>
      <c r="J21" s="2704"/>
    </row>
    <row r="22" spans="1:10" ht="15.6">
      <c r="A22" s="2700" t="s">
        <v>2142</v>
      </c>
      <c r="B22" s="2702"/>
      <c r="C22" s="2702"/>
      <c r="D22" s="2702"/>
      <c r="E22" s="2701" t="e">
        <f t="shared" si="0"/>
        <v>#DIV/0!</v>
      </c>
      <c r="F22" s="2701" t="e">
        <f t="shared" si="1"/>
        <v>#DIV/0!</v>
      </c>
      <c r="G22" s="2702"/>
      <c r="H22" s="2702"/>
      <c r="I22" s="2702"/>
      <c r="J22" s="2704"/>
    </row>
    <row r="23" spans="1:10" ht="15.6">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E14" sqref="E1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53" t="str">
        <f>项目基本情况!K2</f>
        <v>江苏省淮安市淮安区淮安生态文旅区站前路西侧、淮启路南侧出让国有建设用地使用权</v>
      </c>
      <c r="B2" s="3554"/>
      <c r="C2" s="3555"/>
      <c r="D2" s="3555"/>
      <c r="E2" s="3555"/>
      <c r="F2" s="3555"/>
      <c r="G2" s="3554"/>
      <c r="H2" s="3554"/>
      <c r="I2" s="3556"/>
      <c r="J2" s="1644"/>
      <c r="K2" s="1637"/>
      <c r="L2" s="1637"/>
      <c r="M2" s="1637"/>
      <c r="N2" s="1637"/>
      <c r="O2" s="1637"/>
      <c r="P2" s="1637"/>
      <c r="Q2" s="1637"/>
      <c r="R2" s="1637"/>
      <c r="S2" s="1637"/>
      <c r="T2" s="1637"/>
      <c r="U2" s="1637"/>
      <c r="V2" s="1637"/>
    </row>
    <row r="3" spans="1:22" ht="13.8">
      <c r="A3" s="3546" t="s">
        <v>264</v>
      </c>
      <c r="B3" s="3547"/>
      <c r="C3" s="3547"/>
      <c r="D3" s="3547"/>
      <c r="E3" s="3547"/>
      <c r="F3" s="3547"/>
      <c r="G3" s="3547"/>
      <c r="H3" s="3547"/>
      <c r="I3" s="3547"/>
      <c r="J3" s="1644"/>
      <c r="K3" s="1637"/>
      <c r="L3" s="1637"/>
      <c r="M3" s="1637"/>
      <c r="N3" s="1637"/>
      <c r="O3" s="1637"/>
      <c r="P3" s="1637"/>
      <c r="Q3" s="1637"/>
      <c r="R3" s="1637"/>
      <c r="S3" s="1637"/>
      <c r="T3" s="1637"/>
      <c r="U3" s="1637"/>
      <c r="V3" s="1637"/>
    </row>
    <row r="4" spans="1:22" ht="14.4">
      <c r="A4" s="238" t="s">
        <v>265</v>
      </c>
      <c r="B4" s="239" t="s">
        <v>266</v>
      </c>
      <c r="C4" s="240" t="s">
        <v>3530</v>
      </c>
      <c r="D4" s="240" t="s">
        <v>3531</v>
      </c>
      <c r="E4" s="3512" t="s">
        <v>267</v>
      </c>
      <c r="F4" s="3513"/>
      <c r="G4" s="3513"/>
      <c r="H4" s="3513"/>
      <c r="I4" s="3548"/>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3.8">
      <c r="A5" s="3511" t="s">
        <v>268</v>
      </c>
      <c r="B5" s="3540">
        <v>25</v>
      </c>
      <c r="C5" s="3538"/>
      <c r="D5" s="3542"/>
      <c r="E5" s="241" t="s">
        <v>269</v>
      </c>
      <c r="F5" s="242"/>
      <c r="G5" s="242"/>
      <c r="H5" s="242"/>
      <c r="I5" s="243"/>
      <c r="J5" s="1644"/>
      <c r="K5" s="1637"/>
      <c r="L5" s="1637"/>
      <c r="M5" s="1637"/>
      <c r="N5" s="1637"/>
      <c r="O5" s="1637"/>
      <c r="P5" s="1637"/>
      <c r="Q5" s="1637"/>
      <c r="R5" s="1637"/>
      <c r="S5" s="1637"/>
      <c r="T5" s="1637"/>
      <c r="U5" s="1637"/>
      <c r="V5" s="1637"/>
    </row>
    <row r="6" spans="1:22" ht="13.8">
      <c r="A6" s="3511"/>
      <c r="B6" s="3540"/>
      <c r="C6" s="3541"/>
      <c r="D6" s="3542"/>
      <c r="E6" s="241" t="s">
        <v>270</v>
      </c>
      <c r="F6" s="242"/>
      <c r="G6" s="242"/>
      <c r="H6" s="242"/>
      <c r="I6" s="243"/>
      <c r="J6" s="1644"/>
      <c r="K6" s="1637"/>
      <c r="L6" s="1637"/>
      <c r="M6" s="1637"/>
      <c r="N6" s="1637"/>
      <c r="O6" s="1637"/>
      <c r="P6" s="1637"/>
      <c r="Q6" s="1637"/>
      <c r="R6" s="1637"/>
      <c r="S6" s="1637"/>
      <c r="T6" s="1637"/>
      <c r="U6" s="1637"/>
      <c r="V6" s="1637"/>
    </row>
    <row r="7" spans="1:22" ht="13.8">
      <c r="A7" s="3511"/>
      <c r="B7" s="3540"/>
      <c r="C7" s="3539"/>
      <c r="D7" s="3542"/>
      <c r="E7" s="241" t="s">
        <v>271</v>
      </c>
      <c r="F7" s="242"/>
      <c r="G7" s="242"/>
      <c r="H7" s="242"/>
      <c r="I7" s="243"/>
      <c r="J7" s="1644"/>
      <c r="K7" s="1637"/>
      <c r="L7" s="1637"/>
      <c r="M7" s="1637"/>
      <c r="N7" s="1637"/>
      <c r="O7" s="1637"/>
      <c r="P7" s="1637"/>
      <c r="Q7" s="1637"/>
      <c r="R7" s="1637"/>
      <c r="S7" s="1637"/>
      <c r="T7" s="1637"/>
      <c r="U7" s="1637"/>
      <c r="V7" s="1637"/>
    </row>
    <row r="8" spans="1:22" ht="13.8">
      <c r="A8" s="3511" t="s">
        <v>272</v>
      </c>
      <c r="B8" s="3540">
        <v>15</v>
      </c>
      <c r="C8" s="3538"/>
      <c r="D8" s="3542"/>
      <c r="E8" s="241" t="s">
        <v>273</v>
      </c>
      <c r="F8" s="242"/>
      <c r="G8" s="242"/>
      <c r="H8" s="242"/>
      <c r="I8" s="243"/>
      <c r="J8" s="1644"/>
      <c r="K8" s="1637"/>
      <c r="L8" s="1637"/>
      <c r="M8" s="1637"/>
      <c r="N8" s="1637"/>
      <c r="O8" s="1637"/>
      <c r="P8" s="1637"/>
      <c r="Q8" s="1637"/>
      <c r="R8" s="1637"/>
      <c r="S8" s="1637"/>
      <c r="T8" s="1637"/>
      <c r="U8" s="1637"/>
      <c r="V8" s="1637"/>
    </row>
    <row r="9" spans="1:22" ht="13.8">
      <c r="A9" s="3511"/>
      <c r="B9" s="3540"/>
      <c r="C9" s="3539"/>
      <c r="D9" s="3542"/>
      <c r="E9" s="241" t="s">
        <v>274</v>
      </c>
      <c r="F9" s="242"/>
      <c r="G9" s="242"/>
      <c r="H9" s="242"/>
      <c r="I9" s="243"/>
      <c r="J9" s="1644"/>
      <c r="K9" s="1637"/>
      <c r="L9" s="1637"/>
      <c r="M9" s="1637"/>
      <c r="N9" s="1637"/>
      <c r="O9" s="1637"/>
      <c r="P9" s="1637"/>
      <c r="Q9" s="1637"/>
      <c r="R9" s="1637"/>
      <c r="S9" s="1637"/>
      <c r="T9" s="1637"/>
      <c r="U9" s="1637"/>
      <c r="V9" s="1637"/>
    </row>
    <row r="10" spans="1:22" ht="13.8">
      <c r="A10" s="3511" t="s">
        <v>275</v>
      </c>
      <c r="B10" s="3540">
        <v>15</v>
      </c>
      <c r="C10" s="3538"/>
      <c r="D10" s="3542"/>
      <c r="E10" s="241" t="s">
        <v>276</v>
      </c>
      <c r="F10" s="242"/>
      <c r="G10" s="242"/>
      <c r="H10" s="242"/>
      <c r="I10" s="243"/>
      <c r="J10" s="1644"/>
      <c r="K10" s="1637"/>
      <c r="L10" s="1637"/>
      <c r="M10" s="1637"/>
      <c r="N10" s="1637"/>
      <c r="O10" s="1637"/>
      <c r="P10" s="1637"/>
      <c r="Q10" s="1637"/>
      <c r="R10" s="1637"/>
      <c r="S10" s="1637"/>
      <c r="T10" s="1637"/>
      <c r="U10" s="1637"/>
      <c r="V10" s="1637"/>
    </row>
    <row r="11" spans="1:22" ht="13.8">
      <c r="A11" s="3511"/>
      <c r="B11" s="3540"/>
      <c r="C11" s="3539"/>
      <c r="D11" s="3542"/>
      <c r="E11" s="241" t="s">
        <v>277</v>
      </c>
      <c r="F11" s="242"/>
      <c r="G11" s="242"/>
      <c r="H11" s="242"/>
      <c r="I11" s="243"/>
      <c r="J11" s="1644"/>
      <c r="K11" s="1637"/>
      <c r="L11" s="1637"/>
      <c r="M11" s="1637"/>
      <c r="N11" s="1637"/>
      <c r="O11" s="1637"/>
      <c r="P11" s="1637"/>
      <c r="Q11" s="1637"/>
      <c r="R11" s="1637"/>
      <c r="S11" s="1637"/>
      <c r="T11" s="1637"/>
      <c r="U11" s="1637"/>
      <c r="V11" s="1637"/>
    </row>
    <row r="12" spans="1:22" ht="13.8">
      <c r="A12" s="3511" t="s">
        <v>278</v>
      </c>
      <c r="B12" s="3540">
        <v>15</v>
      </c>
      <c r="C12" s="3538"/>
      <c r="D12" s="3542"/>
      <c r="E12" s="241" t="s">
        <v>279</v>
      </c>
      <c r="F12" s="242"/>
      <c r="G12" s="242"/>
      <c r="H12" s="242"/>
      <c r="I12" s="243"/>
      <c r="J12" s="1644"/>
      <c r="K12" s="1637"/>
      <c r="L12" s="1637"/>
      <c r="M12" s="1637"/>
      <c r="N12" s="1637"/>
      <c r="O12" s="1637"/>
      <c r="P12" s="1637"/>
      <c r="Q12" s="1637"/>
      <c r="R12" s="1637"/>
      <c r="S12" s="1637"/>
      <c r="T12" s="1637"/>
      <c r="U12" s="1637"/>
      <c r="V12" s="1637"/>
    </row>
    <row r="13" spans="1:22" ht="13.8">
      <c r="A13" s="3511"/>
      <c r="B13" s="3540"/>
      <c r="C13" s="3539"/>
      <c r="D13" s="3542"/>
      <c r="E13" s="241" t="s">
        <v>280</v>
      </c>
      <c r="F13" s="242"/>
      <c r="G13" s="242"/>
      <c r="H13" s="242"/>
      <c r="I13" s="243"/>
      <c r="J13" s="1644"/>
      <c r="K13" s="1637"/>
      <c r="L13" s="1637"/>
      <c r="M13" s="1637"/>
      <c r="N13" s="1637"/>
      <c r="O13" s="1637"/>
      <c r="P13" s="1637"/>
      <c r="Q13" s="1637"/>
      <c r="R13" s="1637"/>
      <c r="S13" s="1637"/>
      <c r="T13" s="1637"/>
      <c r="U13" s="1637"/>
      <c r="V13" s="1637"/>
    </row>
    <row r="14" spans="1:22" ht="13.8">
      <c r="A14" s="3511" t="s">
        <v>281</v>
      </c>
      <c r="B14" s="3540">
        <v>30</v>
      </c>
      <c r="C14" s="3538">
        <v>5</v>
      </c>
      <c r="D14" s="3542">
        <v>5</v>
      </c>
      <c r="E14" s="241" t="s">
        <v>282</v>
      </c>
      <c r="F14" s="242"/>
      <c r="G14" s="242"/>
      <c r="H14" s="242"/>
      <c r="I14" s="243"/>
      <c r="J14" s="1644"/>
      <c r="K14" s="1637"/>
      <c r="L14" s="1637"/>
      <c r="M14" s="1637"/>
      <c r="N14" s="1637"/>
      <c r="O14" s="1637"/>
      <c r="P14" s="1637"/>
      <c r="Q14" s="1637"/>
      <c r="R14" s="1637"/>
      <c r="S14" s="1637"/>
      <c r="T14" s="1637"/>
      <c r="U14" s="1637"/>
      <c r="V14" s="1637"/>
    </row>
    <row r="15" spans="1:22" ht="13.8">
      <c r="A15" s="3511"/>
      <c r="B15" s="3540"/>
      <c r="C15" s="3541"/>
      <c r="D15" s="3542"/>
      <c r="E15" s="241" t="s">
        <v>283</v>
      </c>
      <c r="F15" s="242"/>
      <c r="G15" s="242"/>
      <c r="H15" s="242"/>
      <c r="I15" s="243"/>
      <c r="J15" s="1644"/>
      <c r="K15" s="1637"/>
      <c r="L15" s="1637"/>
      <c r="M15" s="1637"/>
      <c r="N15" s="1637"/>
      <c r="O15" s="1637"/>
      <c r="P15" s="1637"/>
      <c r="Q15" s="1637"/>
      <c r="R15" s="1637"/>
      <c r="S15" s="1637"/>
      <c r="T15" s="1637"/>
      <c r="U15" s="1637"/>
      <c r="V15" s="1637"/>
    </row>
    <row r="16" spans="1:22" ht="13.8">
      <c r="A16" s="3511"/>
      <c r="B16" s="3540"/>
      <c r="C16" s="3539"/>
      <c r="D16" s="3542"/>
      <c r="E16" s="241" t="s">
        <v>284</v>
      </c>
      <c r="F16" s="242"/>
      <c r="G16" s="242"/>
      <c r="H16" s="242"/>
      <c r="I16" s="243"/>
      <c r="J16" s="1644"/>
      <c r="K16" s="1637"/>
      <c r="L16" s="1637"/>
      <c r="M16" s="1637"/>
      <c r="N16" s="1637"/>
      <c r="O16" s="1637"/>
      <c r="P16" s="1637"/>
      <c r="Q16" s="1637"/>
      <c r="R16" s="1637"/>
      <c r="S16" s="1637"/>
      <c r="T16" s="1637"/>
      <c r="U16" s="1637"/>
      <c r="V16" s="1637"/>
    </row>
    <row r="17" spans="1:22" ht="14.4">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 customHeight="1" thickBot="1">
      <c r="A18" s="246" t="s">
        <v>286</v>
      </c>
      <c r="B18" s="96"/>
      <c r="C18" s="247">
        <f>ROUND(C17/SUM(C17:D17),2)</f>
        <v>0.5</v>
      </c>
      <c r="D18" s="247">
        <f>1-C18</f>
        <v>0.5</v>
      </c>
      <c r="E18" s="3543" t="s">
        <v>2254</v>
      </c>
      <c r="F18" s="3544"/>
      <c r="G18" s="3544"/>
      <c r="H18" s="3544"/>
      <c r="I18" s="3544"/>
      <c r="J18" s="1637"/>
      <c r="K18" s="1637"/>
      <c r="L18" s="1637"/>
      <c r="M18" s="1637"/>
      <c r="N18" s="1637"/>
      <c r="O18" s="1637"/>
      <c r="P18" s="1637"/>
      <c r="Q18" s="1637"/>
      <c r="R18" s="1637"/>
      <c r="S18" s="1637"/>
      <c r="T18" s="1637"/>
      <c r="U18" s="1637"/>
      <c r="V18" s="1637"/>
    </row>
    <row r="19" spans="1:22" ht="14.4">
      <c r="A19" s="248" t="s">
        <v>287</v>
      </c>
      <c r="B19" s="249" t="s">
        <v>288</v>
      </c>
      <c r="C19" s="250">
        <f ca="1">SUMIF(INDIRECT("'"&amp;C4&amp;"'"&amp;"!A:A"),结果表!B19,INDIRECT("'"&amp;C4&amp;"'"&amp;"!B:B"))</f>
        <v>53484</v>
      </c>
      <c r="D19" s="251">
        <f ca="1">SUMIF(INDIRECT("'"&amp;D4&amp;"'"&amp;"!A:A"),结果表!B19,INDIRECT("'"&amp;D4&amp;"'"&amp;"!B:B"))</f>
        <v>56920</v>
      </c>
      <c r="E19" s="248" t="s">
        <v>289</v>
      </c>
      <c r="F19" s="249" t="s">
        <v>288</v>
      </c>
      <c r="G19" s="252">
        <f ca="1">ROUND(C19*$C$18+D19*$D$18,0)</f>
        <v>55202</v>
      </c>
      <c r="H19" s="253" t="s">
        <v>290</v>
      </c>
      <c r="I19" s="287"/>
      <c r="J19" s="1637"/>
      <c r="K19" s="1637"/>
      <c r="L19" s="1637"/>
      <c r="M19" s="1637"/>
      <c r="N19" s="1637"/>
      <c r="O19" s="1637"/>
      <c r="P19" s="1637"/>
      <c r="Q19" s="1637"/>
      <c r="R19" s="1637"/>
      <c r="S19" s="1637"/>
      <c r="T19" s="1637"/>
      <c r="U19" s="1637"/>
      <c r="V19" s="1637"/>
    </row>
    <row r="20" spans="1:22" ht="14.4">
      <c r="A20" s="254"/>
      <c r="B20" s="102" t="s">
        <v>291</v>
      </c>
      <c r="C20" s="255">
        <f ca="1">SUMIF(INDIRECT("'"&amp;C4&amp;"'"&amp;"!A:A"),结果表!B20,INDIRECT("'"&amp;C4&amp;"'"&amp;"!B:B"))</f>
        <v>5777</v>
      </c>
      <c r="D20" s="256">
        <f ca="1">SUMIF(INDIRECT("'"&amp;D4&amp;"'"&amp;"!A:A"),结果表!B20,INDIRECT("'"&amp;D4&amp;"'"&amp;"!B:B"))</f>
        <v>6148</v>
      </c>
      <c r="E20" s="254"/>
      <c r="F20" s="102" t="s">
        <v>291</v>
      </c>
      <c r="G20" s="257">
        <f ca="1">ROUND(C20*$C$18+D20*$D$18,0)</f>
        <v>5963</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12709</v>
      </c>
      <c r="D21" s="135">
        <f ca="1">SUMIF(INDIRECT("'"&amp;D4&amp;"'"&amp;"!A:A"),结果表!B21,INDIRECT("'"&amp;D4&amp;"'"&amp;"!B:B"))</f>
        <v>13526</v>
      </c>
      <c r="E21" s="254"/>
      <c r="F21" s="106" t="s">
        <v>293</v>
      </c>
      <c r="G21" s="260">
        <f ca="1">ROUND(C21*$C$18+D21*$D$18,0)</f>
        <v>13118</v>
      </c>
      <c r="H21" s="258" t="s">
        <v>292</v>
      </c>
      <c r="I21" s="287"/>
      <c r="J21" s="1637"/>
      <c r="K21" s="1637"/>
      <c r="L21" s="1637"/>
      <c r="M21" s="1637"/>
      <c r="N21" s="1637"/>
      <c r="O21" s="1637"/>
      <c r="P21" s="1637"/>
      <c r="Q21" s="1637"/>
      <c r="R21" s="1637"/>
      <c r="S21" s="1637"/>
      <c r="T21" s="1637"/>
      <c r="U21" s="1637"/>
      <c r="V21" s="1637"/>
    </row>
    <row r="22" spans="1:22" ht="15" thickBot="1">
      <c r="A22" s="117" t="s">
        <v>294</v>
      </c>
      <c r="B22" s="1061"/>
      <c r="C22" s="241"/>
      <c r="D22" s="261">
        <f ca="1">IF(C19&lt;D19,D19/C19-1,C19/D19-1)</f>
        <v>6.424351207837864E-2</v>
      </c>
      <c r="E22" s="262"/>
      <c r="F22" s="263"/>
      <c r="G22" s="264">
        <f ca="1">ROUND(G19/('数据-汇总表'!D3/666.67),0)</f>
        <v>875</v>
      </c>
      <c r="H22" s="265" t="s">
        <v>295</v>
      </c>
      <c r="I22" s="287"/>
      <c r="J22" s="1637"/>
      <c r="K22" s="1637"/>
      <c r="L22" s="1637"/>
      <c r="M22" s="1637"/>
      <c r="N22" s="1637"/>
      <c r="O22" s="1637"/>
      <c r="P22" s="1637"/>
      <c r="Q22" s="1637"/>
      <c r="R22" s="1637"/>
      <c r="S22" s="1637"/>
      <c r="T22" s="1637"/>
      <c r="U22" s="1637"/>
      <c r="V22" s="1637"/>
    </row>
    <row r="23" spans="1:22" ht="13.8"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17"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7.399999999999999">
      <c r="A25" s="3518"/>
      <c r="B25" s="1125" t="s">
        <v>297</v>
      </c>
      <c r="C25" s="268">
        <f>IF(B30=0,0,C30)</f>
        <v>0</v>
      </c>
      <c r="D25" s="269"/>
      <c r="E25" s="287"/>
      <c r="F25" s="287"/>
      <c r="G25" s="287"/>
      <c r="H25" s="287"/>
      <c r="I25" s="287"/>
      <c r="J25" s="1637"/>
      <c r="K25" s="1062" t="str">
        <f ca="1">项目基本情况!A17&amp;"国有建设用地使用权价格："&amp;O38&amp;"万元"</f>
        <v>出让国有建设用地使用权价格：55202万元</v>
      </c>
      <c r="L25" s="1063"/>
      <c r="M25" s="1063"/>
      <c r="N25" s="1063"/>
      <c r="O25" s="1064"/>
      <c r="P25" s="1637"/>
      <c r="Q25" s="1637"/>
      <c r="R25" s="1637"/>
      <c r="S25" s="1637"/>
      <c r="T25" s="1637"/>
      <c r="U25" s="1637"/>
      <c r="V25" s="1637"/>
    </row>
    <row r="26" spans="1:22" ht="17.399999999999999">
      <c r="A26" s="270" t="s">
        <v>298</v>
      </c>
      <c r="B26" s="271" t="s">
        <v>299</v>
      </c>
      <c r="C26" s="271" t="s">
        <v>300</v>
      </c>
      <c r="D26" s="272" t="s">
        <v>301</v>
      </c>
      <c r="E26" s="287"/>
      <c r="F26" s="287"/>
      <c r="G26" s="287"/>
      <c r="H26" s="287"/>
      <c r="I26" s="287"/>
      <c r="J26" s="1637"/>
      <c r="K26" s="1065" t="str">
        <f ca="1">"大写金额：人民币"&amp;NUMBERSTRING(INT(O38*10000),2)&amp;"元整"</f>
        <v>大写金额：人民币伍亿伍仟贰佰零贰万元整</v>
      </c>
      <c r="L26" s="1061"/>
      <c r="M26" s="1061"/>
      <c r="N26" s="1061"/>
      <c r="O26" s="258"/>
      <c r="P26" s="1637"/>
      <c r="Q26" s="1637"/>
      <c r="R26" s="1637"/>
      <c r="S26" s="1637"/>
      <c r="T26" s="1637"/>
      <c r="U26" s="1637"/>
      <c r="V26" s="1637"/>
    </row>
    <row r="27" spans="1:22" ht="17.399999999999999">
      <c r="A27" s="270"/>
      <c r="B27" s="271"/>
      <c r="C27" s="271"/>
      <c r="D27" s="272"/>
      <c r="E27" s="287"/>
      <c r="F27" s="287"/>
      <c r="G27" s="287"/>
      <c r="H27" s="287"/>
      <c r="I27" s="287"/>
      <c r="J27" s="1637"/>
      <c r="K27" s="1065" t="str">
        <f ca="1">"单位面积地价："&amp;M38&amp;"元/平方米"</f>
        <v>单位面积地价：13118元/平方米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楼面地价：5963元/平方米</v>
      </c>
      <c r="L28" s="1061"/>
      <c r="M28" s="1061"/>
      <c r="N28" s="1061"/>
      <c r="O28" s="258"/>
      <c r="P28" s="1637"/>
      <c r="V28" s="1637"/>
    </row>
    <row r="29" spans="1:22" ht="17.399999999999999">
      <c r="A29" s="270"/>
      <c r="B29" s="271"/>
      <c r="C29" s="271"/>
      <c r="D29" s="272"/>
      <c r="E29" s="287"/>
      <c r="F29" s="287"/>
      <c r="G29" s="287"/>
      <c r="H29" s="287"/>
      <c r="I29" s="287"/>
      <c r="J29" s="1637"/>
      <c r="K29" s="1065" t="str">
        <f ca="1">IF(OR(项目基本情况!E8="抵押价格",项目基本情况!E8="已注销及未注销"),"抵押价格："&amp;O39&amp;"万元","——")</f>
        <v>抵押价格：55202万元</v>
      </c>
      <c r="L29" s="1061"/>
      <c r="M29" s="1061"/>
      <c r="N29" s="1061"/>
      <c r="O29" s="258"/>
      <c r="P29" s="1637"/>
      <c r="V29" s="1637"/>
    </row>
    <row r="30" spans="1:22" ht="18" thickBot="1">
      <c r="A30" s="2365" t="s">
        <v>302</v>
      </c>
      <c r="B30" s="285"/>
      <c r="C30" s="285"/>
      <c r="D30" s="286"/>
      <c r="E30" s="2539" t="s">
        <v>2255</v>
      </c>
      <c r="F30" s="287"/>
      <c r="G30" s="287"/>
      <c r="H30" s="287"/>
      <c r="I30" s="287"/>
      <c r="J30" s="1637"/>
      <c r="K30" s="1065" t="str">
        <f ca="1">IF(K29="——","——","大写金额：人民币"&amp;NUMBERSTRING(INT(O39*10000),2)&amp;"元整")</f>
        <v>大写金额：人民币伍亿伍仟贰佰零贰万元整</v>
      </c>
      <c r="L30" s="1061"/>
      <c r="M30" s="1061"/>
      <c r="N30" s="1061"/>
      <c r="O30" s="258"/>
      <c r="P30" s="1637"/>
      <c r="V30" s="1637"/>
    </row>
    <row r="31" spans="1:22" ht="24" customHeight="1" thickBot="1">
      <c r="A31" s="3545" t="s">
        <v>2256</v>
      </c>
      <c r="B31" s="3545"/>
      <c r="C31" s="3545"/>
      <c r="D31" s="3545"/>
      <c r="E31" s="3545"/>
      <c r="F31" s="3545"/>
      <c r="G31" s="3545"/>
      <c r="H31" s="3545"/>
      <c r="I31" s="3545"/>
      <c r="J31" s="1637"/>
      <c r="K31" s="1981" t="str">
        <f>IF(项目基本情况!E8="抵押价格","——","抵押担保权已注销时的抵押价格："&amp;O40&amp;"万元")</f>
        <v>——</v>
      </c>
      <c r="L31" s="1978"/>
      <c r="M31" s="1978"/>
      <c r="N31" s="1978"/>
      <c r="O31" s="1979"/>
      <c r="P31" s="1637"/>
      <c r="V31" s="1637"/>
    </row>
    <row r="32" spans="1:22" ht="18.600000000000001" thickTop="1" thickBot="1">
      <c r="A32" s="254" t="s">
        <v>303</v>
      </c>
      <c r="B32" s="2540" t="s">
        <v>1221</v>
      </c>
      <c r="C32" s="246">
        <f ca="1">G19-C24</f>
        <v>55202</v>
      </c>
      <c r="D32" s="2541" t="s">
        <v>1222</v>
      </c>
      <c r="E32" s="287"/>
      <c r="F32" s="287"/>
      <c r="G32" s="287"/>
      <c r="H32" s="287"/>
      <c r="I32" s="287"/>
      <c r="J32" s="1637"/>
      <c r="K32" s="1977" t="str">
        <f>IF(K31="——","——","大写金额：人民币"&amp;NUMBERSTRING(INT(O40*10000),2)&amp;"元整")</f>
        <v>——</v>
      </c>
      <c r="L32" s="1637"/>
      <c r="M32" s="1637"/>
      <c r="N32" s="1637"/>
      <c r="O32" s="1980"/>
      <c r="P32" s="1637"/>
      <c r="V32" s="1637"/>
    </row>
    <row r="33" spans="1:22" ht="18" thickBot="1">
      <c r="A33" s="275" t="s">
        <v>306</v>
      </c>
      <c r="B33" s="1173" t="s">
        <v>1223</v>
      </c>
      <c r="C33" s="244">
        <f ca="1">ROUND(C32*10000/'数据-汇总表'!E3,0)</f>
        <v>5963</v>
      </c>
      <c r="D33" s="1174" t="s">
        <v>1224</v>
      </c>
      <c r="E33" s="3517" t="s">
        <v>304</v>
      </c>
      <c r="F33" s="273" t="s">
        <v>305</v>
      </c>
      <c r="G33" s="274"/>
      <c r="H33" s="895"/>
      <c r="I33" s="1066"/>
      <c r="J33" s="1637"/>
      <c r="K33" s="1065" t="str">
        <f>IF(项目基本情况!E9="——","——","抵押净值："&amp;C46&amp;"万元")</f>
        <v>——</v>
      </c>
      <c r="L33" s="1061"/>
      <c r="M33" s="1061"/>
      <c r="N33" s="1061"/>
      <c r="O33" s="258"/>
      <c r="P33" s="1637"/>
      <c r="V33" s="1637"/>
    </row>
    <row r="34" spans="1:22" ht="18" thickBot="1">
      <c r="A34" s="277"/>
      <c r="B34" s="98" t="s">
        <v>1225</v>
      </c>
      <c r="C34" s="244">
        <f ca="1">ROUND(C32*10000/'数据-汇总表'!D3,0)</f>
        <v>13118</v>
      </c>
      <c r="D34" s="1174" t="s">
        <v>1224</v>
      </c>
      <c r="E34" s="3561"/>
      <c r="F34" s="118" t="s">
        <v>307</v>
      </c>
      <c r="G34" s="276"/>
      <c r="H34" s="96"/>
      <c r="I34" s="287"/>
      <c r="J34" s="1637"/>
      <c r="K34" s="1068" t="str">
        <f>IF(K33="——","——","大写金额：人民币"&amp;NUMBERSTRING(INT(O41*10000),2)&amp;"元整")</f>
        <v>——</v>
      </c>
      <c r="L34" s="1069"/>
      <c r="M34" s="1069"/>
      <c r="N34" s="1069"/>
      <c r="O34" s="1070"/>
      <c r="P34" s="1637"/>
      <c r="V34" s="1637"/>
    </row>
    <row r="35" spans="1:22" ht="15" thickBot="1">
      <c r="A35" s="262"/>
      <c r="B35" s="1175"/>
      <c r="C35" s="1176">
        <f ca="1">ROUND(C32/('数据-汇总表'!D3/666.67),0)</f>
        <v>875</v>
      </c>
      <c r="D35" s="1177" t="s">
        <v>1226</v>
      </c>
      <c r="E35" s="3562"/>
      <c r="F35" s="278" t="s">
        <v>308</v>
      </c>
      <c r="G35" s="897"/>
      <c r="H35" s="896" t="s">
        <v>309</v>
      </c>
      <c r="I35" s="287"/>
      <c r="J35" s="1637"/>
      <c r="K35" s="3535" t="s">
        <v>316</v>
      </c>
      <c r="L35" s="3535" t="s">
        <v>317</v>
      </c>
      <c r="M35" s="1071" t="s">
        <v>318</v>
      </c>
      <c r="N35" s="3535" t="s">
        <v>319</v>
      </c>
      <c r="O35" s="3535" t="s">
        <v>320</v>
      </c>
      <c r="P35" s="1637"/>
      <c r="V35" s="1637"/>
    </row>
    <row r="36" spans="1:22" ht="16.5" customHeight="1">
      <c r="A36" s="280" t="s">
        <v>310</v>
      </c>
      <c r="B36" s="281" t="s">
        <v>299</v>
      </c>
      <c r="C36" s="282" t="s">
        <v>311</v>
      </c>
      <c r="D36" s="282" t="s">
        <v>312</v>
      </c>
      <c r="E36" s="283" t="s">
        <v>313</v>
      </c>
      <c r="F36" s="287"/>
      <c r="G36" s="287"/>
      <c r="H36" s="287"/>
      <c r="I36" s="287"/>
      <c r="J36" s="1645"/>
      <c r="K36" s="3536"/>
      <c r="L36" s="3536"/>
      <c r="M36" s="1073" t="s">
        <v>321</v>
      </c>
      <c r="N36" s="3536"/>
      <c r="O36" s="3536"/>
      <c r="P36" s="1637"/>
      <c r="V36" s="1637"/>
    </row>
    <row r="37" spans="1:22" ht="16.5" customHeight="1" thickBot="1">
      <c r="A37" s="1067" t="s">
        <v>314</v>
      </c>
      <c r="B37" s="270"/>
      <c r="C37" s="271"/>
      <c r="D37" s="271"/>
      <c r="E37" s="272"/>
      <c r="F37" s="287"/>
      <c r="G37" s="287"/>
      <c r="H37" s="287"/>
      <c r="I37" s="287"/>
      <c r="J37" s="1645"/>
      <c r="K37" s="3537"/>
      <c r="L37" s="3537"/>
      <c r="M37" s="1074"/>
      <c r="N37" s="3537"/>
      <c r="O37" s="3537"/>
      <c r="P37" s="1637"/>
      <c r="V37" s="1637"/>
    </row>
    <row r="38" spans="1:22" ht="16.5" customHeight="1" thickBot="1">
      <c r="A38" s="1067" t="s">
        <v>315</v>
      </c>
      <c r="B38" s="270"/>
      <c r="C38" s="271"/>
      <c r="D38" s="271"/>
      <c r="E38" s="272"/>
      <c r="F38" s="287"/>
      <c r="G38" s="287"/>
      <c r="H38" s="287"/>
      <c r="I38" s="287"/>
      <c r="J38" s="1645"/>
      <c r="K38" s="1075">
        <f>'数据-汇总表'!D3</f>
        <v>42082</v>
      </c>
      <c r="L38" s="1076">
        <f>'数据-汇总表'!E3</f>
        <v>92580.400000000009</v>
      </c>
      <c r="M38" s="1076">
        <f ca="1">C34</f>
        <v>13118</v>
      </c>
      <c r="N38" s="1076">
        <f ca="1">C33</f>
        <v>5963</v>
      </c>
      <c r="O38" s="1077">
        <f ca="1">C32</f>
        <v>55202</v>
      </c>
      <c r="P38" s="1637"/>
      <c r="V38" s="1637"/>
    </row>
    <row r="39" spans="1:22" ht="16.5" customHeight="1" thickBot="1">
      <c r="A39" s="1072"/>
      <c r="B39" s="284"/>
      <c r="C39" s="285"/>
      <c r="D39" s="285"/>
      <c r="E39" s="286"/>
      <c r="F39" s="287"/>
      <c r="G39" s="287"/>
      <c r="H39" s="287"/>
      <c r="I39" s="287"/>
      <c r="J39" s="1645"/>
      <c r="K39" s="3575" t="str">
        <f>MID(A44,3,LEN(A44)-2)</f>
        <v>抵押价格</v>
      </c>
      <c r="L39" s="3576"/>
      <c r="M39" s="3576"/>
      <c r="N39" s="3577"/>
      <c r="O39" s="1179">
        <f ca="1">C44</f>
        <v>55202</v>
      </c>
      <c r="P39" s="1637"/>
      <c r="V39" s="1637"/>
    </row>
    <row r="40" spans="1:22" ht="18" thickBot="1">
      <c r="A40" s="95" t="s">
        <v>810</v>
      </c>
      <c r="B40" s="287"/>
      <c r="C40" s="287"/>
      <c r="D40" s="287"/>
      <c r="E40" s="287"/>
      <c r="F40" s="287"/>
      <c r="G40" s="287"/>
      <c r="H40" s="287"/>
      <c r="I40" s="287"/>
      <c r="J40" s="1645"/>
      <c r="K40" s="3575" t="str">
        <f>MID(A45,3,LEN(A45)-2)</f>
        <v/>
      </c>
      <c r="L40" s="3576"/>
      <c r="M40" s="3576"/>
      <c r="N40" s="3577"/>
      <c r="O40" s="1179" t="str">
        <f>C45</f>
        <v>——</v>
      </c>
      <c r="P40" s="1637"/>
      <c r="V40" s="1637"/>
    </row>
    <row r="41" spans="1:22" ht="16.2" thickBot="1">
      <c r="A41" s="288" t="s">
        <v>322</v>
      </c>
      <c r="B41" s="289"/>
      <c r="C41" s="290" t="s">
        <v>323</v>
      </c>
      <c r="D41" s="291" t="s">
        <v>324</v>
      </c>
      <c r="E41" s="291" t="s">
        <v>325</v>
      </c>
      <c r="F41" s="292" t="s">
        <v>326</v>
      </c>
      <c r="G41" s="287"/>
      <c r="H41" s="287"/>
      <c r="I41" s="287"/>
      <c r="J41" s="1645"/>
      <c r="K41" s="3575" t="str">
        <f>MID(A46,3,LEN(A46)-2)</f>
        <v/>
      </c>
      <c r="L41" s="3576"/>
      <c r="M41" s="3576"/>
      <c r="N41" s="3577"/>
      <c r="O41" s="1179" t="str">
        <f>C46</f>
        <v>——</v>
      </c>
      <c r="P41" s="1637"/>
      <c r="V41" s="1637"/>
    </row>
    <row r="42" spans="1:22" ht="31.2">
      <c r="A42" s="3519" t="s">
        <v>1585</v>
      </c>
      <c r="B42" s="3520"/>
      <c r="C42" s="244">
        <f ca="1">C32</f>
        <v>55202</v>
      </c>
      <c r="D42" s="293">
        <f ca="1">C33</f>
        <v>5963</v>
      </c>
      <c r="E42" s="293">
        <f ca="1">C34</f>
        <v>13118</v>
      </c>
      <c r="F42" s="294">
        <f ca="1">C35</f>
        <v>875</v>
      </c>
      <c r="G42" s="287"/>
      <c r="H42" s="287"/>
      <c r="I42" s="295"/>
      <c r="J42" s="1645"/>
      <c r="K42" s="1078" t="s">
        <v>327</v>
      </c>
      <c r="L42" s="1661" t="s">
        <v>328</v>
      </c>
      <c r="M42" s="1079" t="s">
        <v>329</v>
      </c>
      <c r="N42" s="1662" t="s">
        <v>330</v>
      </c>
      <c r="O42" s="1663" t="s">
        <v>331</v>
      </c>
      <c r="P42" s="1637"/>
      <c r="V42" s="1637"/>
    </row>
    <row r="43" spans="1:22" ht="17.399999999999999">
      <c r="A43" s="3530" t="s">
        <v>2012</v>
      </c>
      <c r="B43" s="3531"/>
      <c r="C43" s="244">
        <f>IF(H33="正常操作",G33+G34+G35,G34+G35)</f>
        <v>0</v>
      </c>
      <c r="D43" s="293" t="s">
        <v>17</v>
      </c>
      <c r="E43" s="293" t="s">
        <v>18</v>
      </c>
      <c r="F43" s="294" t="s">
        <v>18</v>
      </c>
      <c r="G43" s="2172" t="s">
        <v>877</v>
      </c>
      <c r="H43" s="287"/>
      <c r="I43" s="295"/>
      <c r="J43" s="1645"/>
      <c r="K43" s="1080" t="str">
        <f>C4</f>
        <v>比较法-住宅、综合纯住宅</v>
      </c>
      <c r="L43" s="1081">
        <f ca="1">IF(L42="估价结果/万元",C19,C20)</f>
        <v>53484</v>
      </c>
      <c r="M43" s="1082">
        <f>C18</f>
        <v>0.5</v>
      </c>
      <c r="N43" s="1083">
        <f ca="1">IF(N42="测算结果/万元",G19,G20)</f>
        <v>55202</v>
      </c>
      <c r="O43" s="1084">
        <f ca="1">IF(O42="最终结果/万元",C32,C33)</f>
        <v>55202</v>
      </c>
      <c r="P43" s="1637"/>
      <c r="V43" s="1637"/>
    </row>
    <row r="44" spans="1:22" ht="18" thickBot="1">
      <c r="A44" s="3519" t="str">
        <f>IF(OR(项目基本情况!E8="抵押价格",项目基本情况!E8="已注销及未注销"),"3.抵押价格","——")</f>
        <v>3.抵押价格</v>
      </c>
      <c r="B44" s="3520"/>
      <c r="C44" s="244">
        <f ca="1">IF(A44="——","——",C42-C43)</f>
        <v>55202</v>
      </c>
      <c r="D44" s="293">
        <f ca="1">ROUND(C44*10000/'数据-汇总表'!E3,0)</f>
        <v>5963</v>
      </c>
      <c r="E44" s="293">
        <f ca="1">ROUND(C44*10000/'数据-汇总表'!D3,0)</f>
        <v>13118</v>
      </c>
      <c r="F44" s="294">
        <f ca="1">ROUND(C44/('数据-汇总表'!D3/666.67),0)</f>
        <v>875</v>
      </c>
      <c r="G44" s="287"/>
      <c r="H44" s="287"/>
      <c r="I44" s="295"/>
      <c r="J44" s="1645"/>
      <c r="K44" s="1085" t="str">
        <f>D4</f>
        <v>剩余法-待开发 纯住宅</v>
      </c>
      <c r="L44" s="1086">
        <f ca="1">IF(L42="估价结果/万元",D19,D20)</f>
        <v>56920</v>
      </c>
      <c r="M44" s="1087">
        <f>D18</f>
        <v>0.5</v>
      </c>
      <c r="N44" s="1088"/>
      <c r="O44" s="1089"/>
      <c r="P44" s="1637"/>
      <c r="V44" s="1637"/>
    </row>
    <row r="45" spans="1:22" ht="13.8">
      <c r="A45" s="3525" t="str">
        <f>IF(项目基本情况!E8="已注销及未注销","4.抵押担保权已注销时的抵押价格",IF(项目基本情况!E8="已注销","3.抵押担保权已注销时的抵押价格","——"))</f>
        <v>——</v>
      </c>
      <c r="B45" s="3526"/>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4.4" thickBot="1">
      <c r="A46" s="3521" t="str">
        <f>IF(项目基本情况!E9="抵押净值",IF(A45="——","4.抵押净值","5.抵押净值"),"——")</f>
        <v>——</v>
      </c>
      <c r="B46" s="3522"/>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6">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3.2">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3.2">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3.2">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3.2">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3.2">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3.2">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3.2">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3.2">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3.2">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3.2">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3.2">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3.2">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3.2">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3.2">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7.399999999999999">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69" t="s">
        <v>340</v>
      </c>
      <c r="B63" s="3570"/>
      <c r="C63" s="3571"/>
      <c r="D63" s="315">
        <f ca="1">ROUND(C42*F63,0)</f>
        <v>55202</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27" t="s">
        <v>344</v>
      </c>
      <c r="B64" s="3528"/>
      <c r="C64" s="3528"/>
      <c r="D64" s="3528"/>
      <c r="E64" s="3528"/>
      <c r="F64" s="3528"/>
      <c r="G64" s="3529"/>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6.4">
      <c r="A66" s="3523" t="s">
        <v>352</v>
      </c>
      <c r="B66" s="3524"/>
      <c r="C66" s="3524"/>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84" t="s">
        <v>351</v>
      </c>
      <c r="M66" s="3585"/>
      <c r="N66" s="1974"/>
      <c r="O66" s="1975"/>
      <c r="P66" s="1976"/>
      <c r="Q66" s="1637"/>
      <c r="R66" s="1637"/>
      <c r="S66" s="1637"/>
      <c r="T66" s="1637"/>
      <c r="U66" s="1637"/>
      <c r="V66" s="1637"/>
    </row>
    <row r="67" spans="1:22" ht="25.5" customHeight="1">
      <c r="A67" s="326" t="s">
        <v>355</v>
      </c>
      <c r="B67" s="3514" t="s">
        <v>356</v>
      </c>
      <c r="C67" s="3514"/>
      <c r="D67" s="327">
        <v>0</v>
      </c>
      <c r="E67" s="37" t="s">
        <v>357</v>
      </c>
      <c r="F67" s="58" t="s">
        <v>15</v>
      </c>
      <c r="G67" s="3572"/>
      <c r="H67" s="2542" t="s">
        <v>2257</v>
      </c>
      <c r="I67" s="2544"/>
      <c r="J67" s="1650"/>
      <c r="K67" s="1633">
        <v>2</v>
      </c>
      <c r="L67" s="3578" t="s">
        <v>354</v>
      </c>
      <c r="M67" s="3578"/>
      <c r="N67" s="1129">
        <f>'数据-取费表'!B2</f>
        <v>45730</v>
      </c>
      <c r="O67" s="1129"/>
      <c r="P67" s="1129"/>
      <c r="Q67" s="1637"/>
      <c r="R67" s="1637"/>
      <c r="S67" s="1637"/>
      <c r="T67" s="1637"/>
      <c r="U67" s="1637"/>
      <c r="V67" s="1637"/>
    </row>
    <row r="68" spans="1:22" ht="25.5" customHeight="1">
      <c r="A68" s="328"/>
      <c r="B68" s="3514" t="s">
        <v>359</v>
      </c>
      <c r="C68" s="3514"/>
      <c r="D68" s="329"/>
      <c r="E68" s="73"/>
      <c r="F68" s="330"/>
      <c r="G68" s="3573"/>
      <c r="H68" s="2543" t="s">
        <v>2258</v>
      </c>
      <c r="I68" s="2544"/>
      <c r="J68" s="1650"/>
      <c r="K68" s="1633">
        <v>3</v>
      </c>
      <c r="L68" s="3578" t="s">
        <v>358</v>
      </c>
      <c r="M68" s="3578"/>
      <c r="N68" s="1099">
        <f ca="1">C42</f>
        <v>55202</v>
      </c>
      <c r="O68" s="1099"/>
      <c r="P68" s="1099"/>
      <c r="Q68" s="1637"/>
      <c r="R68" s="1637"/>
      <c r="S68" s="1637"/>
      <c r="T68" s="1637"/>
      <c r="U68" s="1637"/>
      <c r="V68" s="1637"/>
    </row>
    <row r="69" spans="1:22" ht="23.4" customHeight="1">
      <c r="A69" s="331"/>
      <c r="B69" s="3514" t="s">
        <v>360</v>
      </c>
      <c r="C69" s="3514"/>
      <c r="D69" s="332"/>
      <c r="E69" s="69"/>
      <c r="F69" s="330"/>
      <c r="G69" s="3574"/>
      <c r="H69" s="2543" t="s">
        <v>2259</v>
      </c>
      <c r="I69" s="2544"/>
      <c r="J69" s="1650"/>
      <c r="K69" s="1100">
        <v>4</v>
      </c>
      <c r="L69" s="3588" t="s">
        <v>2157</v>
      </c>
      <c r="M69" s="3589"/>
      <c r="N69" s="1101">
        <f ca="1">C44</f>
        <v>55202</v>
      </c>
      <c r="O69" s="1101"/>
      <c r="P69" s="1101"/>
      <c r="Q69" s="1637"/>
      <c r="R69" s="1637"/>
      <c r="S69" s="1637"/>
      <c r="T69" s="1637"/>
      <c r="U69" s="1637"/>
      <c r="V69" s="1637"/>
    </row>
    <row r="70" spans="1:22" ht="24" customHeight="1">
      <c r="A70" s="333" t="s">
        <v>361</v>
      </c>
      <c r="B70" s="3514" t="s">
        <v>362</v>
      </c>
      <c r="C70" s="3514"/>
      <c r="D70" s="332">
        <f ca="1">ROUND(D63*'数据-取费表'!B41/(1+'数据-取费表'!C42),0)</f>
        <v>2892</v>
      </c>
      <c r="E70" s="14" t="s">
        <v>363</v>
      </c>
      <c r="F70" s="334">
        <f>'数据-取费表'!B41</f>
        <v>5.5000000000000007E-2</v>
      </c>
      <c r="G70" s="335"/>
      <c r="H70" s="287"/>
      <c r="I70" s="1098"/>
      <c r="J70" s="1650"/>
      <c r="K70" s="2333"/>
      <c r="L70" s="2334"/>
      <c r="M70" s="2334"/>
      <c r="N70" s="2335" t="s">
        <v>2161</v>
      </c>
      <c r="O70" s="2334"/>
      <c r="P70" s="2336"/>
      <c r="Q70" s="1637"/>
      <c r="R70" s="1637"/>
      <c r="S70" s="1637"/>
      <c r="T70" s="1637"/>
      <c r="U70" s="1637"/>
      <c r="V70" s="1637"/>
    </row>
    <row r="71" spans="1:22" ht="12" customHeight="1">
      <c r="A71" s="333" t="s">
        <v>369</v>
      </c>
      <c r="B71" s="3515" t="s">
        <v>2282</v>
      </c>
      <c r="C71" s="3516"/>
      <c r="D71" s="332">
        <f ca="1">ROUND(D63*'数据-取费表'!B41/(1+'数据-取费表'!C42),0)</f>
        <v>2892</v>
      </c>
      <c r="E71" s="14" t="s">
        <v>363</v>
      </c>
      <c r="F71" s="334">
        <f>'数据-取费表'!B41</f>
        <v>5.5000000000000007E-2</v>
      </c>
      <c r="G71" s="335"/>
      <c r="H71" s="287"/>
      <c r="I71" s="1098"/>
      <c r="J71" s="1650"/>
      <c r="K71" s="2332" t="s">
        <v>364</v>
      </c>
      <c r="L71" s="3590" t="s">
        <v>365</v>
      </c>
      <c r="M71" s="3590"/>
      <c r="N71" s="2332" t="s">
        <v>366</v>
      </c>
      <c r="O71" s="2332" t="s">
        <v>367</v>
      </c>
      <c r="P71" s="2332" t="s">
        <v>368</v>
      </c>
      <c r="Q71" s="1637"/>
      <c r="R71" s="1637"/>
      <c r="S71" s="1637"/>
      <c r="T71" s="1637"/>
      <c r="U71" s="1637"/>
      <c r="V71" s="1637"/>
    </row>
    <row r="72" spans="1:22" ht="12" customHeight="1">
      <c r="A72" s="333" t="s">
        <v>371</v>
      </c>
      <c r="B72" s="3515" t="s">
        <v>2283</v>
      </c>
      <c r="C72" s="3516"/>
      <c r="D72" s="332">
        <f ca="1">C86</f>
        <v>2892</v>
      </c>
      <c r="E72" s="69" t="s">
        <v>372</v>
      </c>
      <c r="F72" s="334">
        <f>'数据-取费表'!B41</f>
        <v>5.5000000000000007E-2</v>
      </c>
      <c r="G72" s="335"/>
      <c r="H72" s="1104"/>
      <c r="I72" s="1098"/>
      <c r="J72" s="1650"/>
      <c r="K72" s="1633">
        <v>1</v>
      </c>
      <c r="L72" s="3565" t="s">
        <v>370</v>
      </c>
      <c r="M72" s="3565"/>
      <c r="N72" s="1102" t="b">
        <f>D66</f>
        <v>0</v>
      </c>
      <c r="O72" s="1540" t="str">
        <f>E66</f>
        <v>销售额×税（费）率</v>
      </c>
      <c r="P72" s="1103">
        <f>F66</f>
        <v>5.5000000000000007E-2</v>
      </c>
      <c r="Q72" s="1637"/>
      <c r="R72" s="1637"/>
      <c r="S72" s="1637"/>
      <c r="T72" s="1637"/>
      <c r="U72" s="1637"/>
      <c r="V72" s="1637"/>
    </row>
    <row r="73" spans="1:22" ht="24" customHeight="1">
      <c r="A73" s="3560" t="s">
        <v>374</v>
      </c>
      <c r="B73" s="3524"/>
      <c r="C73" s="3524"/>
      <c r="D73" s="336">
        <f ca="1">IF(H73="个人住宅",0,ROUND(D63*I73,0))</f>
        <v>28</v>
      </c>
      <c r="E73" s="14" t="s">
        <v>375</v>
      </c>
      <c r="F73" s="334" t="str">
        <f>IF(H73="正常",I73,"免征")</f>
        <v>免征</v>
      </c>
      <c r="G73" s="335"/>
      <c r="H73" s="174"/>
      <c r="I73" s="334">
        <f>'数据-取费表'!B49</f>
        <v>5.0000000000000001E-4</v>
      </c>
      <c r="J73" s="1650"/>
      <c r="K73" s="1633">
        <v>2</v>
      </c>
      <c r="L73" s="3565" t="s">
        <v>373</v>
      </c>
      <c r="M73" s="3565"/>
      <c r="N73" s="1102">
        <f t="shared" ref="N73:P74" ca="1" si="0">D73</f>
        <v>28</v>
      </c>
      <c r="O73" s="1540" t="str">
        <f t="shared" si="0"/>
        <v>销售额×税（费）率</v>
      </c>
      <c r="P73" s="1103" t="str">
        <f t="shared" si="0"/>
        <v>免征</v>
      </c>
      <c r="Q73" s="1637"/>
      <c r="R73" s="1637"/>
      <c r="S73" s="1637"/>
      <c r="T73" s="1637"/>
      <c r="U73" s="1637"/>
      <c r="V73" s="1637"/>
    </row>
    <row r="74" spans="1:22" ht="25.2">
      <c r="A74" s="3560" t="s">
        <v>377</v>
      </c>
      <c r="B74" s="3524"/>
      <c r="C74" s="3524"/>
      <c r="D74" s="336">
        <f ca="1">IF(H74="个人住宅",D75,D76)</f>
        <v>31294</v>
      </c>
      <c r="E74" s="14" t="s">
        <v>378</v>
      </c>
      <c r="F74" s="334" t="str">
        <f>IF(H74="正常",F76,"免征")</f>
        <v>免征</v>
      </c>
      <c r="G74" s="898" t="s">
        <v>379</v>
      </c>
      <c r="H74" s="337"/>
      <c r="I74" s="38"/>
      <c r="J74" s="1650"/>
      <c r="K74" s="1633">
        <v>3</v>
      </c>
      <c r="L74" s="3565" t="s">
        <v>376</v>
      </c>
      <c r="M74" s="3565"/>
      <c r="N74" s="1102">
        <f t="shared" ca="1" si="0"/>
        <v>31294</v>
      </c>
      <c r="O74" s="1540" t="str">
        <f t="shared" si="0"/>
        <v>增值额×税（费）率</v>
      </c>
      <c r="P74" s="1105" t="str">
        <f t="shared" si="0"/>
        <v>免征</v>
      </c>
      <c r="Q74" s="1637"/>
      <c r="R74" s="1637"/>
      <c r="S74" s="1637"/>
      <c r="T74" s="1637"/>
      <c r="U74" s="1637"/>
      <c r="V74" s="1637"/>
    </row>
    <row r="75" spans="1:22" ht="13.2">
      <c r="A75" s="333" t="s">
        <v>380</v>
      </c>
      <c r="B75" s="3512" t="s">
        <v>381</v>
      </c>
      <c r="C75" s="3548"/>
      <c r="D75" s="338">
        <v>0</v>
      </c>
      <c r="E75" s="37" t="s">
        <v>382</v>
      </c>
      <c r="F75" s="339"/>
      <c r="G75" s="335"/>
      <c r="H75" s="38"/>
      <c r="I75" s="38"/>
      <c r="J75" s="1650"/>
      <c r="K75" s="1633">
        <f>IF(H77="非个人房产","",4)</f>
        <v>4</v>
      </c>
      <c r="L75" s="3565" t="str">
        <f>IF(H77="非个人房产","——","个人所得税")</f>
        <v>个人所得税</v>
      </c>
      <c r="M75" s="3565"/>
      <c r="N75" s="1106">
        <f>D77</f>
        <v>0</v>
      </c>
      <c r="O75" s="1541" t="str">
        <f>E77</f>
        <v>差额计税</v>
      </c>
      <c r="P75" s="1107">
        <f>F77</f>
        <v>0.01</v>
      </c>
      <c r="Q75" s="1637"/>
      <c r="R75" s="1637"/>
      <c r="S75" s="1637"/>
      <c r="T75" s="1637"/>
      <c r="U75" s="1637"/>
      <c r="V75" s="1637"/>
    </row>
    <row r="76" spans="1:22" ht="25.2">
      <c r="A76" s="333" t="s">
        <v>361</v>
      </c>
      <c r="B76" s="3512" t="s">
        <v>384</v>
      </c>
      <c r="C76" s="3513"/>
      <c r="D76" s="336">
        <f ca="1">IF(H76="转让取得",C99,C115)</f>
        <v>31294</v>
      </c>
      <c r="E76" s="14" t="s">
        <v>385</v>
      </c>
      <c r="F76" s="49" t="s">
        <v>15</v>
      </c>
      <c r="G76" s="335"/>
      <c r="H76" s="337"/>
      <c r="I76" s="38"/>
      <c r="J76" s="1650"/>
      <c r="K76" s="1633" t="str">
        <f>IF(项目基本情况!K6="上海银行",IF(K75="",4,K75+1),"")</f>
        <v/>
      </c>
      <c r="L76" s="3580" t="str">
        <f>IF(项目基本情况!K6="上海银行","其他处置费用","")</f>
        <v/>
      </c>
      <c r="M76" s="3581"/>
      <c r="N76" s="1102" t="str">
        <f>IF(项目基本情况!K6="上海银行",N89,"")</f>
        <v/>
      </c>
      <c r="O76" s="3582" t="str">
        <f>IF(项目基本情况!K6="上海银行","包含处置中涉及的律师、诉讼、拍卖、评估等费用","")</f>
        <v/>
      </c>
      <c r="P76" s="3583"/>
      <c r="Q76" s="1637"/>
      <c r="R76" s="1637"/>
      <c r="S76" s="1637"/>
      <c r="T76" s="1637"/>
      <c r="U76" s="1637"/>
      <c r="V76" s="1637"/>
    </row>
    <row r="77" spans="1:22" ht="24.6" thickBot="1">
      <c r="A77" s="3567" t="s">
        <v>387</v>
      </c>
      <c r="B77" s="3568"/>
      <c r="C77" s="3568"/>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50"/>
      <c r="K77" s="3566">
        <f>IF(AND(K75="",K76=""),4,IF(项目基本情况!K6="上海银行",K76+1,K75+1))</f>
        <v>5</v>
      </c>
      <c r="L77" s="3565" t="s">
        <v>2158</v>
      </c>
      <c r="M77" s="2331" t="s">
        <v>383</v>
      </c>
      <c r="N77" s="1108"/>
      <c r="O77" s="1109">
        <f ca="1">SUMIF(N72:N76,"&lt;9e307")</f>
        <v>31322</v>
      </c>
      <c r="P77" s="1110"/>
      <c r="Q77" s="2329">
        <f ca="1">O77/N69</f>
        <v>0.56740697800804318</v>
      </c>
      <c r="R77" s="1637"/>
      <c r="S77" s="1637"/>
      <c r="T77" s="1637"/>
      <c r="U77" s="1637"/>
      <c r="V77" s="1637"/>
    </row>
    <row r="78" spans="1:22" ht="12" customHeight="1">
      <c r="A78" s="1111"/>
      <c r="B78" s="287"/>
      <c r="C78" s="287"/>
      <c r="D78" s="287"/>
      <c r="E78" s="38"/>
      <c r="F78" s="38"/>
      <c r="G78" s="38"/>
      <c r="H78" s="867"/>
      <c r="I78" s="287"/>
      <c r="J78" s="1650"/>
      <c r="K78" s="3566"/>
      <c r="L78" s="3565"/>
      <c r="M78" s="2331" t="s">
        <v>386</v>
      </c>
      <c r="N78" s="1108"/>
      <c r="O78" s="1109" t="str">
        <f ca="1">NUMBERSTRING(INT(O77*10000),2)&amp;"元整"</f>
        <v>叁亿壹仟叁佰贰拾贰万元整</v>
      </c>
      <c r="P78" s="1110"/>
      <c r="Q78" s="1637"/>
      <c r="R78" s="1637"/>
      <c r="S78" s="1637"/>
      <c r="T78" s="1637"/>
      <c r="U78" s="1637"/>
      <c r="V78" s="1637"/>
    </row>
    <row r="79" spans="1:22" ht="13.8" thickBot="1">
      <c r="A79" s="3532" t="s">
        <v>388</v>
      </c>
      <c r="B79" s="3532"/>
      <c r="C79" s="3532"/>
      <c r="D79" s="3532"/>
      <c r="E79" s="3532"/>
      <c r="F79" s="38"/>
      <c r="G79" s="38"/>
      <c r="H79" s="867"/>
      <c r="I79" s="287"/>
      <c r="J79" s="1650"/>
      <c r="K79" s="3586">
        <f>K77+1</f>
        <v>6</v>
      </c>
      <c r="L79" s="3565" t="s">
        <v>2159</v>
      </c>
      <c r="M79" s="2331" t="s">
        <v>383</v>
      </c>
      <c r="N79" s="1108"/>
      <c r="O79" s="1109">
        <f ca="1">N69-O77</f>
        <v>23880</v>
      </c>
      <c r="P79" s="1110"/>
      <c r="Q79" s="1637"/>
      <c r="R79" s="1637"/>
      <c r="S79" s="1637"/>
      <c r="T79" s="1637"/>
      <c r="U79" s="1637"/>
      <c r="V79" s="1637"/>
    </row>
    <row r="80" spans="1:22" ht="13.2">
      <c r="A80" s="3533" t="s">
        <v>389</v>
      </c>
      <c r="B80" s="3534"/>
      <c r="C80" s="908"/>
      <c r="D80" s="908" t="s">
        <v>390</v>
      </c>
      <c r="E80" s="340" t="s">
        <v>391</v>
      </c>
      <c r="F80" s="38"/>
      <c r="G80" s="38"/>
      <c r="H80" s="867"/>
      <c r="I80" s="287"/>
      <c r="J80" s="1637"/>
      <c r="K80" s="3587"/>
      <c r="L80" s="3565"/>
      <c r="M80" s="2331" t="s">
        <v>386</v>
      </c>
      <c r="N80" s="1108"/>
      <c r="O80" s="1109" t="str">
        <f ca="1">NUMBERSTRING(INT(O79*10000),2)&amp;"元整"</f>
        <v>贰亿叁仟捌佰捌拾万元整</v>
      </c>
      <c r="P80" s="1110"/>
      <c r="Q80" s="1637"/>
      <c r="R80" s="1637"/>
      <c r="S80" s="1637"/>
      <c r="T80" s="1637"/>
      <c r="U80" s="1637"/>
      <c r="V80" s="1637"/>
    </row>
    <row r="81" spans="1:26" ht="13.8" thickBot="1">
      <c r="A81" s="351" t="s">
        <v>1352</v>
      </c>
      <c r="B81" s="341" t="s">
        <v>392</v>
      </c>
      <c r="C81" s="342">
        <f ca="1">ROUND((C82+C83)/(1+'数据-取费表'!C42),0)</f>
        <v>52573</v>
      </c>
      <c r="D81" s="343"/>
      <c r="E81" s="344"/>
      <c r="F81" s="38"/>
      <c r="G81" s="38"/>
      <c r="H81" s="867"/>
      <c r="I81" s="287"/>
      <c r="J81" s="1637"/>
      <c r="K81" s="1633">
        <f>K79+1</f>
        <v>7</v>
      </c>
      <c r="L81" s="3563" t="s">
        <v>2160</v>
      </c>
      <c r="M81" s="3564"/>
      <c r="N81" s="1112"/>
      <c r="O81" s="1113">
        <f ca="1">ROUND(O79*10000/'数据-汇总表'!E3,0)</f>
        <v>2579</v>
      </c>
      <c r="P81" s="1114"/>
      <c r="Q81" s="1637"/>
      <c r="R81" s="1637"/>
      <c r="S81" s="1637"/>
      <c r="T81" s="1637"/>
      <c r="U81" s="1637"/>
      <c r="V81" s="1637"/>
    </row>
    <row r="82" spans="1:26" ht="13.8" thickTop="1">
      <c r="A82" s="345" t="s">
        <v>1353</v>
      </c>
      <c r="B82" s="346" t="s">
        <v>393</v>
      </c>
      <c r="C82" s="347">
        <f ca="1">D63</f>
        <v>55202</v>
      </c>
      <c r="D82" s="348" t="s">
        <v>13</v>
      </c>
      <c r="E82" s="349"/>
      <c r="F82" s="38"/>
      <c r="G82" s="38"/>
      <c r="H82" s="867"/>
      <c r="I82" s="287"/>
      <c r="J82" s="1637"/>
      <c r="K82" s="1637"/>
      <c r="L82" s="1637"/>
      <c r="M82" s="1637"/>
      <c r="N82" s="1637"/>
      <c r="O82" s="1637"/>
      <c r="P82" s="1637"/>
      <c r="Q82" s="1637"/>
      <c r="R82" s="1637"/>
      <c r="S82" s="1637"/>
      <c r="T82" s="1637"/>
      <c r="U82" s="1637"/>
      <c r="V82" s="1637"/>
    </row>
    <row r="83" spans="1:26" ht="13.2">
      <c r="A83" s="345" t="s">
        <v>1354</v>
      </c>
      <c r="B83" s="346" t="s">
        <v>394</v>
      </c>
      <c r="C83" s="350"/>
      <c r="D83" s="348"/>
      <c r="E83" s="349"/>
      <c r="F83" s="38"/>
      <c r="G83" s="38"/>
      <c r="H83" s="867"/>
      <c r="I83" s="287"/>
      <c r="J83" s="1637"/>
      <c r="K83" s="3579" t="s">
        <v>2148</v>
      </c>
      <c r="L83" s="2337" t="s">
        <v>2149</v>
      </c>
      <c r="M83" s="2327">
        <f ca="1">IF(N69&gt;10000,N69*0.5%,IF(AND(N69&gt;1000,N69&lt;=10000),N69*1%,IF(AND(N69&gt;100,N69&lt;=1000),N69*3%,IF(AND(N69&gt;10,N69&lt;=100),N69*5%,N69*8%))))</f>
        <v>276.01</v>
      </c>
      <c r="N83" s="49">
        <f ca="1">ROUND(M83,1)</f>
        <v>276</v>
      </c>
      <c r="O83" s="2330"/>
      <c r="P83" s="1637"/>
      <c r="Q83" s="1637"/>
      <c r="R83" s="1637"/>
      <c r="S83" s="1637"/>
      <c r="T83" s="1637"/>
      <c r="U83" s="1637"/>
      <c r="V83" s="1637"/>
    </row>
    <row r="84" spans="1:26" ht="25.2">
      <c r="A84" s="351" t="s">
        <v>1355</v>
      </c>
      <c r="B84" s="352" t="s">
        <v>395</v>
      </c>
      <c r="C84" s="353"/>
      <c r="D84" s="354" t="s">
        <v>13</v>
      </c>
      <c r="E84" s="2352" t="s">
        <v>2203</v>
      </c>
      <c r="F84" s="38"/>
      <c r="G84" s="38"/>
      <c r="H84" s="867"/>
      <c r="I84" s="287"/>
      <c r="J84" s="1637"/>
      <c r="K84" s="3579"/>
      <c r="L84" s="2337" t="s">
        <v>2150</v>
      </c>
      <c r="M84" s="2327">
        <f ca="1">IF(N69&gt;2000,N69*0.5%,IF(AND(N69&gt;1000,N69&lt;=2000),N69*0.6%,IF(AND(N69&gt;500,N69&lt;=1000),N69*0.7%,IF(AND(N69&gt;200,N69&lt;=500),N69*0.8%,IF(AND(N69&gt;100,N69&lt;=200),N69*0.9%,IF(AND(N69&gt;50,N69&lt;=100),N69*1%,IF(AND(N69&gt;20,N69&lt;=50),N69*1.5%,IF(AND(N69&gt;10,N69&lt;=20),N69*2%,IF(AND(N69&gt;1,N69&lt;=10),N69*2.5%)))))))))</f>
        <v>276.01</v>
      </c>
      <c r="N84" s="49">
        <f ca="1">ROUND(M84,1)</f>
        <v>276</v>
      </c>
      <c r="O84" s="1637" t="s">
        <v>2151</v>
      </c>
      <c r="P84" s="1637"/>
      <c r="Q84" s="1637"/>
      <c r="R84" s="1637"/>
      <c r="S84" s="1637"/>
      <c r="T84" s="1637"/>
      <c r="U84" s="1637"/>
      <c r="V84" s="1637"/>
    </row>
    <row r="85" spans="1:26" ht="13.2">
      <c r="A85" s="351" t="s">
        <v>1356</v>
      </c>
      <c r="B85" s="352" t="s">
        <v>396</v>
      </c>
      <c r="C85" s="355">
        <f ca="1">C81-C84</f>
        <v>52573</v>
      </c>
      <c r="D85" s="348" t="s">
        <v>13</v>
      </c>
      <c r="E85" s="349"/>
      <c r="F85" s="38"/>
      <c r="G85" s="38"/>
      <c r="H85" s="867"/>
      <c r="I85" s="287"/>
      <c r="J85" s="1637"/>
      <c r="K85" s="3579"/>
      <c r="L85" s="2337" t="s">
        <v>2152</v>
      </c>
      <c r="M85" s="2327">
        <f ca="1">IF(N69&gt;1000,N69*0.1%,IF(AND(N69&gt;500,N69&lt;=1000),N69*0.5%,IF(AND(N69&gt;50,N69&lt;=500),N69*1%,IF(AND(N69&gt;1,N69&lt;=50),N69*1.5%))))</f>
        <v>55.201999999999998</v>
      </c>
      <c r="N85" s="49">
        <f ca="1">ROUND(M85,1)</f>
        <v>55.2</v>
      </c>
      <c r="O85" s="1637" t="s">
        <v>2151</v>
      </c>
      <c r="P85" s="1637"/>
      <c r="Q85" s="1637"/>
      <c r="R85" s="1637"/>
      <c r="S85" s="1637"/>
      <c r="T85" s="1637"/>
      <c r="U85" s="1637"/>
      <c r="V85" s="1637"/>
    </row>
    <row r="86" spans="1:26" ht="13.8" thickBot="1">
      <c r="A86" s="356" t="s">
        <v>1357</v>
      </c>
      <c r="B86" s="357" t="s">
        <v>397</v>
      </c>
      <c r="C86" s="358">
        <f ca="1">IF(C85&lt;=0,0,ROUND(C85*D86,0))</f>
        <v>2892</v>
      </c>
      <c r="D86" s="359">
        <f>'数据-取费表'!B41</f>
        <v>5.5000000000000007E-2</v>
      </c>
      <c r="E86" s="360"/>
      <c r="F86" s="38"/>
      <c r="G86" s="38"/>
      <c r="H86" s="867"/>
      <c r="I86" s="287"/>
      <c r="J86" s="1637"/>
      <c r="K86" s="3579"/>
      <c r="L86" s="2337" t="s">
        <v>2153</v>
      </c>
      <c r="M86" s="2327">
        <f ca="1">N69*0.5%</f>
        <v>276.01</v>
      </c>
      <c r="N86" s="49">
        <f ca="1">IF(M86&gt;0.5,0.5,ROUND(M86,0))</f>
        <v>0.5</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79"/>
      <c r="L87" s="2337" t="s">
        <v>2155</v>
      </c>
      <c r="M87" s="2327">
        <f ca="1">IF(N69&gt;=10000,(8.25+(N69-10000)*0.01%),IF(AND(N69&gt;=8000,N69&lt;10000),(7.85+(N69-8000)*0.02%),IF(AND(N69&gt;=5000,N69&lt;8000),(6.65+(N69-5000)*0.04%),IF(AND(N69&gt;=2000,N69&lt;5000),(4.25+(PN69-2000)*0.08%),IF(AND(N69&gt;=1000,N69&lt;2000),(2.75+(N69-1000)*0.15%),IF(AND(N69&gt;=100,N69&lt;1000),(0.5+(N69-100)*0.25%),IF(AND(N69&gt;0,N69&lt;100),N69*0.5%)))))))</f>
        <v>12.770199999999999</v>
      </c>
      <c r="N87" s="49">
        <f ca="1">ROUND(M87*0.9,1)</f>
        <v>11.5</v>
      </c>
      <c r="O87" s="2330"/>
      <c r="P87" s="1637"/>
      <c r="Q87" s="1637"/>
      <c r="R87" s="1637"/>
      <c r="S87" s="1637"/>
      <c r="T87" s="1637"/>
      <c r="U87" s="1637"/>
      <c r="V87" s="1637"/>
    </row>
    <row r="88" spans="1:26" s="1008" customFormat="1" ht="14.4" thickBot="1">
      <c r="A88" s="3558" t="s">
        <v>398</v>
      </c>
      <c r="B88" s="3559"/>
      <c r="C88" s="3559"/>
      <c r="D88" s="3559"/>
      <c r="E88" s="3559"/>
      <c r="F88" s="3559"/>
      <c r="G88" s="3559"/>
      <c r="H88" s="3559"/>
      <c r="I88" s="1120"/>
      <c r="J88" s="1651"/>
      <c r="K88" s="3579"/>
      <c r="L88" s="2337" t="s">
        <v>2156</v>
      </c>
      <c r="M88" s="2327">
        <f ca="1">IF(N69&gt;10000,N69*0.5%,IF(AND(N69&gt;5000,N69&lt;=10000),N69*1%,IF(AND(N69&gt;1000,N69&lt;=5000),N69*2%,IF(AND(N69&gt;200,N69&lt;=1000),N69*3%,N69*5%))))</f>
        <v>276.01</v>
      </c>
      <c r="N88" s="49">
        <f ca="1">ROUND(M88,1)</f>
        <v>276</v>
      </c>
      <c r="O88" s="2330"/>
      <c r="P88" s="1648"/>
      <c r="Q88" s="1648"/>
      <c r="R88" s="1648"/>
      <c r="S88" s="1648"/>
      <c r="T88" s="1648"/>
      <c r="U88" s="1648"/>
      <c r="V88" s="1648"/>
      <c r="W88" s="1652"/>
      <c r="X88" s="1652"/>
      <c r="Y88" s="1652"/>
      <c r="Z88" s="1652"/>
    </row>
    <row r="89" spans="1:26" s="1008" customFormat="1" ht="13.8">
      <c r="A89" s="3533" t="s">
        <v>389</v>
      </c>
      <c r="B89" s="3534"/>
      <c r="C89" s="908"/>
      <c r="D89" s="908" t="s">
        <v>390</v>
      </c>
      <c r="E89" s="361" t="s">
        <v>399</v>
      </c>
      <c r="F89" s="362"/>
      <c r="G89" s="362"/>
      <c r="H89" s="363"/>
      <c r="I89" s="1121"/>
      <c r="J89" s="1653"/>
      <c r="K89" s="3579"/>
      <c r="L89" s="2337" t="s">
        <v>16</v>
      </c>
      <c r="M89" s="2328"/>
      <c r="N89" s="49">
        <f ca="1">ROUND(SUM(N83:N88),0)</f>
        <v>895</v>
      </c>
      <c r="O89" s="2338">
        <f ca="1">N89/N69</f>
        <v>1.6213180681859354E-2</v>
      </c>
      <c r="P89" s="1648"/>
      <c r="Q89" s="1648"/>
      <c r="R89" s="1648"/>
      <c r="S89" s="1648"/>
      <c r="T89" s="1648"/>
      <c r="U89" s="1648"/>
      <c r="V89" s="1648"/>
      <c r="W89" s="1652"/>
      <c r="X89" s="1652"/>
      <c r="Y89" s="1652"/>
      <c r="Z89" s="1652"/>
    </row>
    <row r="90" spans="1:26" s="1008" customFormat="1" ht="13.8">
      <c r="A90" s="351" t="s">
        <v>1352</v>
      </c>
      <c r="B90" s="352" t="s">
        <v>400</v>
      </c>
      <c r="C90" s="355">
        <f ca="1">ROUND(D63/(1+'数据-取费表'!C42),0)</f>
        <v>52573</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3.8">
      <c r="A91" s="351" t="s">
        <v>1358</v>
      </c>
      <c r="B91" s="322" t="s">
        <v>401</v>
      </c>
      <c r="C91" s="355">
        <f ca="1">C92+C96</f>
        <v>263</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4">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15" t="s">
        <v>407</v>
      </c>
      <c r="F94" s="3514"/>
      <c r="G94" s="3514"/>
      <c r="H94" s="3557"/>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263</v>
      </c>
      <c r="D96" s="376">
        <f>'数据-取费表'!B43</f>
        <v>5.000000000000001E-3</v>
      </c>
      <c r="E96" s="3549" t="s">
        <v>1780</v>
      </c>
      <c r="F96" s="3550"/>
      <c r="G96" s="3550"/>
      <c r="H96" s="3551"/>
      <c r="I96" s="1122"/>
      <c r="J96" s="1654"/>
      <c r="K96" s="1648"/>
      <c r="L96" s="1648"/>
      <c r="M96" s="1648"/>
      <c r="N96" s="1648"/>
      <c r="O96" s="1648"/>
      <c r="P96" s="1648"/>
      <c r="Q96" s="1648"/>
      <c r="R96" s="1648"/>
      <c r="S96" s="1648"/>
      <c r="T96" s="1648"/>
      <c r="U96" s="1648"/>
      <c r="V96" s="1648"/>
      <c r="W96" s="1652"/>
      <c r="X96" s="1652"/>
      <c r="Y96" s="1652"/>
      <c r="Z96" s="1652"/>
    </row>
    <row r="97" spans="1:26" s="1008" customFormat="1" ht="13.8">
      <c r="A97" s="1340" t="s">
        <v>1364</v>
      </c>
      <c r="B97" s="352" t="s">
        <v>411</v>
      </c>
      <c r="C97" s="355">
        <f ca="1">C90-C91</f>
        <v>52310</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198.89733840304183</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6" thickBot="1">
      <c r="A99" s="1341" t="s">
        <v>1366</v>
      </c>
      <c r="B99" s="357" t="s">
        <v>413</v>
      </c>
      <c r="C99" s="378">
        <f ca="1">ROUND(IF(C97&lt;=0,0,IF(C98&gt;=200%,C97*60%-C91*35%,IF(C98&gt;=100%,C97*50%-C91*15%,IF(C98&gt;=50%,C97*40%-C91*5%,IF(C98&lt;50%,C97*30%,0))))),0)</f>
        <v>31294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4.4" thickBot="1">
      <c r="A101" s="3558" t="s">
        <v>414</v>
      </c>
      <c r="B101" s="3559"/>
      <c r="C101" s="3559"/>
      <c r="D101" s="3559"/>
      <c r="E101" s="3559"/>
      <c r="F101" s="3559"/>
      <c r="G101" s="3559"/>
      <c r="H101" s="3559"/>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3.8">
      <c r="A102" s="3533" t="s">
        <v>389</v>
      </c>
      <c r="B102" s="3534"/>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3.8">
      <c r="A103" s="351" t="s">
        <v>1352</v>
      </c>
      <c r="B103" s="352" t="s">
        <v>400</v>
      </c>
      <c r="C103" s="355">
        <f ca="1">ROUND(D63/(1+'数据-取费表'!C42),0)</f>
        <v>52573</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3.8">
      <c r="A104" s="351" t="s">
        <v>1358</v>
      </c>
      <c r="B104" s="322" t="s">
        <v>401</v>
      </c>
      <c r="C104" s="355">
        <f ca="1">IF(H106="仅含出让金",C105+C108+C109+C110+C111+C112,C105+C109+C110+C111+C112)</f>
        <v>263</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3.8">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4">
      <c r="A106" s="365" t="s">
        <v>1360</v>
      </c>
      <c r="B106" s="346" t="s">
        <v>416</v>
      </c>
      <c r="C106" s="386"/>
      <c r="D106" s="376"/>
      <c r="E106" s="387" t="s">
        <v>417</v>
      </c>
      <c r="F106" s="901"/>
      <c r="G106" s="388" t="s">
        <v>418</v>
      </c>
      <c r="H106" s="389"/>
      <c r="I106" s="9"/>
      <c r="J106" s="1648"/>
      <c r="K106" s="2745" t="s">
        <v>2276</v>
      </c>
      <c r="L106" s="1648"/>
      <c r="M106" s="1648"/>
      <c r="N106" s="1648"/>
      <c r="O106" s="1648"/>
      <c r="P106" s="1648"/>
      <c r="Q106" s="1648"/>
      <c r="R106" s="1648"/>
      <c r="S106" s="1648"/>
      <c r="T106" s="1648"/>
      <c r="U106" s="1648"/>
      <c r="V106" s="1648"/>
      <c r="W106" s="1652"/>
      <c r="X106" s="1652"/>
      <c r="Y106" s="1652"/>
      <c r="Z106" s="1652"/>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4">
      <c r="A108" s="365" t="s">
        <v>1363</v>
      </c>
      <c r="B108" s="346" t="s">
        <v>420</v>
      </c>
      <c r="C108" s="386"/>
      <c r="D108" s="376"/>
      <c r="E108" s="387" t="str">
        <f>IF(H106="-","土地取得成本中已包含该笔费用"," ")</f>
        <v xml:space="preserve"> </v>
      </c>
      <c r="F108" s="901"/>
      <c r="G108" s="3509" t="s">
        <v>2252</v>
      </c>
      <c r="H108" s="3510"/>
      <c r="I108" s="2417"/>
      <c r="J108" s="1648"/>
      <c r="K108" s="2745" t="s">
        <v>2277</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2" t="s">
        <v>422</v>
      </c>
      <c r="F109" s="3550"/>
      <c r="G109" s="3550"/>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5">
        <v>0</v>
      </c>
      <c r="E110" s="3552" t="s">
        <v>424</v>
      </c>
      <c r="F110" s="3550"/>
      <c r="G110" s="3550"/>
      <c r="H110" s="3551"/>
      <c r="I110" s="9"/>
      <c r="J110" s="1648"/>
      <c r="K110" s="2746" t="s">
        <v>2278</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263</v>
      </c>
      <c r="D111" s="376">
        <f>'数据-取费表'!B43</f>
        <v>5.000000000000001E-3</v>
      </c>
      <c r="E111" s="3549" t="s">
        <v>1780</v>
      </c>
      <c r="F111" s="3550"/>
      <c r="G111" s="3550"/>
      <c r="H111" s="3551"/>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2" t="s">
        <v>1799</v>
      </c>
      <c r="F112" s="3550"/>
      <c r="G112" s="3550"/>
      <c r="H112" s="3551"/>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3.8">
      <c r="A113" s="1340" t="s">
        <v>1364</v>
      </c>
      <c r="B113" s="352" t="s">
        <v>411</v>
      </c>
      <c r="C113" s="355">
        <f ca="1">ROUND(C103-C104,0)</f>
        <v>52310</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198.89733840304183</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6" thickBot="1">
      <c r="A115" s="1341" t="s">
        <v>1366</v>
      </c>
      <c r="B115" s="357" t="s">
        <v>413</v>
      </c>
      <c r="C115" s="378">
        <f ca="1">ROUND(IF(C113&lt;=0,0,IF(C114&gt;=200%,C113*60%-C104*35%,IF(C114&gt;=100%,C113*50%-C104*15%,IF(C114&gt;=50%,C113*40%-C104*5%,IF(C114&lt;50%,C113*30%,0))))),0)</f>
        <v>31294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733" customWidth="1"/>
    <col min="2" max="2" width="25.77734375" style="1723" customWidth="1"/>
    <col min="3" max="3" width="11.44140625" style="1734" customWidth="1"/>
    <col min="4" max="4" width="12" style="1723" customWidth="1"/>
    <col min="5" max="5" width="9.44140625" style="1733" customWidth="1"/>
    <col min="6" max="6" width="10.109375" style="1723" customWidth="1"/>
    <col min="7" max="7" width="9.441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41" s="1655" customFormat="1" ht="21">
      <c r="A1" s="391" t="s">
        <v>426</v>
      </c>
      <c r="B1" s="2120" t="s">
        <v>851</v>
      </c>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4.4">
      <c r="A7" s="404" t="s">
        <v>430</v>
      </c>
      <c r="B7" s="405" t="s">
        <v>431</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0.05</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0.1</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1852</v>
      </c>
      <c r="D16" s="420">
        <f ca="1">IF(B1="",'数据-汇总表'!E3,INDIRECT("'数据-取费表'!K"&amp;$K$1)+INDIRECT("'数据-取费表'!S"&amp;$K$1))</f>
        <v>92580.400000000009</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1852</v>
      </c>
      <c r="D18" s="430"/>
      <c r="E18" s="431"/>
      <c r="F18" s="431"/>
      <c r="G18" s="1130"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1383</v>
      </c>
      <c r="B19" s="428" t="s">
        <v>453</v>
      </c>
      <c r="C19" s="429">
        <f ca="1">ROUND(C18*F19,0)</f>
        <v>37</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1384</v>
      </c>
      <c r="B20" s="430" t="s">
        <v>454</v>
      </c>
      <c r="C20" s="439">
        <f ca="1">ROUND(IF('数据-取费表'!B22&lt;=1,(C18+C19)*F20*'数据-取费表'!B20/2,(C18+C19)*(POWER((1+F20),'数据-取费表'!B20/2)-1)),0)</f>
        <v>59</v>
      </c>
      <c r="D20" s="431">
        <f ca="1">ROUND(((1+F20)^'数据-取费表'!B20)-1,4)</f>
        <v>6.3E-2</v>
      </c>
      <c r="E20" s="431"/>
      <c r="F20" s="440">
        <f ca="1">'数据-取费表'!B40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9" customFormat="1" ht="13.5" customHeight="1">
      <c r="A21" s="1357" t="s">
        <v>2295</v>
      </c>
      <c r="B21" s="2316" t="s">
        <v>2107</v>
      </c>
      <c r="C21" s="447">
        <f ca="1">ROUND((C18+C19)*F21,0)</f>
        <v>283</v>
      </c>
      <c r="D21" s="2787"/>
      <c r="E21" s="431"/>
      <c r="F21" s="448">
        <f ca="1">IF(B1="",'数据-取费表'!Q16,INDIRECT("'数据-取费表'!q"&amp;$K$1))</f>
        <v>0.15</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1389</v>
      </c>
      <c r="B23" s="2791" t="s">
        <v>2296</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591" t="s">
        <v>1394</v>
      </c>
      <c r="B24" s="3592"/>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591" t="s">
        <v>2293</v>
      </c>
      <c r="B25" s="3592"/>
      <c r="C25" s="2797">
        <f>ROUND(C6*F25,0)</f>
        <v>0</v>
      </c>
      <c r="D25" s="2798"/>
      <c r="E25" s="2799"/>
      <c r="F25" s="2803">
        <f>'数据-取费表'!B38</f>
        <v>0.03</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591" t="s">
        <v>2294</v>
      </c>
      <c r="B26" s="3592"/>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93" t="s">
        <v>2292</v>
      </c>
      <c r="B27" s="3594"/>
      <c r="C27" s="2805">
        <f ca="1">(C6-C23-C24-C25)/((1+F26)*(1+D20+F21))</f>
        <v>0</v>
      </c>
      <c r="D27" s="2806"/>
      <c r="E27" s="2806"/>
      <c r="F27" s="2806"/>
      <c r="G27" s="2807" t="s">
        <v>2231</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4.4">
      <c r="A6" s="463" t="s">
        <v>470</v>
      </c>
      <c r="B6" s="464"/>
      <c r="C6" s="3602" t="s">
        <v>471</v>
      </c>
      <c r="D6" s="3603"/>
      <c r="E6" s="3637" t="s">
        <v>472</v>
      </c>
      <c r="F6" s="3638"/>
      <c r="G6" s="3602" t="s">
        <v>473</v>
      </c>
      <c r="H6" s="3603"/>
      <c r="I6" s="3602" t="s">
        <v>474</v>
      </c>
      <c r="J6" s="3603"/>
      <c r="K6" s="465" t="s">
        <v>475</v>
      </c>
      <c r="L6" s="1742"/>
      <c r="M6" s="1743"/>
      <c r="N6" s="1743"/>
      <c r="O6" s="1743"/>
      <c r="P6" s="3604" t="s">
        <v>476</v>
      </c>
      <c r="Q6" s="3605"/>
      <c r="R6" s="3610" t="s">
        <v>472</v>
      </c>
      <c r="S6" s="3611"/>
      <c r="T6" s="3610" t="s">
        <v>473</v>
      </c>
      <c r="U6" s="3611"/>
      <c r="V6" s="3597" t="s">
        <v>474</v>
      </c>
      <c r="W6" s="3597"/>
      <c r="X6" s="1303"/>
      <c r="Y6" s="3610" t="s">
        <v>476</v>
      </c>
      <c r="Z6" s="3611"/>
      <c r="AA6" s="3599" t="s">
        <v>472</v>
      </c>
      <c r="AB6" s="3600" t="s">
        <v>473</v>
      </c>
      <c r="AC6" s="3599" t="s">
        <v>474</v>
      </c>
    </row>
    <row r="7" spans="1:29">
      <c r="A7" s="466"/>
      <c r="B7" s="467"/>
      <c r="C7" s="3618" t="s">
        <v>2192</v>
      </c>
      <c r="D7" s="3619"/>
      <c r="E7" s="3639" t="s">
        <v>2193</v>
      </c>
      <c r="F7" s="3640"/>
      <c r="G7" s="3618" t="s">
        <v>2194</v>
      </c>
      <c r="H7" s="3619"/>
      <c r="I7" s="3618" t="s">
        <v>2195</v>
      </c>
      <c r="J7" s="3619"/>
      <c r="K7" s="465"/>
      <c r="L7" s="1742"/>
      <c r="M7" s="1743"/>
      <c r="N7" s="1743"/>
      <c r="O7" s="1743"/>
      <c r="P7" s="3606"/>
      <c r="Q7" s="3607"/>
      <c r="R7" s="3612"/>
      <c r="S7" s="3613"/>
      <c r="T7" s="3612"/>
      <c r="U7" s="3613"/>
      <c r="V7" s="3597"/>
      <c r="W7" s="3597"/>
      <c r="X7" s="1303"/>
      <c r="Y7" s="3612"/>
      <c r="Z7" s="3613"/>
      <c r="AA7" s="3600"/>
      <c r="AB7" s="3600"/>
      <c r="AC7" s="3600"/>
    </row>
    <row r="8" spans="1:29" ht="15" thickBot="1">
      <c r="A8" s="468"/>
      <c r="B8" s="469"/>
      <c r="C8" s="3616" t="s">
        <v>2196</v>
      </c>
      <c r="D8" s="3617"/>
      <c r="E8" s="3635" t="s">
        <v>2196</v>
      </c>
      <c r="F8" s="3636"/>
      <c r="G8" s="3616" t="s">
        <v>2196</v>
      </c>
      <c r="H8" s="3617"/>
      <c r="I8" s="3616" t="s">
        <v>2196</v>
      </c>
      <c r="J8" s="3617"/>
      <c r="K8" s="465" t="s">
        <v>477</v>
      </c>
      <c r="L8" s="1742"/>
      <c r="M8" s="1743"/>
      <c r="N8" s="1743"/>
      <c r="O8" s="1743"/>
      <c r="P8" s="3608"/>
      <c r="Q8" s="3609"/>
      <c r="R8" s="3612"/>
      <c r="S8" s="3613"/>
      <c r="T8" s="3614"/>
      <c r="U8" s="3615"/>
      <c r="V8" s="3597"/>
      <c r="W8" s="3597"/>
      <c r="X8" s="1303"/>
      <c r="Y8" s="3614"/>
      <c r="Z8" s="3615"/>
      <c r="AA8" s="3601"/>
      <c r="AB8" s="3601"/>
      <c r="AC8" s="3601"/>
    </row>
    <row r="9" spans="1:29" s="1060" customFormat="1" ht="15" thickBot="1">
      <c r="A9" s="2209"/>
      <c r="B9" s="2216" t="s">
        <v>478</v>
      </c>
      <c r="C9" s="470">
        <f>'数据-取费表'!B2</f>
        <v>45730</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26" t="s">
        <v>479</v>
      </c>
      <c r="Q9" s="3628"/>
      <c r="R9" s="1304" t="s">
        <v>5</v>
      </c>
      <c r="S9" s="1305">
        <f t="shared" ref="S9:S17" si="0">F9</f>
        <v>0</v>
      </c>
      <c r="T9" s="1304" t="s">
        <v>5</v>
      </c>
      <c r="U9" s="1305">
        <f t="shared" ref="U9:U17" si="1">H9</f>
        <v>0</v>
      </c>
      <c r="V9" s="1304" t="s">
        <v>5</v>
      </c>
      <c r="W9" s="1305">
        <f t="shared" ref="W9:W17" si="2">J9</f>
        <v>0</v>
      </c>
      <c r="X9" s="1306"/>
      <c r="Y9" s="3626" t="s">
        <v>479</v>
      </c>
      <c r="Z9" s="3627"/>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26" t="s">
        <v>482</v>
      </c>
      <c r="Q10" s="3627"/>
      <c r="R10" s="1304" t="s">
        <v>5</v>
      </c>
      <c r="S10" s="1305">
        <f t="shared" si="0"/>
        <v>0</v>
      </c>
      <c r="T10" s="1304" t="s">
        <v>5</v>
      </c>
      <c r="U10" s="1305">
        <f t="shared" si="1"/>
        <v>0</v>
      </c>
      <c r="V10" s="1304" t="s">
        <v>5</v>
      </c>
      <c r="W10" s="1305">
        <f t="shared" si="2"/>
        <v>0</v>
      </c>
      <c r="X10" s="1306"/>
      <c r="Y10" s="3626" t="s">
        <v>482</v>
      </c>
      <c r="Z10" s="3627"/>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96" t="s">
        <v>484</v>
      </c>
      <c r="Q11" s="818" t="str">
        <f t="shared" ref="Q11:Q17" si="6">B11</f>
        <v>用途</v>
      </c>
      <c r="R11" s="1304" t="s">
        <v>5</v>
      </c>
      <c r="S11" s="1305">
        <f t="shared" si="0"/>
        <v>100</v>
      </c>
      <c r="T11" s="1304" t="s">
        <v>5</v>
      </c>
      <c r="U11" s="1305">
        <f t="shared" si="1"/>
        <v>100</v>
      </c>
      <c r="V11" s="1304" t="s">
        <v>5</v>
      </c>
      <c r="W11" s="1305">
        <f t="shared" si="2"/>
        <v>100</v>
      </c>
      <c r="X11" s="1306"/>
      <c r="Y11" s="3540"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596"/>
      <c r="Q12" s="818" t="str">
        <f t="shared" si="6"/>
        <v>土地使用年限（年）</v>
      </c>
      <c r="R12" s="1304" t="s">
        <v>5</v>
      </c>
      <c r="S12" s="1305">
        <f t="shared" si="0"/>
        <v>100</v>
      </c>
      <c r="T12" s="1304" t="s">
        <v>5</v>
      </c>
      <c r="U12" s="1305">
        <f t="shared" si="1"/>
        <v>100</v>
      </c>
      <c r="V12" s="1304" t="s">
        <v>5</v>
      </c>
      <c r="W12" s="1305">
        <f t="shared" si="2"/>
        <v>100</v>
      </c>
      <c r="X12" s="1306"/>
      <c r="Y12" s="3540"/>
      <c r="Z12" s="997" t="str">
        <f t="shared" si="7"/>
        <v>土地使用年限（年）</v>
      </c>
      <c r="AA12" s="997">
        <f t="shared" si="3"/>
        <v>1</v>
      </c>
      <c r="AB12" s="997">
        <f t="shared" si="4"/>
        <v>1</v>
      </c>
      <c r="AC12" s="997">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96"/>
      <c r="Q13" s="818" t="str">
        <f t="shared" si="6"/>
        <v>容积率</v>
      </c>
      <c r="R13" s="1304" t="s">
        <v>5</v>
      </c>
      <c r="S13" s="1305" t="e">
        <f t="shared" si="0"/>
        <v>#N/A</v>
      </c>
      <c r="T13" s="1304" t="s">
        <v>5</v>
      </c>
      <c r="U13" s="1305" t="e">
        <f t="shared" si="1"/>
        <v>#N/A</v>
      </c>
      <c r="V13" s="1304" t="s">
        <v>5</v>
      </c>
      <c r="W13" s="1305" t="e">
        <f t="shared" si="2"/>
        <v>#N/A</v>
      </c>
      <c r="X13" s="1306"/>
      <c r="Y13" s="3540"/>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96"/>
      <c r="Q14" s="818">
        <f t="shared" si="6"/>
        <v>111</v>
      </c>
      <c r="R14" s="1304" t="s">
        <v>5</v>
      </c>
      <c r="S14" s="1305">
        <f t="shared" si="0"/>
        <v>100</v>
      </c>
      <c r="T14" s="1304" t="s">
        <v>5</v>
      </c>
      <c r="U14" s="1305">
        <f t="shared" si="1"/>
        <v>100</v>
      </c>
      <c r="V14" s="1304" t="s">
        <v>5</v>
      </c>
      <c r="W14" s="1305">
        <f t="shared" si="2"/>
        <v>100</v>
      </c>
      <c r="X14" s="1306"/>
      <c r="Y14" s="3540"/>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96"/>
      <c r="Q15" s="818">
        <f t="shared" si="6"/>
        <v>111</v>
      </c>
      <c r="R15" s="1304" t="s">
        <v>5</v>
      </c>
      <c r="S15" s="1305">
        <f t="shared" si="0"/>
        <v>100</v>
      </c>
      <c r="T15" s="1304" t="s">
        <v>5</v>
      </c>
      <c r="U15" s="1305">
        <f t="shared" si="1"/>
        <v>100</v>
      </c>
      <c r="V15" s="1304" t="s">
        <v>5</v>
      </c>
      <c r="W15" s="1305">
        <f t="shared" si="2"/>
        <v>100</v>
      </c>
      <c r="X15" s="1306"/>
      <c r="Y15" s="3540"/>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96"/>
      <c r="Q16" s="818">
        <f t="shared" si="6"/>
        <v>111</v>
      </c>
      <c r="R16" s="1304" t="s">
        <v>5</v>
      </c>
      <c r="S16" s="1305">
        <f t="shared" si="0"/>
        <v>100</v>
      </c>
      <c r="T16" s="1304" t="s">
        <v>5</v>
      </c>
      <c r="U16" s="1305">
        <f t="shared" si="1"/>
        <v>100</v>
      </c>
      <c r="V16" s="1304" t="s">
        <v>5</v>
      </c>
      <c r="W16" s="1305">
        <f t="shared" si="2"/>
        <v>100</v>
      </c>
      <c r="X16" s="1306"/>
      <c r="Y16" s="3540"/>
      <c r="Z16" s="997">
        <f t="shared" si="7"/>
        <v>111</v>
      </c>
      <c r="AA16" s="997">
        <f t="shared" si="3"/>
        <v>1</v>
      </c>
      <c r="AB16" s="997">
        <f t="shared" si="4"/>
        <v>1</v>
      </c>
      <c r="AC16" s="997">
        <f t="shared" si="5"/>
        <v>1</v>
      </c>
    </row>
    <row r="17" spans="1:29" ht="69">
      <c r="A17" s="2207"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29" t="s">
        <v>489</v>
      </c>
      <c r="Q17" s="1307" t="str">
        <f t="shared" si="6"/>
        <v>产业集聚程度</v>
      </c>
      <c r="R17" s="1308" t="s">
        <v>5</v>
      </c>
      <c r="S17" s="1309">
        <f t="shared" si="0"/>
        <v>100</v>
      </c>
      <c r="T17" s="1308" t="s">
        <v>5</v>
      </c>
      <c r="U17" s="1309">
        <f t="shared" si="1"/>
        <v>100</v>
      </c>
      <c r="V17" s="1308" t="s">
        <v>5</v>
      </c>
      <c r="W17" s="1309">
        <f t="shared" si="2"/>
        <v>100</v>
      </c>
      <c r="X17" s="1303"/>
      <c r="Y17" s="3629"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0"/>
      <c r="Q18" s="1307"/>
      <c r="R18" s="1308"/>
      <c r="S18" s="1309"/>
      <c r="T18" s="1308"/>
      <c r="U18" s="1309"/>
      <c r="V18" s="1308"/>
      <c r="W18" s="1309"/>
      <c r="X18" s="1303"/>
      <c r="Y18" s="3630"/>
      <c r="Z18" s="1310"/>
      <c r="AA18" s="1310">
        <v>1</v>
      </c>
      <c r="AB18" s="1310">
        <v>1</v>
      </c>
      <c r="AC18" s="1310">
        <v>1</v>
      </c>
    </row>
    <row r="19" spans="1:29" ht="96.6">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0"/>
      <c r="Q19" s="1307" t="str">
        <f>B19</f>
        <v>交通便捷度</v>
      </c>
      <c r="R19" s="1308" t="s">
        <v>5</v>
      </c>
      <c r="S19" s="1309">
        <f>F19</f>
        <v>100</v>
      </c>
      <c r="T19" s="1308" t="s">
        <v>5</v>
      </c>
      <c r="U19" s="1309">
        <f>H19</f>
        <v>100</v>
      </c>
      <c r="V19" s="1308" t="s">
        <v>5</v>
      </c>
      <c r="W19" s="1309">
        <f>J19</f>
        <v>100</v>
      </c>
      <c r="X19" s="1303"/>
      <c r="Y19" s="3630"/>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0"/>
      <c r="Q20" s="1307"/>
      <c r="R20" s="1308"/>
      <c r="S20" s="1309"/>
      <c r="T20" s="1308"/>
      <c r="U20" s="1309"/>
      <c r="V20" s="1308"/>
      <c r="W20" s="1309"/>
      <c r="X20" s="1303"/>
      <c r="Y20" s="3630"/>
      <c r="Z20" s="1310"/>
      <c r="AA20" s="1310">
        <v>1</v>
      </c>
      <c r="AB20" s="1310">
        <v>1</v>
      </c>
      <c r="AC20" s="1310">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0"/>
      <c r="Q21" s="1307" t="str">
        <f t="shared" ref="Q21:Q35" si="8">B21</f>
        <v>区域土地利用方向</v>
      </c>
      <c r="R21" s="1308" t="s">
        <v>5</v>
      </c>
      <c r="S21" s="1309">
        <f>F21</f>
        <v>100</v>
      </c>
      <c r="T21" s="1308" t="s">
        <v>5</v>
      </c>
      <c r="U21" s="1309">
        <f>H21</f>
        <v>100</v>
      </c>
      <c r="V21" s="1308" t="s">
        <v>5</v>
      </c>
      <c r="W21" s="1309">
        <f>J21</f>
        <v>100</v>
      </c>
      <c r="X21" s="1303"/>
      <c r="Y21" s="3630"/>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0"/>
      <c r="Q22" s="1307"/>
      <c r="R22" s="1308"/>
      <c r="S22" s="1309"/>
      <c r="T22" s="1308"/>
      <c r="U22" s="1309"/>
      <c r="V22" s="1308"/>
      <c r="W22" s="1309"/>
      <c r="X22" s="1303"/>
      <c r="Y22" s="3630"/>
      <c r="Z22" s="1310"/>
      <c r="AA22" s="1310"/>
      <c r="AB22" s="1310"/>
      <c r="AC22" s="1310"/>
    </row>
    <row r="23" spans="1:29" ht="82.8">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0"/>
      <c r="Q23" s="1307" t="str">
        <f t="shared" si="8"/>
        <v>环境状况</v>
      </c>
      <c r="R23" s="1308" t="s">
        <v>5</v>
      </c>
      <c r="S23" s="1309">
        <f>F23</f>
        <v>100</v>
      </c>
      <c r="T23" s="1308" t="s">
        <v>5</v>
      </c>
      <c r="U23" s="1309">
        <f>H23</f>
        <v>100</v>
      </c>
      <c r="V23" s="1308" t="s">
        <v>5</v>
      </c>
      <c r="W23" s="1309">
        <f>J23</f>
        <v>100</v>
      </c>
      <c r="X23" s="1303"/>
      <c r="Y23" s="3630"/>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0"/>
      <c r="Q24" s="1307"/>
      <c r="R24" s="1308"/>
      <c r="S24" s="1309"/>
      <c r="T24" s="1308"/>
      <c r="U24" s="1309"/>
      <c r="V24" s="1308"/>
      <c r="W24" s="1309"/>
      <c r="X24" s="1303"/>
      <c r="Y24" s="3630"/>
      <c r="Z24" s="1310"/>
      <c r="AA24" s="1310">
        <v>1</v>
      </c>
      <c r="AB24" s="1310">
        <v>1</v>
      </c>
      <c r="AC24" s="1310">
        <v>1</v>
      </c>
    </row>
    <row r="25" spans="1:29" s="1060" customFormat="1" ht="41.4">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0"/>
      <c r="Q25" s="818" t="str">
        <f t="shared" si="8"/>
        <v>公共配套设施</v>
      </c>
      <c r="R25" s="1304" t="s">
        <v>5</v>
      </c>
      <c r="S25" s="1305">
        <f>F25</f>
        <v>100</v>
      </c>
      <c r="T25" s="1304" t="s">
        <v>5</v>
      </c>
      <c r="U25" s="1305">
        <f>H25</f>
        <v>100</v>
      </c>
      <c r="V25" s="1304" t="s">
        <v>5</v>
      </c>
      <c r="W25" s="1305">
        <f>J25</f>
        <v>100</v>
      </c>
      <c r="X25" s="1306"/>
      <c r="Y25" s="3630"/>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0"/>
      <c r="Q26" s="818"/>
      <c r="R26" s="1304"/>
      <c r="S26" s="1305"/>
      <c r="T26" s="1304"/>
      <c r="U26" s="1305"/>
      <c r="V26" s="1304"/>
      <c r="W26" s="1305"/>
      <c r="X26" s="1306"/>
      <c r="Y26" s="3630"/>
      <c r="Z26" s="997"/>
      <c r="AA26" s="997">
        <v>1</v>
      </c>
      <c r="AB26" s="997">
        <v>1</v>
      </c>
      <c r="AC26" s="997">
        <v>1</v>
      </c>
    </row>
    <row r="27" spans="1:29" s="1060" customFormat="1" ht="41.4">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0"/>
      <c r="Q27" s="818" t="str">
        <f>B27</f>
        <v>基础设施水平</v>
      </c>
      <c r="R27" s="1304" t="s">
        <v>5</v>
      </c>
      <c r="S27" s="1305">
        <f>F27</f>
        <v>100</v>
      </c>
      <c r="T27" s="1304" t="s">
        <v>5</v>
      </c>
      <c r="U27" s="1305">
        <f>H27</f>
        <v>100</v>
      </c>
      <c r="V27" s="1304" t="s">
        <v>5</v>
      </c>
      <c r="W27" s="1305">
        <f>J27</f>
        <v>100</v>
      </c>
      <c r="X27" s="1306"/>
      <c r="Y27" s="3630"/>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0"/>
      <c r="Q28" s="818"/>
      <c r="R28" s="1304"/>
      <c r="S28" s="1305"/>
      <c r="T28" s="1304"/>
      <c r="U28" s="1305"/>
      <c r="V28" s="1304"/>
      <c r="W28" s="1305"/>
      <c r="X28" s="1306"/>
      <c r="Y28" s="363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0"/>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0"/>
      <c r="Z29" s="1310" t="str">
        <f t="shared" ref="Z29:Z42" si="12">Q29</f>
        <v>临街状况</v>
      </c>
      <c r="AA29" s="1310">
        <f t="shared" si="3"/>
        <v>1</v>
      </c>
      <c r="AB29" s="1310">
        <f t="shared" si="4"/>
        <v>1</v>
      </c>
      <c r="AC29" s="1310">
        <f t="shared" si="5"/>
        <v>1</v>
      </c>
    </row>
    <row r="30" spans="1:29" ht="28.8">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0"/>
      <c r="Q30" s="1307" t="str">
        <f t="shared" si="8"/>
        <v>毗邻道路的类型与等级</v>
      </c>
      <c r="R30" s="1308" t="s">
        <v>5</v>
      </c>
      <c r="S30" s="1309">
        <f t="shared" si="9"/>
        <v>100</v>
      </c>
      <c r="T30" s="1308" t="s">
        <v>5</v>
      </c>
      <c r="U30" s="1309">
        <f t="shared" si="10"/>
        <v>100</v>
      </c>
      <c r="V30" s="1308" t="s">
        <v>5</v>
      </c>
      <c r="W30" s="1309">
        <f t="shared" si="11"/>
        <v>100</v>
      </c>
      <c r="X30" s="1303"/>
      <c r="Y30" s="3630"/>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0"/>
      <c r="Q31" s="1307"/>
      <c r="R31" s="1308"/>
      <c r="S31" s="1309"/>
      <c r="T31" s="1308"/>
      <c r="U31" s="1309"/>
      <c r="V31" s="1308"/>
      <c r="W31" s="1309"/>
      <c r="X31" s="1303"/>
      <c r="Y31" s="3630"/>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0"/>
      <c r="Q32" s="1307" t="str">
        <f t="shared" si="8"/>
        <v>土地级别</v>
      </c>
      <c r="R32" s="1308" t="s">
        <v>5</v>
      </c>
      <c r="S32" s="1309">
        <f t="shared" si="9"/>
        <v>100</v>
      </c>
      <c r="T32" s="1308" t="s">
        <v>5</v>
      </c>
      <c r="U32" s="1309">
        <f t="shared" si="10"/>
        <v>100</v>
      </c>
      <c r="V32" s="1308" t="s">
        <v>5</v>
      </c>
      <c r="W32" s="1309">
        <f t="shared" si="11"/>
        <v>100</v>
      </c>
      <c r="X32" s="1303"/>
      <c r="Y32" s="3630"/>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0"/>
      <c r="Q33" s="1307">
        <f t="shared" si="8"/>
        <v>111</v>
      </c>
      <c r="R33" s="1308" t="s">
        <v>5</v>
      </c>
      <c r="S33" s="1309">
        <f t="shared" si="9"/>
        <v>100</v>
      </c>
      <c r="T33" s="1308" t="s">
        <v>5</v>
      </c>
      <c r="U33" s="1309">
        <f t="shared" si="10"/>
        <v>100</v>
      </c>
      <c r="V33" s="1308" t="s">
        <v>5</v>
      </c>
      <c r="W33" s="1309">
        <f t="shared" si="11"/>
        <v>100</v>
      </c>
      <c r="X33" s="1303"/>
      <c r="Y33" s="3630"/>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1" t="s">
        <v>499</v>
      </c>
      <c r="Q34" s="1307">
        <f t="shared" si="8"/>
        <v>111</v>
      </c>
      <c r="R34" s="1308" t="s">
        <v>5</v>
      </c>
      <c r="S34" s="1309">
        <f t="shared" si="9"/>
        <v>100</v>
      </c>
      <c r="T34" s="1308" t="s">
        <v>5</v>
      </c>
      <c r="U34" s="1309">
        <f t="shared" si="10"/>
        <v>100</v>
      </c>
      <c r="V34" s="1308" t="s">
        <v>5</v>
      </c>
      <c r="W34" s="1309">
        <f t="shared" si="11"/>
        <v>100</v>
      </c>
      <c r="X34" s="1303"/>
      <c r="Y34" s="3632" t="s">
        <v>499</v>
      </c>
      <c r="Z34" s="1310">
        <f t="shared" si="12"/>
        <v>111</v>
      </c>
      <c r="AA34" s="1310">
        <f t="shared" si="3"/>
        <v>1</v>
      </c>
      <c r="AB34" s="1310">
        <f t="shared" si="4"/>
        <v>1</v>
      </c>
      <c r="AC34" s="1310">
        <f t="shared" si="5"/>
        <v>1</v>
      </c>
    </row>
    <row r="35" spans="1:29" s="1134" customFormat="1" ht="15.6"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2"/>
      <c r="Q35" s="1307">
        <f t="shared" si="8"/>
        <v>111</v>
      </c>
      <c r="R35" s="1311" t="s">
        <v>5</v>
      </c>
      <c r="S35" s="1312">
        <f t="shared" si="9"/>
        <v>100</v>
      </c>
      <c r="T35" s="1311" t="s">
        <v>5</v>
      </c>
      <c r="U35" s="1312">
        <f t="shared" si="10"/>
        <v>100</v>
      </c>
      <c r="V35" s="1311" t="s">
        <v>5</v>
      </c>
      <c r="W35" s="1312">
        <f t="shared" si="11"/>
        <v>100</v>
      </c>
      <c r="X35" s="1313"/>
      <c r="Y35" s="3632"/>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2"/>
      <c r="Q36" s="1307" t="str">
        <f>B36</f>
        <v>宗地面积</v>
      </c>
      <c r="R36" s="1308" t="s">
        <v>5</v>
      </c>
      <c r="S36" s="1309" t="e">
        <f t="shared" si="9"/>
        <v>#N/A</v>
      </c>
      <c r="T36" s="1308" t="s">
        <v>5</v>
      </c>
      <c r="U36" s="1309" t="e">
        <f t="shared" si="10"/>
        <v>#N/A</v>
      </c>
      <c r="V36" s="1308" t="s">
        <v>5</v>
      </c>
      <c r="W36" s="1309" t="e">
        <f t="shared" si="11"/>
        <v>#N/A</v>
      </c>
      <c r="X36" s="1303"/>
      <c r="Y36" s="3632"/>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2"/>
      <c r="Q37" s="1307" t="str">
        <f t="shared" ref="Q37:Q42" si="13">B37</f>
        <v>宗地形状</v>
      </c>
      <c r="R37" s="1308" t="s">
        <v>5</v>
      </c>
      <c r="S37" s="1309">
        <f t="shared" si="9"/>
        <v>100</v>
      </c>
      <c r="T37" s="1308" t="s">
        <v>5</v>
      </c>
      <c r="U37" s="1309">
        <f t="shared" si="10"/>
        <v>100</v>
      </c>
      <c r="V37" s="1308" t="s">
        <v>5</v>
      </c>
      <c r="W37" s="1309">
        <f t="shared" si="11"/>
        <v>100</v>
      </c>
      <c r="X37" s="1303"/>
      <c r="Y37" s="3632"/>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2"/>
      <c r="Q38" s="1307" t="str">
        <f t="shared" si="13"/>
        <v>宗地开发程度</v>
      </c>
      <c r="R38" s="1304" t="s">
        <v>5</v>
      </c>
      <c r="S38" s="1305">
        <f t="shared" si="9"/>
        <v>100</v>
      </c>
      <c r="T38" s="1304" t="s">
        <v>5</v>
      </c>
      <c r="U38" s="1305">
        <f t="shared" si="10"/>
        <v>100</v>
      </c>
      <c r="V38" s="1304" t="s">
        <v>5</v>
      </c>
      <c r="W38" s="1305">
        <f t="shared" si="11"/>
        <v>100</v>
      </c>
      <c r="X38" s="1306"/>
      <c r="Y38" s="3632"/>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2" t="s">
        <v>549</v>
      </c>
      <c r="Q39" s="1307" t="str">
        <f t="shared" si="13"/>
        <v>工程地质条件</v>
      </c>
      <c r="R39" s="1308" t="s">
        <v>5</v>
      </c>
      <c r="S39" s="1309">
        <f t="shared" si="9"/>
        <v>100</v>
      </c>
      <c r="T39" s="1308" t="s">
        <v>5</v>
      </c>
      <c r="U39" s="1309">
        <f t="shared" si="10"/>
        <v>100</v>
      </c>
      <c r="V39" s="1308" t="s">
        <v>5</v>
      </c>
      <c r="W39" s="1309">
        <f t="shared" si="11"/>
        <v>100</v>
      </c>
      <c r="X39" s="1303"/>
      <c r="Y39" s="3632"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2"/>
      <c r="Q40" s="1307">
        <f t="shared" si="13"/>
        <v>111</v>
      </c>
      <c r="R40" s="1308" t="s">
        <v>5</v>
      </c>
      <c r="S40" s="1309">
        <f t="shared" si="9"/>
        <v>100</v>
      </c>
      <c r="T40" s="1308" t="s">
        <v>5</v>
      </c>
      <c r="U40" s="1309">
        <f t="shared" si="10"/>
        <v>100</v>
      </c>
      <c r="V40" s="1308" t="s">
        <v>5</v>
      </c>
      <c r="W40" s="1309">
        <f t="shared" si="11"/>
        <v>100</v>
      </c>
      <c r="X40" s="1303"/>
      <c r="Y40" s="3632"/>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2"/>
      <c r="Q41" s="1307">
        <f t="shared" si="13"/>
        <v>111</v>
      </c>
      <c r="R41" s="1308" t="s">
        <v>5</v>
      </c>
      <c r="S41" s="1309">
        <f t="shared" si="9"/>
        <v>100</v>
      </c>
      <c r="T41" s="1308" t="s">
        <v>5</v>
      </c>
      <c r="U41" s="1309">
        <f t="shared" si="10"/>
        <v>100</v>
      </c>
      <c r="V41" s="1308" t="s">
        <v>5</v>
      </c>
      <c r="W41" s="1309">
        <f t="shared" si="11"/>
        <v>100</v>
      </c>
      <c r="X41" s="1303"/>
      <c r="Y41" s="3632"/>
      <c r="Z41" s="1310">
        <f t="shared" si="12"/>
        <v>111</v>
      </c>
      <c r="AA41" s="1310">
        <f t="shared" si="3"/>
        <v>1</v>
      </c>
      <c r="AB41" s="1310">
        <f t="shared" si="4"/>
        <v>1</v>
      </c>
      <c r="AC41" s="1310">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2"/>
      <c r="Q42" s="1307">
        <f t="shared" si="13"/>
        <v>111</v>
      </c>
      <c r="R42" s="1311" t="s">
        <v>5</v>
      </c>
      <c r="S42" s="1312">
        <f t="shared" si="9"/>
        <v>100</v>
      </c>
      <c r="T42" s="1311" t="s">
        <v>5</v>
      </c>
      <c r="U42" s="1312">
        <f t="shared" si="10"/>
        <v>100</v>
      </c>
      <c r="V42" s="1311" t="s">
        <v>5</v>
      </c>
      <c r="W42" s="1312">
        <f t="shared" si="11"/>
        <v>100</v>
      </c>
      <c r="X42" s="1313"/>
      <c r="Y42" s="3632"/>
      <c r="Z42" s="1314">
        <f t="shared" si="12"/>
        <v>111</v>
      </c>
      <c r="AA42" s="1310">
        <f t="shared" si="3"/>
        <v>1</v>
      </c>
      <c r="AB42" s="1310">
        <f t="shared" si="4"/>
        <v>1</v>
      </c>
      <c r="AC42" s="1310">
        <f t="shared" si="5"/>
        <v>1</v>
      </c>
    </row>
    <row r="43" spans="1:29" ht="14.4">
      <c r="A43" s="556" t="s">
        <v>505</v>
      </c>
      <c r="B43" s="557" t="s">
        <v>2197</v>
      </c>
      <c r="C43" s="558" t="s">
        <v>0</v>
      </c>
      <c r="D43" s="559"/>
      <c r="E43" s="560"/>
      <c r="F43" s="561"/>
      <c r="G43" s="562"/>
      <c r="H43" s="563"/>
      <c r="I43" s="560"/>
      <c r="J43" s="563"/>
      <c r="K43" s="1135"/>
      <c r="L43" s="1752"/>
      <c r="M43" s="1743"/>
      <c r="N43" s="1743"/>
      <c r="O43" s="1743"/>
      <c r="P43" s="3596" t="str">
        <f>A43</f>
        <v>成交单价</v>
      </c>
      <c r="Q43" s="3596"/>
      <c r="R43" s="3597">
        <f>E43</f>
        <v>0</v>
      </c>
      <c r="S43" s="3597"/>
      <c r="T43" s="3597">
        <f>G43</f>
        <v>0</v>
      </c>
      <c r="U43" s="3597"/>
      <c r="V43" s="3597">
        <f>I43</f>
        <v>0</v>
      </c>
      <c r="W43" s="3597"/>
      <c r="X43" s="799"/>
      <c r="Y43" s="1315"/>
      <c r="Z43" s="799"/>
      <c r="AA43" s="799"/>
      <c r="AB43" s="799"/>
      <c r="AC43" s="799"/>
    </row>
    <row r="44" spans="1:29" ht="15" thickBot="1">
      <c r="A44" s="564" t="s">
        <v>1975</v>
      </c>
      <c r="B44" s="565"/>
      <c r="C44" s="566" t="e">
        <f>R45</f>
        <v>#DIV/0!</v>
      </c>
      <c r="D44" s="2550" t="s">
        <v>2261</v>
      </c>
      <c r="E44" s="566" t="e">
        <f>R44</f>
        <v>#DIV/0!</v>
      </c>
      <c r="F44" s="2551"/>
      <c r="G44" s="567" t="e">
        <f>T44</f>
        <v>#DIV/0!</v>
      </c>
      <c r="H44" s="2551"/>
      <c r="I44" s="566" t="e">
        <f>V44</f>
        <v>#DIV/0!</v>
      </c>
      <c r="J44" s="2551"/>
      <c r="K44" s="2552">
        <f>F44+H44+J44</f>
        <v>0</v>
      </c>
      <c r="L44" s="1752"/>
      <c r="M44" s="1743"/>
      <c r="N44" s="1743"/>
      <c r="O44" s="1743"/>
      <c r="P44" s="3596" t="str">
        <f>A44</f>
        <v>比较价格（元/平方米）</v>
      </c>
      <c r="Q44" s="3596"/>
      <c r="R44" s="3598" t="e">
        <f>ROUND(PRODUCT(R43,AA9:AA42),0)</f>
        <v>#DIV/0!</v>
      </c>
      <c r="S44" s="3598"/>
      <c r="T44" s="3598" t="e">
        <f>ROUND(PRODUCT(T43,AB9:AB42),0)</f>
        <v>#DIV/0!</v>
      </c>
      <c r="U44" s="3598"/>
      <c r="V44" s="3598" t="e">
        <f>ROUND(PRODUCT(V43,AC9:AC42),0)</f>
        <v>#DIV/0!</v>
      </c>
      <c r="W44" s="3598"/>
      <c r="X44" s="799"/>
      <c r="Y44" s="799"/>
      <c r="Z44" s="799"/>
      <c r="AA44" s="799"/>
      <c r="AB44" s="799"/>
      <c r="AC44" s="799"/>
    </row>
    <row r="45" spans="1:29" ht="15" thickBot="1">
      <c r="A45" s="568" t="s">
        <v>2198</v>
      </c>
      <c r="B45" s="569"/>
      <c r="C45" s="570" t="e">
        <f>R45</f>
        <v>#DIV/0!</v>
      </c>
      <c r="D45" s="570"/>
      <c r="E45" s="570"/>
      <c r="F45" s="570"/>
      <c r="G45" s="570"/>
      <c r="H45" s="570"/>
      <c r="I45" s="570"/>
      <c r="J45" s="570"/>
      <c r="K45" s="1136"/>
      <c r="L45" s="1752"/>
      <c r="M45" s="1743"/>
      <c r="N45" s="1743"/>
      <c r="O45" s="1743"/>
      <c r="P45" s="3633" t="str">
        <f>A45</f>
        <v>估价对象XX用房的比较价格（楼面单价，元/平方米）</v>
      </c>
      <c r="Q45" s="3634"/>
      <c r="R45" s="3645" t="e">
        <f>ROUND(IF(D44="简单平均",AVERAGE(R44:W44),R44*F44+T44*H44+V44*J44),0)</f>
        <v>#DIV/0!</v>
      </c>
      <c r="S45" s="3645"/>
      <c r="T45" s="3645"/>
      <c r="U45" s="3645"/>
      <c r="V45" s="3645"/>
      <c r="W45" s="3645"/>
      <c r="X45" s="799"/>
      <c r="Y45" s="799"/>
      <c r="Z45" s="799"/>
      <c r="AA45" s="799"/>
      <c r="AB45" s="799"/>
      <c r="AC45" s="799"/>
    </row>
    <row r="46" spans="1:29">
      <c r="A46" s="2721"/>
      <c r="B46" s="2721"/>
      <c r="C46" s="2721"/>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4.4"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8.8">
      <c r="A52" s="576" t="s">
        <v>509</v>
      </c>
      <c r="B52" s="577" t="s">
        <v>510</v>
      </c>
      <c r="C52" s="1301" t="s">
        <v>1253</v>
      </c>
      <c r="D52" s="1822" t="s">
        <v>1650</v>
      </c>
      <c r="E52" s="578" t="s">
        <v>511</v>
      </c>
      <c r="F52" s="1611" t="s">
        <v>512</v>
      </c>
      <c r="G52" s="3641" t="s">
        <v>1642</v>
      </c>
      <c r="H52" s="3642"/>
      <c r="I52" s="1612" t="s">
        <v>1465</v>
      </c>
      <c r="J52" s="1298" t="str">
        <f>项目基本情况!F41</f>
        <v>江苏省淮安市淮安区</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3.2">
      <c r="A53" s="580" t="s">
        <v>513</v>
      </c>
      <c r="B53" s="581" t="e">
        <f>C45</f>
        <v>#DIV/0!</v>
      </c>
      <c r="C53" s="582">
        <v>1</v>
      </c>
      <c r="D53" s="1823">
        <v>1</v>
      </c>
      <c r="E53" s="582">
        <f>'数据-汇总表'!E8+'数据-汇总表'!E9</f>
        <v>92580.400000000009</v>
      </c>
      <c r="F53" s="1610" t="e">
        <f t="shared" ref="F53:F61" si="14">ROUND(B53*E53/10000,0)</f>
        <v>#DIV/0!</v>
      </c>
      <c r="G53" s="3643"/>
      <c r="H53" s="3644"/>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3.2">
      <c r="A54" s="584" t="s">
        <v>514</v>
      </c>
      <c r="B54" s="585" t="e">
        <f>ROUND($C$45*C54*D54,0)</f>
        <v>#DIV/0!</v>
      </c>
      <c r="C54" s="348">
        <f t="shared" ref="C54:C61" si="15">IF($C$52="北京市系数",I54,J54)</f>
        <v>0</v>
      </c>
      <c r="D54" s="1824">
        <v>0.25</v>
      </c>
      <c r="E54" s="586"/>
      <c r="F54" s="1610" t="e">
        <f t="shared" si="14"/>
        <v>#DIV/0!</v>
      </c>
      <c r="G54" s="3030" t="s">
        <v>1643</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3.2">
      <c r="A55" s="584" t="s">
        <v>515</v>
      </c>
      <c r="B55" s="585" t="e">
        <f t="shared" ref="B55:B61" si="16">ROUND($C$45*C55*D55,0)</f>
        <v>#DIV/0!</v>
      </c>
      <c r="C55" s="348">
        <f t="shared" si="15"/>
        <v>0</v>
      </c>
      <c r="D55" s="1824">
        <v>0.25</v>
      </c>
      <c r="E55" s="586"/>
      <c r="F55" s="1610" t="e">
        <f t="shared" si="14"/>
        <v>#DIV/0!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3.2">
      <c r="A56" s="584" t="s">
        <v>516</v>
      </c>
      <c r="B56" s="585" t="e">
        <f t="shared" si="16"/>
        <v>#DIV/0!</v>
      </c>
      <c r="C56" s="348">
        <f t="shared" si="15"/>
        <v>0</v>
      </c>
      <c r="D56" s="1824">
        <v>0.25</v>
      </c>
      <c r="E56" s="586"/>
      <c r="F56" s="1610" t="e">
        <f t="shared" si="14"/>
        <v>#DIV/0!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3.2">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3.2">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thickBot="1">
      <c r="A62" s="589" t="s">
        <v>521</v>
      </c>
      <c r="B62" s="590" t="s">
        <v>11</v>
      </c>
      <c r="C62" s="590" t="s">
        <v>12</v>
      </c>
      <c r="D62" s="590" t="s">
        <v>1651</v>
      </c>
      <c r="E62" s="590">
        <f>IF(B43="楼面地价",SUM(E53:E61),'数据-汇总表'!D3)</f>
        <v>42082</v>
      </c>
      <c r="F62" s="591" t="e">
        <f>IF(B43="楼面地价",SUM(F53:F61),ROUND(C45*E62/10000,0))</f>
        <v>#DIV/0!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2025-3-1</v>
      </c>
      <c r="D64" s="2112">
        <f>EDATE(C64,-3)</f>
        <v>45627</v>
      </c>
      <c r="E64" s="2112">
        <f t="shared" ref="E64:N64" si="17">EDATE(D64,-3)</f>
        <v>45536</v>
      </c>
      <c r="F64" s="2112">
        <f t="shared" si="17"/>
        <v>45444</v>
      </c>
      <c r="G64" s="2112">
        <f t="shared" si="17"/>
        <v>45352</v>
      </c>
      <c r="H64" s="2112">
        <f t="shared" si="17"/>
        <v>45261</v>
      </c>
      <c r="I64" s="2112">
        <f t="shared" si="17"/>
        <v>45170</v>
      </c>
      <c r="J64" s="2112">
        <f t="shared" si="17"/>
        <v>45078</v>
      </c>
      <c r="K64" s="2112">
        <f t="shared" si="17"/>
        <v>44986</v>
      </c>
      <c r="L64" s="2112">
        <f t="shared" si="17"/>
        <v>44896</v>
      </c>
      <c r="M64" s="2112">
        <f t="shared" si="17"/>
        <v>44805</v>
      </c>
      <c r="N64" s="2112">
        <f t="shared" si="17"/>
        <v>44713</v>
      </c>
      <c r="O64" s="1743"/>
      <c r="P64" s="1743"/>
      <c r="Q64" s="1743"/>
      <c r="R64" s="1743"/>
      <c r="S64" s="1743"/>
      <c r="T64" s="1743"/>
      <c r="U64" s="1743"/>
      <c r="V64" s="1743"/>
      <c r="W64" s="1743"/>
      <c r="X64" s="1743"/>
      <c r="Y64" s="1743"/>
      <c r="Z64" s="1743"/>
      <c r="AA64" s="1743"/>
      <c r="AB64" s="1743"/>
      <c r="AC64" s="1743"/>
    </row>
    <row r="65" spans="1:29" ht="22.2"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4.4">
      <c r="A66" s="2043"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4.4">
      <c r="A69" s="603" t="s">
        <v>480</v>
      </c>
      <c r="B69" s="594"/>
      <c r="C69" s="604" t="s">
        <v>524</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4.4"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ht="14.4">
      <c r="A71" s="607" t="s">
        <v>525</v>
      </c>
      <c r="B71" s="608" t="s">
        <v>483</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4.4"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9.4" thickTop="1">
      <c r="A73" s="482"/>
      <c r="B73" s="615" t="s">
        <v>486</v>
      </c>
      <c r="C73" s="616"/>
      <c r="D73" s="616"/>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4.4" thickBot="1">
      <c r="A74" s="482"/>
      <c r="B74" s="620"/>
      <c r="C74" s="621"/>
      <c r="D74" s="621"/>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c r="A76" s="482"/>
      <c r="B76" s="625"/>
      <c r="C76" s="491"/>
      <c r="D76" s="491"/>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9"/>
      <c r="P77" s="1767"/>
      <c r="Q77" s="1764"/>
      <c r="R77" s="1743"/>
      <c r="S77" s="1743"/>
      <c r="T77" s="1743"/>
      <c r="U77" s="1743"/>
      <c r="V77" s="1743"/>
      <c r="W77" s="1743"/>
      <c r="X77" s="1743"/>
      <c r="Y77" s="1743"/>
      <c r="Z77" s="1743"/>
      <c r="AA77" s="1743"/>
      <c r="AB77" s="1743"/>
      <c r="AC77" s="1743"/>
    </row>
    <row r="78" spans="1:29" s="1134" customFormat="1" ht="14.4" thickTop="1">
      <c r="A78" s="629"/>
      <c r="B78" s="615">
        <f>B14</f>
        <v>111</v>
      </c>
      <c r="C78" s="630"/>
      <c r="D78" s="630"/>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4.4" thickBot="1">
      <c r="A79" s="629"/>
      <c r="B79" s="620"/>
      <c r="C79" s="634"/>
      <c r="D79" s="613"/>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4.4"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4.4"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4.4"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4.4"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ht="14.4">
      <c r="A84" s="607" t="s">
        <v>488</v>
      </c>
      <c r="B84" s="608" t="s">
        <v>550</v>
      </c>
      <c r="C84" s="143" t="s">
        <v>527</v>
      </c>
      <c r="D84" s="143" t="s">
        <v>528</v>
      </c>
      <c r="E84" s="143" t="s">
        <v>529</v>
      </c>
      <c r="F84" s="143" t="s">
        <v>530</v>
      </c>
      <c r="G84" s="143" t="s">
        <v>531</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 thickTop="1">
      <c r="A86" s="482"/>
      <c r="B86" s="615" t="s">
        <v>534</v>
      </c>
      <c r="C86" s="649" t="s">
        <v>527</v>
      </c>
      <c r="D86" s="649" t="s">
        <v>528</v>
      </c>
      <c r="E86" s="649" t="s">
        <v>529</v>
      </c>
      <c r="F86" s="649" t="s">
        <v>530</v>
      </c>
      <c r="G86" s="649" t="s">
        <v>531</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 thickTop="1">
      <c r="A92" s="629"/>
      <c r="B92" s="1556" t="s">
        <v>1831</v>
      </c>
      <c r="C92" s="143" t="s">
        <v>527</v>
      </c>
      <c r="D92" s="143" t="s">
        <v>528</v>
      </c>
      <c r="E92" s="143" t="s">
        <v>529</v>
      </c>
      <c r="F92" s="143" t="s">
        <v>530</v>
      </c>
      <c r="G92" s="143" t="s">
        <v>531</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 thickTop="1">
      <c r="A94" s="629"/>
      <c r="B94" s="2057" t="s">
        <v>1833</v>
      </c>
      <c r="C94" s="2058" t="s">
        <v>1834</v>
      </c>
      <c r="D94" s="2058" t="s">
        <v>1835</v>
      </c>
      <c r="E94" s="2058" t="s">
        <v>1836</v>
      </c>
      <c r="F94" s="2058" t="s">
        <v>1837</v>
      </c>
      <c r="G94" s="2058" t="s">
        <v>1838</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15" thickTop="1">
      <c r="A96" s="482"/>
      <c r="B96" s="615" t="str">
        <f>B29</f>
        <v>临街状况</v>
      </c>
      <c r="C96" s="616" t="s">
        <v>537</v>
      </c>
      <c r="D96" s="616" t="s">
        <v>538</v>
      </c>
      <c r="E96" s="616" t="s">
        <v>539</v>
      </c>
      <c r="F96" s="616" t="s">
        <v>540</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9"/>
      <c r="P97" s="1767"/>
      <c r="Q97" s="1764"/>
      <c r="R97" s="1743"/>
      <c r="S97" s="1743"/>
      <c r="T97" s="1743"/>
      <c r="U97" s="1743"/>
      <c r="V97" s="1743"/>
      <c r="W97" s="1743"/>
      <c r="X97" s="1743"/>
      <c r="Y97" s="1743"/>
      <c r="Z97" s="1743"/>
      <c r="AA97" s="1743"/>
      <c r="AB97" s="1743"/>
      <c r="AC97" s="1743"/>
    </row>
    <row r="98" spans="1:29" ht="29.4" thickTop="1">
      <c r="A98" s="482"/>
      <c r="B98" s="615" t="s">
        <v>497</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9"/>
      <c r="P99" s="1767"/>
      <c r="Q99" s="1764"/>
      <c r="R99" s="1743"/>
      <c r="S99" s="1743"/>
      <c r="T99" s="1743"/>
      <c r="U99" s="1743"/>
      <c r="V99" s="1743"/>
      <c r="W99" s="1743"/>
      <c r="X99" s="1743"/>
      <c r="Y99" s="1743"/>
      <c r="Z99" s="1743"/>
      <c r="AA99" s="1743"/>
      <c r="AB99" s="1743"/>
      <c r="AC99" s="1743"/>
    </row>
    <row r="100" spans="1:29" ht="15" thickTop="1">
      <c r="A100" s="482"/>
      <c r="B100" s="615" t="s">
        <v>498</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9"/>
      <c r="P101" s="1767"/>
      <c r="Q101" s="1764"/>
      <c r="R101" s="1743"/>
      <c r="S101" s="1743"/>
      <c r="T101" s="1743"/>
      <c r="U101" s="1743"/>
      <c r="V101" s="1743"/>
      <c r="W101" s="1743"/>
      <c r="X101" s="1743"/>
      <c r="Y101" s="1743"/>
      <c r="Z101" s="1743"/>
      <c r="AA101" s="1743"/>
      <c r="AB101" s="1743"/>
      <c r="AC101" s="1743"/>
    </row>
    <row r="102" spans="1:29" ht="14.4"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4.4"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4.4"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4.4"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4.4"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c r="A109" s="482"/>
      <c r="B109" s="623"/>
      <c r="C109" s="79"/>
      <c r="D109" s="79"/>
      <c r="E109" s="79"/>
      <c r="F109" s="79"/>
      <c r="G109" s="79"/>
      <c r="H109" s="79"/>
      <c r="I109" s="79"/>
      <c r="J109" s="669"/>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42"/>
      <c r="D110" s="666"/>
      <c r="E110" s="666"/>
      <c r="F110" s="666"/>
      <c r="G110" s="666"/>
      <c r="H110" s="666"/>
      <c r="I110" s="666"/>
      <c r="J110" s="666"/>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9"/>
      <c r="P116" s="1767"/>
      <c r="Q116" s="1764"/>
      <c r="R116" s="1743"/>
      <c r="S116" s="1743"/>
      <c r="T116" s="1743"/>
      <c r="U116" s="1743"/>
      <c r="V116" s="1743"/>
      <c r="W116" s="1743"/>
      <c r="X116" s="1743"/>
      <c r="Y116" s="1743"/>
      <c r="Z116" s="1743"/>
      <c r="AA116" s="1743"/>
      <c r="AB116" s="1743"/>
      <c r="AC116" s="1743"/>
    </row>
    <row r="117" spans="1:29" ht="14.4" thickTop="1">
      <c r="A117" s="543"/>
      <c r="B117" s="615">
        <f>B40</f>
        <v>111</v>
      </c>
      <c r="C117" s="630"/>
      <c r="D117" s="630"/>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4.4" thickBot="1">
      <c r="A118" s="482"/>
      <c r="B118" s="620"/>
      <c r="C118" s="634"/>
      <c r="D118" s="613"/>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4.4"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4.4"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4.4"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4.4"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5" customWidth="1"/>
    <col min="2" max="2" width="10.77734375" style="1375" customWidth="1"/>
    <col min="3" max="4" width="11.6640625" style="1375" customWidth="1"/>
    <col min="5" max="5" width="6.6640625" style="1375" customWidth="1"/>
    <col min="6" max="16384" width="9" style="1375"/>
  </cols>
  <sheetData>
    <row r="36" spans="1:9">
      <c r="A36" s="1374" t="s">
        <v>1425</v>
      </c>
      <c r="B36" s="1374" t="s">
        <v>1426</v>
      </c>
    </row>
    <row r="37" spans="1:9" ht="28.5" customHeight="1">
      <c r="A37" s="1374"/>
      <c r="B37" s="3421" t="str">
        <f>项目基本情况!B1</f>
        <v>江苏省淮安市淮安区淮安生态文旅区站前路西侧、淮启路南侧出让国有建设用地使用权抵押价格预评估</v>
      </c>
      <c r="C37" s="3421"/>
      <c r="D37" s="3421"/>
      <c r="E37" s="3421"/>
      <c r="F37" s="3421"/>
      <c r="G37" s="3421"/>
      <c r="H37" s="3421"/>
      <c r="I37" s="3421"/>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7734375" style="1189" customWidth="1"/>
    <col min="2" max="2" width="24.6640625" style="1275" customWidth="1"/>
    <col min="3" max="4" width="12" style="1190"/>
    <col min="5" max="5" width="14.6640625" style="1190" customWidth="1"/>
    <col min="6" max="8" width="12" style="1190"/>
    <col min="9" max="9" width="12.21875" style="1190" bestFit="1" customWidth="1"/>
    <col min="10" max="10" width="12" style="1190"/>
    <col min="11" max="11" width="9.6640625" style="1187" customWidth="1"/>
    <col min="12" max="12" width="15.77734375" style="1190" customWidth="1"/>
    <col min="13" max="14" width="10.6640625" style="1190" customWidth="1"/>
    <col min="15" max="17" width="12" style="1190"/>
    <col min="18" max="18" width="12" style="1189"/>
    <col min="19" max="22" width="15.44140625" style="1189" customWidth="1"/>
    <col min="23" max="28" width="12" style="1190"/>
    <col min="29" max="29" width="9.33203125" style="1189" customWidth="1"/>
    <col min="30" max="35" width="9.33203125" style="1188" customWidth="1"/>
    <col min="36" max="39" width="9.33203125" style="1189" customWidth="1"/>
    <col min="40" max="41" width="9.33203125" style="1190" customWidth="1"/>
    <col min="42" max="16384" width="12" style="1190"/>
  </cols>
  <sheetData>
    <row r="1" spans="1:39" ht="20.399999999999999">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2" t="s">
        <v>2043</v>
      </c>
      <c r="S1" s="2232" t="s">
        <v>2044</v>
      </c>
      <c r="T1" s="2232" t="s">
        <v>2061</v>
      </c>
      <c r="U1" s="2232" t="s">
        <v>2062</v>
      </c>
      <c r="V1" s="2232" t="s">
        <v>2063</v>
      </c>
      <c r="W1" s="1790"/>
      <c r="X1" s="1790"/>
      <c r="Y1" s="1790"/>
      <c r="Z1" s="1790"/>
      <c r="AA1" s="1790"/>
      <c r="AB1" s="1790"/>
      <c r="AC1" s="1791"/>
    </row>
    <row r="2" spans="1:39" ht="15.6">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3">
        <v>1</v>
      </c>
      <c r="S2" s="2233">
        <f>ROUND(SUMPRODUCT((B107:B111=R2)*(C106:N106=G2)*(C107:N111)),4)</f>
        <v>0</v>
      </c>
      <c r="T2" s="2233" t="e">
        <f>ROUND($C$5*$C$22*$C$23*$C$24*S2*$C$28,0)</f>
        <v>#DIV/0!</v>
      </c>
      <c r="U2" s="2223"/>
      <c r="V2" s="2233" t="e">
        <f>ROUND(T2*U2/10000,0)</f>
        <v>#DIV/0!</v>
      </c>
      <c r="W2" s="1790"/>
      <c r="X2" s="1790"/>
      <c r="Y2" s="1790"/>
      <c r="Z2" s="1790"/>
      <c r="AA2" s="1790"/>
      <c r="AB2" s="1790"/>
      <c r="AC2" s="1791"/>
    </row>
    <row r="3" spans="1:39" ht="15.6">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3">
        <v>2</v>
      </c>
      <c r="S3" s="2233">
        <f>ROUND(SUMPRODUCT((B107:B111=R3)*(C106:N106=G2)*(C107:N111)),4)</f>
        <v>0</v>
      </c>
      <c r="T3" s="2233" t="e">
        <f t="shared" ref="T3:T16" si="0">ROUND($C$5*$C$22*$C$23*$C$24*S3*$C$28,0)</f>
        <v>#DIV/0!</v>
      </c>
      <c r="U3" s="2223"/>
      <c r="V3" s="2233" t="e">
        <f t="shared" ref="V3:V16" si="1">ROUND(T3*U3/10000,0)</f>
        <v>#DIV/0!</v>
      </c>
      <c r="W3" s="1790"/>
      <c r="X3" s="1790"/>
      <c r="Y3" s="1790"/>
      <c r="Z3" s="1790"/>
      <c r="AA3" s="1790"/>
      <c r="AB3" s="1790"/>
      <c r="AC3" s="1791"/>
    </row>
    <row r="4" spans="1:39" ht="31.2">
      <c r="A4" s="1551" t="s">
        <v>1638</v>
      </c>
      <c r="B4" s="1971" t="e">
        <f>ROUND(B2*10000/F1,0)</f>
        <v>#DIV/0!</v>
      </c>
      <c r="C4" s="1554" t="s">
        <v>1613</v>
      </c>
      <c r="D4" s="1554" t="e">
        <f>ROUND(B2/(F1/666.67),0)</f>
        <v>#DIV/0!</v>
      </c>
      <c r="E4" s="1554" t="s">
        <v>1614</v>
      </c>
      <c r="F4" s="1552"/>
      <c r="G4" s="1552"/>
      <c r="H4" s="1552"/>
      <c r="I4" s="1552"/>
      <c r="J4" s="1553"/>
      <c r="K4" s="2739"/>
      <c r="L4" s="1545" t="s">
        <v>1600</v>
      </c>
      <c r="M4" s="1546">
        <f>SUMPRODUCT((区片价!B55:B86=I2)*(区片价!C3:G3=E2)*(区片价!C55:G86))</f>
        <v>0</v>
      </c>
      <c r="N4" s="1547">
        <f>SUMPRODUCT((因素修正幅度!B55:B86=I2)*(因素修正幅度!C3:G3=E2)*(因素修正幅度!C55:G86))</f>
        <v>0</v>
      </c>
      <c r="O4" s="2739"/>
      <c r="P4" s="1790"/>
      <c r="Q4" s="1790"/>
      <c r="R4" s="2233">
        <v>3</v>
      </c>
      <c r="S4" s="2233">
        <f>ROUND(SUMPRODUCT((B107:B111=R4)*(C106:N106=G2)*(C107:N111)),4)</f>
        <v>0</v>
      </c>
      <c r="T4" s="2233" t="e">
        <f t="shared" si="0"/>
        <v>#DIV/0!</v>
      </c>
      <c r="U4" s="2223"/>
      <c r="V4" s="2233" t="e">
        <f t="shared" si="1"/>
        <v>#DIV/0!</v>
      </c>
      <c r="W4" s="1790"/>
      <c r="X4" s="1790"/>
      <c r="Y4" s="1790"/>
      <c r="Z4" s="1790"/>
      <c r="AA4" s="1790"/>
      <c r="AB4" s="1790"/>
      <c r="AC4" s="1791"/>
    </row>
    <row r="5" spans="1:39" s="1204" customFormat="1" ht="15.6" thickBot="1">
      <c r="A5" s="1360" t="s">
        <v>1352</v>
      </c>
      <c r="B5" s="1198" t="s">
        <v>859</v>
      </c>
      <c r="C5" s="944" t="e">
        <f>ROUND(IF(E2="商业",C6*C7*C17+C20,(IF(E2="住宅",C6*C13*C17+C20,IF(E2="办公",C6*C12*C17+C20,C6+C20)))),0)</f>
        <v>#DIV/0!</v>
      </c>
      <c r="D5" s="2358" t="e">
        <f>ROUND(C6*C17+C20,0)</f>
        <v>#DIV/0!</v>
      </c>
      <c r="E5" s="2358"/>
      <c r="F5" s="1199"/>
      <c r="G5" s="1200"/>
      <c r="H5" s="1200"/>
      <c r="I5" s="1200"/>
      <c r="J5" s="1201"/>
      <c r="K5" s="2740"/>
      <c r="L5" s="1545" t="s">
        <v>1601</v>
      </c>
      <c r="M5" s="1546">
        <f>SUMPRODUCT((区片价!B87:B126=I2)*(区片价!C3:G3=E2)*(区片价!C87:G126))</f>
        <v>0</v>
      </c>
      <c r="N5" s="1547">
        <f>SUMPRODUCT((因素修正幅度!B87:B126=I2)*(因素修正幅度!C3:G3=E2)*(因素修正幅度!C87:G126))</f>
        <v>0</v>
      </c>
      <c r="O5" s="2740"/>
      <c r="P5" s="2742"/>
      <c r="Q5" s="1790"/>
      <c r="R5" s="2233">
        <v>4</v>
      </c>
      <c r="S5" s="2233">
        <f>ROUND(SUMPRODUCT((B107:B111=R5)*(C106:N106=G2)*(C107:N111)),4)</f>
        <v>0</v>
      </c>
      <c r="T5" s="2233" t="e">
        <f t="shared" si="0"/>
        <v>#DIV/0!</v>
      </c>
      <c r="U5" s="2223"/>
      <c r="V5" s="2233" t="e">
        <f t="shared" si="1"/>
        <v>#DIV/0!</v>
      </c>
      <c r="W5" s="1790"/>
      <c r="X5" s="1790"/>
      <c r="Y5" s="1790"/>
      <c r="Z5" s="1790"/>
      <c r="AA5" s="1790"/>
      <c r="AB5" s="1790"/>
      <c r="AC5" s="1792"/>
      <c r="AD5" s="1202"/>
      <c r="AE5" s="1202"/>
      <c r="AF5" s="1202"/>
      <c r="AG5" s="1202"/>
      <c r="AH5" s="1202"/>
      <c r="AI5" s="1202"/>
      <c r="AJ5" s="1203"/>
      <c r="AK5" s="1203"/>
      <c r="AL5" s="1203"/>
      <c r="AM5" s="1203"/>
    </row>
    <row r="6" spans="1:39" ht="15.6" thickBot="1">
      <c r="A6" s="3251" t="s">
        <v>1395</v>
      </c>
      <c r="B6" s="1205" t="s">
        <v>859</v>
      </c>
      <c r="C6" s="3252">
        <f>SUMIF(L1:L12,G2,M1:M12)</f>
        <v>0</v>
      </c>
      <c r="D6" s="3253" t="s">
        <v>1228</v>
      </c>
      <c r="E6" s="1205"/>
      <c r="F6" s="1205"/>
      <c r="G6" s="3254"/>
      <c r="H6" s="3254"/>
      <c r="I6" s="3254"/>
      <c r="J6" s="3255"/>
      <c r="K6" s="1790"/>
      <c r="L6" s="1545" t="s">
        <v>1602</v>
      </c>
      <c r="M6" s="1546">
        <f>SUMPRODUCT((区片价!B127:B189=I2)*(区片价!C3:G3=E2)*(区片价!C127:G189))</f>
        <v>0</v>
      </c>
      <c r="N6" s="1547">
        <f>SUMPRODUCT((因素修正幅度!B127:B189=I2)*(因素修正幅度!C3:G3=E2)*(因素修正幅度!C127:G189))</f>
        <v>0</v>
      </c>
      <c r="O6" s="1790"/>
      <c r="P6" s="2743"/>
      <c r="Q6" s="1790"/>
      <c r="R6" s="2233">
        <v>5</v>
      </c>
      <c r="S6" s="2233">
        <f>ROUND(SUMPRODUCT((B107:B111=R6)*(C106:N106=G2)*(C107:N111)),4)</f>
        <v>0</v>
      </c>
      <c r="T6" s="2233" t="e">
        <f t="shared" si="0"/>
        <v>#DIV/0!</v>
      </c>
      <c r="U6" s="2223"/>
      <c r="V6" s="2233" t="e">
        <f t="shared" si="1"/>
        <v>#DIV/0!</v>
      </c>
      <c r="W6" s="1790"/>
      <c r="X6" s="1790"/>
      <c r="Y6" s="1790"/>
      <c r="Z6" s="1790"/>
      <c r="AA6" s="1790"/>
      <c r="AB6" s="1790"/>
      <c r="AC6" s="1792"/>
      <c r="AD6" s="1202"/>
      <c r="AE6" s="1202"/>
      <c r="AF6" s="1202"/>
      <c r="AG6" s="1202"/>
      <c r="AH6" s="1202"/>
      <c r="AI6" s="1202"/>
      <c r="AJ6" s="1203"/>
    </row>
    <row r="7" spans="1:39" ht="24.6" thickBot="1">
      <c r="A7" s="3256" t="s">
        <v>3191</v>
      </c>
      <c r="B7" s="1206" t="s">
        <v>860</v>
      </c>
      <c r="C7" s="3257" t="e">
        <f>IF(C8="不临65条商业街",1,ROUND(1+(1.6*E8+1.2*E9+0.8*E10+0.4*E11)*C9,4))</f>
        <v>#DIV/0!</v>
      </c>
      <c r="D7" s="3258" t="s">
        <v>861</v>
      </c>
      <c r="E7" s="3259"/>
      <c r="F7" s="3260"/>
      <c r="G7" s="3260"/>
      <c r="H7" s="3260"/>
      <c r="I7" s="3260"/>
      <c r="J7" s="3261"/>
      <c r="K7" s="1790"/>
      <c r="L7" s="1545" t="s">
        <v>1603</v>
      </c>
      <c r="M7" s="1546">
        <f>SUMPRODUCT((区片价!B190:B233=I2)*(区片价!C3:G3=E2)*(区片价!C190:G233))</f>
        <v>0</v>
      </c>
      <c r="N7" s="1547">
        <f>SUMPRODUCT((因素修正幅度!B190:B233=I2)*(因素修正幅度!C3:G3=E2)*(因素修正幅度!C190:G233))</f>
        <v>0</v>
      </c>
      <c r="O7" s="1790"/>
      <c r="P7" s="2743"/>
      <c r="Q7" s="1790"/>
      <c r="R7" s="2233">
        <v>6</v>
      </c>
      <c r="S7" s="2223"/>
      <c r="T7" s="2233" t="e">
        <f t="shared" si="0"/>
        <v>#DIV/0!</v>
      </c>
      <c r="U7" s="2223"/>
      <c r="V7" s="2233" t="e">
        <f t="shared" si="1"/>
        <v>#DIV/0!</v>
      </c>
      <c r="W7" s="2231" t="s">
        <v>2046</v>
      </c>
      <c r="X7" s="2224">
        <f>G2</f>
        <v>0</v>
      </c>
      <c r="Y7" s="2224" t="s">
        <v>2047</v>
      </c>
      <c r="Z7" s="2225">
        <f>G3</f>
        <v>0</v>
      </c>
      <c r="AA7" s="1793"/>
      <c r="AB7" s="1793"/>
      <c r="AC7" s="1794"/>
      <c r="AD7" s="2226"/>
      <c r="AE7" s="2226"/>
      <c r="AF7" s="2226"/>
      <c r="AG7" s="2226"/>
      <c r="AH7" s="2226"/>
      <c r="AI7" s="2226"/>
      <c r="AJ7" s="2227"/>
    </row>
    <row r="8" spans="1:39" ht="15">
      <c r="A8" s="3262"/>
      <c r="B8" s="1193" t="s">
        <v>862</v>
      </c>
      <c r="C8" s="3263"/>
      <c r="D8" s="3264" t="s">
        <v>863</v>
      </c>
      <c r="E8" s="3265" t="e">
        <f>ROUND(C11/E7,4)</f>
        <v>#DIV/0!</v>
      </c>
      <c r="F8" s="3266" t="s">
        <v>864</v>
      </c>
      <c r="G8" s="3267"/>
      <c r="H8" s="3267"/>
      <c r="I8" s="3267"/>
      <c r="J8" s="3268"/>
      <c r="K8" s="1790"/>
      <c r="L8" s="1545" t="s">
        <v>1604</v>
      </c>
      <c r="M8" s="1546">
        <f>SUMPRODUCT((区片价!B234:B276=I2)*(区片价!C3:G3=E2)*(区片价!C234:G276))</f>
        <v>0</v>
      </c>
      <c r="N8" s="1547">
        <f>SUMPRODUCT((因素修正幅度!B234:B276=I2)*(因素修正幅度!C3:G3=E2)*(因素修正幅度!C234:G276))</f>
        <v>0</v>
      </c>
      <c r="O8" s="1790"/>
      <c r="P8" s="1790"/>
      <c r="Q8" s="1790"/>
      <c r="R8" s="2233">
        <v>7</v>
      </c>
      <c r="S8" s="2223"/>
      <c r="T8" s="2233" t="e">
        <f t="shared" si="0"/>
        <v>#DIV/0!</v>
      </c>
      <c r="U8" s="2223"/>
      <c r="V8" s="2233" t="e">
        <f t="shared" si="1"/>
        <v>#DIV/0!</v>
      </c>
      <c r="W8" s="3647" t="s">
        <v>2060</v>
      </c>
      <c r="X8" s="3648"/>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2"/>
      <c r="B9" s="1193" t="s">
        <v>865</v>
      </c>
      <c r="C9" s="3269">
        <f>SUMIF(修正!C71:C139,C8,修正!E71:E139)</f>
        <v>0</v>
      </c>
      <c r="D9" s="3270" t="s">
        <v>866</v>
      </c>
      <c r="E9" s="3270" t="e">
        <f>ROUND(C11/E7,4)</f>
        <v>#DIV/0!</v>
      </c>
      <c r="F9" s="3266" t="s">
        <v>867</v>
      </c>
      <c r="G9" s="3267"/>
      <c r="H9" s="3267"/>
      <c r="I9" s="3267"/>
      <c r="J9" s="3268"/>
      <c r="K9" s="1790"/>
      <c r="L9" s="1545" t="s">
        <v>1605</v>
      </c>
      <c r="M9" s="1546">
        <f>SUMPRODUCT((区片价!B277:B326=I2)*(区片价!C3:G3=E2)*(区片价!C277:G326))</f>
        <v>0</v>
      </c>
      <c r="N9" s="1547">
        <f>SUMPRODUCT((因素修正幅度!B277:B326=I2)*(因素修正幅度!C3:G3=E2)*(因素修正幅度!C277:G326))</f>
        <v>0</v>
      </c>
      <c r="O9" s="1790"/>
      <c r="P9" s="1790"/>
      <c r="Q9" s="1790"/>
      <c r="R9" s="2233">
        <v>8</v>
      </c>
      <c r="S9" s="2223"/>
      <c r="T9" s="2233" t="e">
        <f t="shared" si="0"/>
        <v>#DIV/0!</v>
      </c>
      <c r="U9" s="2223"/>
      <c r="V9" s="2233" t="e">
        <f t="shared" si="1"/>
        <v>#DIV/0!</v>
      </c>
      <c r="W9" s="3646"/>
      <c r="X9" s="2228" t="s">
        <v>3214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3" t="s">
        <v>868</v>
      </c>
      <c r="C10" s="3270">
        <f>SUMIF(修正!C71:C139,C8,修正!F71:F139)</f>
        <v>0</v>
      </c>
      <c r="D10" s="3270" t="s">
        <v>869</v>
      </c>
      <c r="E10" s="3270" t="e">
        <f>ROUND(C11/E7,4)</f>
        <v>#DIV/0!</v>
      </c>
      <c r="F10" s="3266" t="s">
        <v>870</v>
      </c>
      <c r="G10" s="3267"/>
      <c r="H10" s="3267"/>
      <c r="I10" s="3267"/>
      <c r="J10" s="3268"/>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3">
        <v>9</v>
      </c>
      <c r="S10" s="2223"/>
      <c r="T10" s="2233" t="e">
        <f t="shared" si="0"/>
        <v>#DIV/0!</v>
      </c>
      <c r="U10" s="2223"/>
      <c r="V10" s="2233" t="e">
        <f t="shared" si="1"/>
        <v>#DIV/0!</v>
      </c>
      <c r="W10" s="3646"/>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10" t="s">
        <v>871</v>
      </c>
      <c r="C11" s="3271">
        <f>C10/4</f>
        <v>0</v>
      </c>
      <c r="D11" s="3271" t="s">
        <v>872</v>
      </c>
      <c r="E11" s="3271" t="e">
        <f>ROUND(C11/E7,4)</f>
        <v>#DIV/0!</v>
      </c>
      <c r="F11" s="3272" t="s">
        <v>873</v>
      </c>
      <c r="G11" s="3273"/>
      <c r="H11" s="3273"/>
      <c r="I11" s="3273"/>
      <c r="J11" s="3274"/>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3">
        <v>10</v>
      </c>
      <c r="S11" s="2223"/>
      <c r="T11" s="2233" t="e">
        <f t="shared" si="0"/>
        <v>#DIV/0!</v>
      </c>
      <c r="U11" s="2223"/>
      <c r="V11" s="2233" t="e">
        <f t="shared" si="1"/>
        <v>#DIV/0!</v>
      </c>
      <c r="W11" s="1790"/>
      <c r="X11" s="1790"/>
      <c r="Y11" s="1790"/>
      <c r="Z11" s="1790"/>
      <c r="AA11" s="1790"/>
      <c r="AB11" s="1790"/>
      <c r="AC11" s="1791"/>
    </row>
    <row r="12" spans="1:39" ht="25.8" thickBot="1">
      <c r="A12" s="3256" t="s">
        <v>3192</v>
      </c>
      <c r="B12" s="3238" t="s">
        <v>3193</v>
      </c>
      <c r="C12" s="3244">
        <v>1.02</v>
      </c>
      <c r="D12" s="3239" t="s">
        <v>3194</v>
      </c>
      <c r="E12" s="3240" t="s">
        <v>3195</v>
      </c>
      <c r="F12" s="3241"/>
      <c r="G12" s="3242"/>
      <c r="H12" s="3242"/>
      <c r="I12" s="3242"/>
      <c r="J12" s="3243"/>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3">
        <v>11</v>
      </c>
      <c r="S12" s="2223"/>
      <c r="T12" s="2233" t="e">
        <f t="shared" si="0"/>
        <v>#DIV/0!</v>
      </c>
      <c r="U12" s="2223"/>
      <c r="V12" s="2233" t="e">
        <f t="shared" si="1"/>
        <v>#DIV/0!</v>
      </c>
      <c r="W12" s="1790"/>
      <c r="X12" s="1790"/>
      <c r="Y12" s="1790"/>
      <c r="Z12" s="1790"/>
      <c r="AA12" s="1790"/>
      <c r="AB12" s="1790"/>
      <c r="AC12" s="1791"/>
    </row>
    <row r="13" spans="1:39" ht="24.6" thickBot="1">
      <c r="A13" s="3256" t="s">
        <v>3196</v>
      </c>
      <c r="B13" s="1211" t="s">
        <v>874</v>
      </c>
      <c r="C13" s="3257">
        <f>ROUND(C16*D16*E16*F16*G16*H16*I16*J16,4)</f>
        <v>0</v>
      </c>
      <c r="D13" s="3275" t="s">
        <v>3197</v>
      </c>
      <c r="E13" s="3276"/>
      <c r="F13" s="3276"/>
      <c r="G13" s="3276"/>
      <c r="H13" s="3276"/>
      <c r="I13" s="3276"/>
      <c r="J13" s="3277"/>
      <c r="K13" s="1791"/>
      <c r="L13" s="1791"/>
      <c r="M13" s="1791"/>
      <c r="N13" s="1791"/>
      <c r="O13" s="1791"/>
      <c r="P13" s="1790"/>
      <c r="Q13" s="1790"/>
      <c r="R13" s="2233">
        <v>12</v>
      </c>
      <c r="S13" s="2223"/>
      <c r="T13" s="2233" t="e">
        <f t="shared" si="0"/>
        <v>#DIV/0!</v>
      </c>
      <c r="U13" s="2223"/>
      <c r="V13" s="2233" t="e">
        <f t="shared" si="1"/>
        <v>#DIV/0!</v>
      </c>
      <c r="W13" s="1790"/>
      <c r="X13" s="1790"/>
      <c r="Y13" s="1790"/>
      <c r="Z13" s="1790"/>
      <c r="AA13" s="1790"/>
      <c r="AB13" s="1790"/>
      <c r="AC13" s="1791"/>
    </row>
    <row r="14" spans="1:39" ht="12.75" customHeight="1">
      <c r="A14" s="3278"/>
      <c r="B14" s="1215" t="s">
        <v>1229</v>
      </c>
      <c r="C14" s="3194" t="s">
        <v>1230</v>
      </c>
      <c r="D14" s="1217" t="s">
        <v>1231</v>
      </c>
      <c r="E14" s="750" t="s">
        <v>3198</v>
      </c>
      <c r="F14" s="3279" t="s">
        <v>1178</v>
      </c>
      <c r="G14" s="3279" t="s">
        <v>1178</v>
      </c>
      <c r="H14" s="3280" t="s">
        <v>1178</v>
      </c>
      <c r="I14" s="3280" t="s">
        <v>1178</v>
      </c>
      <c r="J14" s="3280" t="s">
        <v>1178</v>
      </c>
      <c r="K14" s="2741"/>
      <c r="L14" s="2741"/>
      <c r="M14" s="2741"/>
      <c r="N14" s="2741"/>
      <c r="O14" s="2741"/>
      <c r="P14" s="1790"/>
      <c r="Q14" s="1790"/>
      <c r="R14" s="2233">
        <v>13</v>
      </c>
      <c r="S14" s="2223"/>
      <c r="T14" s="2233" t="e">
        <f t="shared" si="0"/>
        <v>#DIV/0!</v>
      </c>
      <c r="U14" s="2223"/>
      <c r="V14" s="2233" t="e">
        <f t="shared" si="1"/>
        <v>#DIV/0!</v>
      </c>
      <c r="W14" s="1790"/>
      <c r="X14" s="1790"/>
      <c r="Y14" s="1790"/>
      <c r="Z14" s="1790"/>
      <c r="AA14" s="1790"/>
      <c r="AB14" s="1790"/>
      <c r="AC14" s="1791"/>
    </row>
    <row r="15" spans="1:39" ht="13.5" customHeight="1">
      <c r="A15" s="3278"/>
      <c r="B15" s="1217"/>
      <c r="C15" s="3281"/>
      <c r="D15" s="3282"/>
      <c r="E15" s="3283"/>
      <c r="F15" s="3283"/>
      <c r="G15" s="1038" t="s">
        <v>3199</v>
      </c>
      <c r="H15" s="3247"/>
      <c r="I15" s="3248"/>
      <c r="J15" s="3249"/>
      <c r="K15" s="3250"/>
      <c r="L15" s="1794"/>
      <c r="M15" s="1794"/>
      <c r="N15" s="1794"/>
      <c r="O15" s="1794"/>
      <c r="P15" s="1790"/>
      <c r="Q15" s="1790"/>
      <c r="R15" s="2233">
        <v>14</v>
      </c>
      <c r="S15" s="2223"/>
      <c r="T15" s="2233" t="e">
        <f t="shared" si="0"/>
        <v>#DIV/0!</v>
      </c>
      <c r="U15" s="2223"/>
      <c r="V15" s="2233" t="e">
        <f t="shared" si="1"/>
        <v>#DIV/0!</v>
      </c>
      <c r="W15" s="1790"/>
      <c r="X15" s="1790"/>
      <c r="Y15" s="1790"/>
      <c r="Z15" s="1790"/>
      <c r="AA15" s="1790"/>
      <c r="AB15" s="1790"/>
      <c r="AC15" s="1791"/>
    </row>
    <row r="16" spans="1:39" ht="24.6" customHeight="1" thickBot="1">
      <c r="A16" s="3278"/>
      <c r="B16" s="2406" t="s">
        <v>1232</v>
      </c>
      <c r="C16" s="3245"/>
      <c r="D16" s="3245"/>
      <c r="E16" s="3245"/>
      <c r="F16" s="3245"/>
      <c r="G16" s="3245">
        <v>1</v>
      </c>
      <c r="H16" s="3245">
        <v>1</v>
      </c>
      <c r="I16" s="3245">
        <v>1</v>
      </c>
      <c r="J16" s="3246">
        <v>1</v>
      </c>
      <c r="K16" s="1794"/>
      <c r="L16" s="1794"/>
      <c r="M16" s="1794"/>
      <c r="N16" s="1794"/>
      <c r="O16" s="1794"/>
      <c r="P16" s="1790"/>
      <c r="Q16" s="1790"/>
      <c r="R16" s="2233">
        <v>15</v>
      </c>
      <c r="S16" s="2223"/>
      <c r="T16" s="2233" t="e">
        <f t="shared" si="0"/>
        <v>#DIV/0!</v>
      </c>
      <c r="U16" s="2223"/>
      <c r="V16" s="2233" t="e">
        <f t="shared" si="1"/>
        <v>#DIV/0!</v>
      </c>
      <c r="W16" s="1793"/>
      <c r="X16" s="1793"/>
      <c r="Y16" s="1793"/>
      <c r="Z16" s="1793"/>
      <c r="AA16" s="1793"/>
      <c r="AB16" s="1793"/>
      <c r="AC16" s="1794"/>
    </row>
    <row r="17" spans="1:40" ht="24">
      <c r="A17" s="3285" t="s">
        <v>3200</v>
      </c>
      <c r="B17" s="3286" t="s">
        <v>3201</v>
      </c>
      <c r="C17" s="3294">
        <f>ROUND(IF(OR(E2="工业",E2="公共服务"),1,IF(AND(E18=0,E19=0),1,IF(AND(E18=J24,E19=G19),0.8,IF(E19=0,1+E17*(-0.2),1+E17*G17*(-0.2))))),4)</f>
        <v>1</v>
      </c>
      <c r="D17" s="3287" t="s">
        <v>3202</v>
      </c>
      <c r="E17" s="3294" t="e">
        <f>ROUND(G18/I18,2)</f>
        <v>#DIV/0!</v>
      </c>
      <c r="F17" s="3287" t="s">
        <v>3205</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4">
      <c r="A18" s="3278"/>
      <c r="B18" s="3158"/>
      <c r="C18" s="3292"/>
      <c r="D18" s="3288" t="s">
        <v>3203</v>
      </c>
      <c r="E18" s="3293"/>
      <c r="F18" s="3290" t="s">
        <v>3206</v>
      </c>
      <c r="G18" s="3292">
        <f>ROUND(1-(1/(POWER(1+G24,E18))),4)</f>
        <v>0</v>
      </c>
      <c r="H18" s="3290" t="s">
        <v>3208</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3204</v>
      </c>
      <c r="E19" s="3295"/>
      <c r="F19" s="3291" t="s">
        <v>3207</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4">
      <c r="A20" s="3657" t="s">
        <v>1370</v>
      </c>
      <c r="B20" s="1206" t="s">
        <v>875</v>
      </c>
      <c r="C20" s="948" t="e">
        <f>ROUND(IF(F21="与级别开发程度一致",0,(G21-E21)/C21),0)</f>
        <v>#DIV/0!</v>
      </c>
      <c r="D20" s="3652" t="s">
        <v>879</v>
      </c>
      <c r="E20" s="3653"/>
      <c r="F20" s="3652" t="s">
        <v>876</v>
      </c>
      <c r="G20" s="3653"/>
      <c r="H20" s="1218"/>
      <c r="I20" s="1218"/>
      <c r="J20" s="1218"/>
      <c r="K20" s="1218"/>
      <c r="L20" s="1218"/>
      <c r="M20" s="1218"/>
      <c r="N20" s="1218"/>
      <c r="O20" s="2411"/>
      <c r="P20" s="1790"/>
      <c r="Q20" s="1793"/>
      <c r="R20" s="1796"/>
      <c r="S20" s="1796"/>
      <c r="T20" s="1796"/>
      <c r="U20" s="1796"/>
      <c r="V20" s="1796"/>
      <c r="W20" s="1796"/>
      <c r="X20" s="1796"/>
      <c r="Y20" s="1222"/>
      <c r="Z20" s="1222"/>
      <c r="AA20" s="1222"/>
      <c r="AB20" s="1222"/>
      <c r="AC20" s="1222"/>
      <c r="AD20" s="1222"/>
    </row>
    <row r="21" spans="1:40" s="1204" customFormat="1" ht="15" thickBot="1">
      <c r="A21" s="3658"/>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 thickBot="1">
      <c r="A22" s="2096" t="s">
        <v>1358</v>
      </c>
      <c r="B22" s="2407" t="s">
        <v>880</v>
      </c>
      <c r="C22" s="2408">
        <f>SUMIF(修正!C20:C51,E3,修正!E20:E51)</f>
        <v>0</v>
      </c>
      <c r="D22" s="2409"/>
      <c r="E22" s="2410"/>
      <c r="F22" s="2397"/>
      <c r="G22" s="1231"/>
      <c r="H22" s="1231"/>
      <c r="I22" s="1231"/>
      <c r="J22" s="2402"/>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9.4"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882</v>
      </c>
      <c r="E23" s="950">
        <v>44197</v>
      </c>
      <c r="F23" s="1224" t="s">
        <v>883</v>
      </c>
      <c r="G23" s="951">
        <f>'数据-取费表'!B2</f>
        <v>45730</v>
      </c>
      <c r="H23" s="1225" t="s">
        <v>2247</v>
      </c>
      <c r="I23" s="2102" t="str">
        <f>IF(H23="季度增幅（自定义）",SUMIF(N25:N28,E2,O25:O28),"")</f>
        <v/>
      </c>
      <c r="J23" s="3296" t="s">
        <v>3258</v>
      </c>
      <c r="K23" s="2740"/>
      <c r="L23" s="2323" t="s">
        <v>2116</v>
      </c>
      <c r="M23" s="2324">
        <f>ROUND(SUMIF(地价!B2:F2,E2,地价!B41:F41),0)</f>
        <v>0</v>
      </c>
      <c r="N23" s="2104" t="s">
        <v>1211</v>
      </c>
      <c r="O23" s="2103">
        <f>ROUNDDOWN(DATEDIF(E23,G23,"M")/3,0)</f>
        <v>16</v>
      </c>
      <c r="P23" s="1794"/>
      <c r="Q23" s="2222"/>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9.4" thickBot="1">
      <c r="A24" s="2096" t="s">
        <v>1365</v>
      </c>
      <c r="B24" s="2097" t="s">
        <v>896</v>
      </c>
      <c r="C24" s="2098" t="e">
        <f>ROUND(POWER(1+G24,J24-I24)*(POWER(1+G24,I24)-1)/(POWER(1+G24,J24)-1),4)</f>
        <v>#DIV/0!</v>
      </c>
      <c r="D24" s="2099" t="s">
        <v>897</v>
      </c>
      <c r="E24" s="2350">
        <f>存贷款利率!E27/100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5" t="s">
        <v>2117</v>
      </c>
      <c r="M24" s="2399">
        <f>ROUND(SUMPRODUCT((地价!A4:A41=YEAR(G23)&amp;"-"&amp;ROUNDUP(MONTH(G23)/3,0))*(地价!B2:F2=E2)*(地价!B4:F41)),0)</f>
        <v>0</v>
      </c>
      <c r="N24" s="2107" t="s">
        <v>1927</v>
      </c>
      <c r="O24" s="2105" t="s">
        <v>1926</v>
      </c>
      <c r="P24" s="2106" t="s">
        <v>1932</v>
      </c>
      <c r="Q24" s="2222"/>
      <c r="R24" s="1796"/>
      <c r="S24" s="1796"/>
      <c r="T24" s="1796"/>
      <c r="U24" s="1796"/>
      <c r="V24" s="1796"/>
      <c r="W24" s="1796"/>
      <c r="X24" s="1796"/>
      <c r="Y24" s="1222"/>
      <c r="Z24" s="1222"/>
      <c r="AA24" s="1222"/>
      <c r="AB24" s="1222"/>
      <c r="AC24" s="1222"/>
      <c r="AD24" s="1222"/>
    </row>
    <row r="25" spans="1:40" ht="14.4">
      <c r="A25" s="1363" t="s">
        <v>1366</v>
      </c>
      <c r="B25" s="1230" t="s">
        <v>2275</v>
      </c>
      <c r="C25" s="1004">
        <f>IF(B25="容积率修正",IF(G3&lt;10,D26,J26),C27)</f>
        <v>0</v>
      </c>
      <c r="D25" s="1231"/>
      <c r="E25" s="1231"/>
      <c r="F25" s="1231"/>
      <c r="G25" s="1231"/>
      <c r="H25" s="1231"/>
      <c r="I25" s="1231"/>
      <c r="J25" s="1232"/>
      <c r="K25" s="2740"/>
      <c r="L25" s="1231"/>
      <c r="M25" s="1231"/>
      <c r="N25" s="1228" t="s">
        <v>900</v>
      </c>
      <c r="O25" s="1288"/>
      <c r="P25" s="2094">
        <f>SUMPRODUCT((地价!A3:A41=YEAR(G23)&amp;"-"&amp;ROUNDUP(MONTH(G23)/3,0))*(地价!AD2:AH2=N25)*(地价!AD3:AH41))</f>
        <v>0</v>
      </c>
      <c r="Q25" s="2222"/>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4">
      <c r="A26" s="1364" t="s">
        <v>1395</v>
      </c>
      <c r="B26" s="1233" t="s">
        <v>901</v>
      </c>
      <c r="C26" s="3297"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3210</v>
      </c>
      <c r="J26" s="952" t="str">
        <f>IF(G3&gt;=10,D116,"——")</f>
        <v>——</v>
      </c>
      <c r="K26" s="2222"/>
      <c r="L26" s="1231"/>
      <c r="M26" s="1231"/>
      <c r="N26" s="1228" t="s">
        <v>902</v>
      </c>
      <c r="O26" s="1288"/>
      <c r="P26" s="2094">
        <f>SUMPRODUCT((地价!A3:A41=YEAR(G23)&amp;"-"&amp;ROUNDUP(MONTH(G23)/3,0))*(地价!AD2:AH2=N26)*(地价!AD3:AH41))</f>
        <v>0</v>
      </c>
      <c r="Q26" s="2222"/>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2"/>
      <c r="R27" s="2222"/>
      <c r="S27" s="2222"/>
      <c r="T27" s="2222"/>
      <c r="U27" s="2222"/>
      <c r="V27" s="2222"/>
      <c r="W27" s="1796"/>
      <c r="X27" s="1796"/>
      <c r="Y27" s="1796"/>
      <c r="Z27" s="1796"/>
      <c r="AA27" s="1796"/>
      <c r="AB27" s="1796"/>
      <c r="AC27" s="1796"/>
    </row>
    <row r="28" spans="1:40" ht="15" thickBot="1">
      <c r="A28" s="1362" t="s">
        <v>1397</v>
      </c>
      <c r="B28" s="1198" t="s">
        <v>904</v>
      </c>
      <c r="C28" s="954">
        <f>SUMIF(A47:A101,E2,B47:B101)</f>
        <v>0</v>
      </c>
      <c r="D28" s="1281"/>
      <c r="E28" s="1282"/>
      <c r="F28" s="1282"/>
      <c r="G28" s="1282"/>
      <c r="H28" s="1282"/>
      <c r="I28" s="1282"/>
      <c r="J28" s="1282"/>
      <c r="K28" s="1796"/>
      <c r="L28" s="1231"/>
      <c r="M28" s="1231"/>
      <c r="N28" s="1228" t="s">
        <v>905</v>
      </c>
      <c r="O28" s="2398"/>
      <c r="P28" s="2094">
        <f>SUMPRODUCT((地价!A3:A41=YEAR(G23)&amp;"-"&amp;ROUNDUP(MONTH(G23)/3,0))*(地价!AD2:AH2=N28)*(地价!AD3:AH41))</f>
        <v>0</v>
      </c>
      <c r="Q28" s="2222"/>
      <c r="R28" s="2222"/>
      <c r="S28" s="2222"/>
      <c r="T28" s="2222"/>
      <c r="U28" s="2222"/>
      <c r="V28" s="2222"/>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0" t="s">
        <v>1930</v>
      </c>
      <c r="O29" s="2401"/>
      <c r="P29" s="1968">
        <f>SUMPRODUCT((地价!A3:A41=YEAR(G23)&amp;"-"&amp;ROUNDUP(MONTH(G23)/3,0))*(地价!AD2:AH2=N29)*(地价!AD3:AH41))</f>
        <v>0</v>
      </c>
      <c r="Q29" s="2222"/>
      <c r="R29" s="1796"/>
      <c r="S29" s="1796"/>
      <c r="T29" s="1796"/>
      <c r="U29" s="1796"/>
      <c r="V29" s="1796"/>
      <c r="W29" s="2222"/>
      <c r="X29" s="2222"/>
      <c r="Y29" s="2222"/>
      <c r="Z29" s="2222"/>
      <c r="AA29" s="2222"/>
      <c r="AB29" s="1796"/>
      <c r="AC29" s="1796"/>
      <c r="AD29" s="1796"/>
      <c r="AE29" s="1796"/>
      <c r="AF29" s="1796"/>
      <c r="AG29" s="1796"/>
      <c r="AH29" s="1796"/>
      <c r="AJ29" s="1188"/>
      <c r="AK29" s="1188"/>
      <c r="AL29" s="1188"/>
      <c r="AM29" s="1187"/>
      <c r="AN29" s="1187"/>
    </row>
    <row r="30" spans="1:40" ht="14.4">
      <c r="A30" s="1238"/>
      <c r="B30" s="1233" t="s">
        <v>910</v>
      </c>
      <c r="C30" s="2553"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3.2">
      <c r="A33" s="1251"/>
      <c r="B33" s="1252" t="s">
        <v>917</v>
      </c>
      <c r="C33" s="955" t="e">
        <f>ROUND(C5*C22*C23*C24*C25*C28,0)</f>
        <v>#DIV/0!</v>
      </c>
      <c r="D33" s="1253"/>
      <c r="E33" s="1539" t="e">
        <f>ROUND(C33*D33/10000,0)</f>
        <v>#DIV/0!</v>
      </c>
      <c r="F33" s="3298" t="s">
        <v>3211</v>
      </c>
      <c r="G33" s="1254"/>
      <c r="H33" s="1254"/>
      <c r="I33" s="1254"/>
      <c r="J33" s="1255"/>
      <c r="K33" s="2744"/>
      <c r="L33" s="3366" t="s">
        <v>3237</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6" thickBot="1">
      <c r="A34" s="1256"/>
      <c r="B34" s="1257" t="s">
        <v>918</v>
      </c>
      <c r="C34" s="947" t="e">
        <f>ROUND(IF(E2="工业",C33*M42,IF(B25="楼层修正",SUM(V2:V16)*M41*10000/D34,C33*M41)),0)</f>
        <v>#DIV/0!</v>
      </c>
      <c r="D34" s="1258"/>
      <c r="E34" s="1539" t="e">
        <f>ROUND(IF(B25="楼层修正",SUM(V2:V16)*#REF!,C34*D34/10000),0)</f>
        <v>#DIV/0!</v>
      </c>
      <c r="F34" s="3299" t="s">
        <v>3212</v>
      </c>
      <c r="G34" s="1259"/>
      <c r="H34" s="1259"/>
      <c r="I34" s="1259"/>
      <c r="J34" s="1260"/>
      <c r="K34" s="1790"/>
      <c r="L34" s="3366" t="s">
        <v>3238</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36.6" thickBot="1">
      <c r="A36" s="1251"/>
      <c r="B36" s="1265"/>
      <c r="C36" s="1266" t="s">
        <v>914</v>
      </c>
      <c r="D36" s="1267" t="s">
        <v>915</v>
      </c>
      <c r="E36" s="1267" t="s">
        <v>916</v>
      </c>
      <c r="F36" s="1268" t="s">
        <v>922</v>
      </c>
      <c r="G36" s="1229" t="s">
        <v>914</v>
      </c>
      <c r="H36" s="1229" t="s">
        <v>915</v>
      </c>
      <c r="I36" s="1229" t="s">
        <v>916</v>
      </c>
      <c r="J36" s="1269"/>
      <c r="K36" s="3368" t="s">
        <v>3239</v>
      </c>
      <c r="L36" s="3370">
        <f ca="1">'数据-取费表'!B40</f>
        <v>3.1E-2</v>
      </c>
      <c r="M36" s="3371">
        <f ca="1">ROUND($L$36*(1+M31),3)</f>
        <v>3.9E-2</v>
      </c>
      <c r="N36" s="3371">
        <f ca="1">ROUND($L$36*(1+N31),3)</f>
        <v>3.6999999999999998E-2</v>
      </c>
      <c r="O36" s="3371">
        <f ca="1">ROUND($L$36*(1+O31),3)</f>
        <v>3.5999999999999997E-2</v>
      </c>
      <c r="P36" s="3371">
        <f ca="1">ROUND($L$36*(1+P31),3)</f>
        <v>3.4000000000000002E-2</v>
      </c>
      <c r="Q36" s="3371">
        <f ca="1">ROUND($L$36*(1+Q31),3)</f>
        <v>3.5999999999999997E-2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24.6" thickBot="1">
      <c r="A37" s="3654"/>
      <c r="B37" s="1271" t="s">
        <v>923</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654"/>
      <c r="K37" s="3369" t="s">
        <v>3240</v>
      </c>
      <c r="L37" s="3370">
        <f ca="1">L36+K38</f>
        <v>3.5999999999999997E-2</v>
      </c>
      <c r="M37" s="3371">
        <f ca="1">ROUND($L$37*(1+M31),3)</f>
        <v>4.4999999999999998E-2</v>
      </c>
      <c r="N37" s="3371">
        <f t="shared" ref="N37:Q37" ca="1" si="3">ROUND($L$37*(1+N31),3)</f>
        <v>4.2999999999999997E-2</v>
      </c>
      <c r="O37" s="3371">
        <f t="shared" ca="1" si="3"/>
        <v>4.1000000000000002E-2</v>
      </c>
      <c r="P37" s="3371">
        <f t="shared" ca="1" si="3"/>
        <v>0.04</v>
      </c>
      <c r="Q37" s="3371">
        <f t="shared" ca="1" si="3"/>
        <v>4.1000000000000002E-2</v>
      </c>
      <c r="R37" s="1791"/>
      <c r="S37" s="1791"/>
      <c r="T37" s="1791"/>
      <c r="U37" s="1791"/>
      <c r="V37" s="1791"/>
      <c r="W37" s="1790"/>
      <c r="X37" s="1790"/>
      <c r="Y37" s="1790"/>
      <c r="Z37" s="1790"/>
      <c r="AA37" s="1790"/>
      <c r="AB37" s="1790"/>
      <c r="AC37" s="1791"/>
    </row>
    <row r="38" spans="1:44" ht="13.2">
      <c r="A38" s="3655"/>
      <c r="B38" s="1216" t="s">
        <v>924</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55"/>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8" thickBot="1">
      <c r="A39" s="3655"/>
      <c r="B39" s="3300" t="s">
        <v>3213</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655"/>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3.2">
      <c r="A40" s="1270"/>
      <c r="B40" s="1216" t="s">
        <v>925</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3.2">
      <c r="A41" s="1270"/>
      <c r="B41" s="1216" t="s">
        <v>926</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8" thickBot="1">
      <c r="A42" s="1256"/>
      <c r="B42" s="1273" t="s">
        <v>927</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24">
      <c r="A44" s="1188"/>
      <c r="B44" s="2396" t="s">
        <v>2243</v>
      </c>
      <c r="C44" s="773" t="e">
        <f>ROUND(POWER(1+E44,H44-G44)*(POWER(1+E44,G44)-1)/(POWER(1+E44,H44)-1),4)</f>
        <v>#DIV/0!</v>
      </c>
      <c r="D44" s="348" t="s">
        <v>2241</v>
      </c>
      <c r="E44" s="2395">
        <f>G24</f>
        <v>0</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928</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4.4">
      <c r="A48" s="3314" t="s">
        <v>929</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9"/>
      <c r="Q49" s="1799"/>
      <c r="R49" s="1799"/>
      <c r="S49" s="1799"/>
      <c r="T49" s="1799"/>
      <c r="U49" s="1799"/>
      <c r="V49" s="1799"/>
      <c r="W49" s="1799"/>
      <c r="X49" s="1799"/>
      <c r="Y49" s="1799"/>
      <c r="Z49" s="1799"/>
      <c r="AA49" s="1799"/>
      <c r="AB49" s="1799"/>
      <c r="AC49" s="1799"/>
      <c r="AD49" s="1799"/>
    </row>
    <row r="50" spans="1:30" s="3313" customFormat="1" ht="36">
      <c r="A50" s="3318" t="s">
        <v>942</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48">
      <c r="A51" s="3318" t="s">
        <v>943</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48">
      <c r="A52" s="3301" t="s">
        <v>3215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945</v>
      </c>
      <c r="B53" s="3334" t="s">
        <v>2200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36">
      <c r="A55" s="3318" t="s">
        <v>947</v>
      </c>
      <c r="B55" s="3335" t="s">
        <v>2199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948</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949</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36.6" thickBot="1">
      <c r="A58" s="3338" t="s">
        <v>950</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4.4">
      <c r="A59" s="3314" t="s">
        <v>951</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9"/>
      <c r="Q60" s="1799"/>
      <c r="R60" s="1799"/>
      <c r="S60" s="1799"/>
      <c r="T60" s="1799"/>
      <c r="U60" s="1799"/>
      <c r="V60" s="1799"/>
      <c r="W60" s="1799"/>
      <c r="X60" s="1799"/>
      <c r="Y60" s="1799"/>
      <c r="Z60" s="1799"/>
      <c r="AA60" s="1799"/>
      <c r="AB60" s="1799"/>
      <c r="AC60" s="1799"/>
      <c r="AD60" s="1799"/>
    </row>
    <row r="61" spans="1:30" s="3313" customFormat="1" ht="36">
      <c r="A61" s="3318" t="s">
        <v>952</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48">
      <c r="A62" s="3318" t="s">
        <v>943</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48">
      <c r="A63" s="3301" t="s">
        <v>3215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945</v>
      </c>
      <c r="B64" s="3334" t="s">
        <v>2201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36">
      <c r="A66" s="3318" t="s">
        <v>947</v>
      </c>
      <c r="B66" s="3335" t="s">
        <v>2199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948</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949</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36.6" thickBot="1">
      <c r="A69" s="3338" t="s">
        <v>950</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4.4">
      <c r="A70" s="3314" t="s">
        <v>953</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9"/>
      <c r="Q71" s="1799"/>
      <c r="R71" s="1799"/>
      <c r="S71" s="1799"/>
      <c r="T71" s="1799"/>
      <c r="U71" s="1799"/>
      <c r="V71" s="1799"/>
      <c r="W71" s="1799"/>
      <c r="X71" s="1799"/>
      <c r="Y71" s="1799"/>
      <c r="Z71" s="1799"/>
      <c r="AA71" s="1799"/>
      <c r="AB71" s="1799"/>
      <c r="AC71" s="1799"/>
      <c r="AD71" s="1799"/>
    </row>
    <row r="72" spans="1:36" s="3313" customFormat="1" ht="48">
      <c r="A72" s="3318" t="s">
        <v>954</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48">
      <c r="A73" s="3318" t="s">
        <v>955</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48">
      <c r="A74" s="3301" t="s">
        <v>3215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3.8">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948</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949</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36">
      <c r="A78" s="3318" t="s">
        <v>947</v>
      </c>
      <c r="B78" s="3335" t="s">
        <v>2199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36">
      <c r="A79" s="3318" t="s">
        <v>950</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36.6"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4.4">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5" customFormat="1" ht="36">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48">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3.8">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36">
      <c r="A89" s="3318" t="s">
        <v>947</v>
      </c>
      <c r="B89" s="3335" t="s">
        <v>2199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6"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4.4">
      <c r="A91" s="3302" t="s">
        <v>3224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3225</v>
      </c>
      <c r="B92" s="3303"/>
      <c r="C92" s="3303" t="s">
        <v>3230</v>
      </c>
      <c r="D92" s="3303" t="s">
        <v>3217</v>
      </c>
      <c r="E92" s="346" t="s">
        <v>3218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5" customFormat="1" ht="24">
      <c r="A93" s="3357" t="s">
        <v>3226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48">
      <c r="A94" s="3303" t="s">
        <v>3227</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48">
      <c r="A95" s="3357" t="s">
        <v>3215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7.200000000000003">
      <c r="A96" s="3303" t="s">
        <v>3219</v>
      </c>
      <c r="B96" s="3307" t="s">
        <v>3220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3221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36">
      <c r="A98" s="3303" t="s">
        <v>3228</v>
      </c>
      <c r="B98" s="3334" t="s">
        <v>2199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3229</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3222</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36.6" thickBot="1">
      <c r="A101" s="3303" t="s">
        <v>3223</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3.8">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59" t="s">
        <v>1172</v>
      </c>
      <c r="B104" s="3659"/>
      <c r="C104" s="3659"/>
      <c r="D104" s="3659"/>
      <c r="E104" s="3659"/>
      <c r="F104" s="3659"/>
      <c r="G104" s="3659"/>
      <c r="H104" s="3659"/>
      <c r="I104" s="3659"/>
      <c r="J104" s="3659"/>
      <c r="K104" s="1001"/>
      <c r="L104" s="1001"/>
      <c r="M104" s="1001"/>
      <c r="N104" s="1001"/>
    </row>
    <row r="105" spans="1:36">
      <c r="A105" s="3660" t="s">
        <v>1161</v>
      </c>
      <c r="B105" s="3660" t="s">
        <v>1173</v>
      </c>
      <c r="C105" s="989" t="s">
        <v>1174</v>
      </c>
      <c r="D105" s="990"/>
      <c r="E105" s="990"/>
      <c r="F105" s="990"/>
      <c r="G105" s="990"/>
      <c r="H105" s="990"/>
      <c r="I105" s="990"/>
      <c r="J105" s="991"/>
      <c r="K105" s="984"/>
      <c r="L105" s="984"/>
      <c r="M105" s="984"/>
      <c r="N105" s="984"/>
    </row>
    <row r="106" spans="1:36">
      <c r="A106" s="3660"/>
      <c r="B106" s="366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0"/>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6" t="s">
        <v>1175</v>
      </c>
      <c r="B114" s="3656"/>
      <c r="C114" s="3656"/>
      <c r="D114" s="3656"/>
      <c r="E114" s="3656"/>
      <c r="F114" s="3656"/>
      <c r="G114" s="3656"/>
      <c r="H114" s="3656"/>
      <c r="I114" s="3656"/>
      <c r="J114" s="3656"/>
      <c r="K114" s="1969"/>
      <c r="L114" s="1969"/>
      <c r="M114" s="1969"/>
      <c r="N114" s="1969"/>
    </row>
    <row r="116" spans="1:14" ht="12.6" thickBot="1"/>
    <row r="117" spans="1:14" ht="25.8"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60" t="s">
        <v>3232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3.2">
      <c r="A120" s="3360" t="s">
        <v>3233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3.2">
      <c r="A121" s="3360" t="s">
        <v>3234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8" thickBot="1">
      <c r="A122" s="3361" t="s">
        <v>3235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3.2">
      <c r="A123" s="3362" t="s">
        <v>3216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58"/>
    <col min="2" max="9" width="13.88671875" style="974"/>
    <col min="10" max="16384" width="13.88671875" style="958"/>
  </cols>
  <sheetData>
    <row r="1" spans="1:13" ht="1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5" t="s">
        <v>2738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2764</v>
      </c>
      <c r="B6" s="2995">
        <v>2.5</v>
      </c>
      <c r="C6" s="2995">
        <v>2.5</v>
      </c>
      <c r="D6" s="2995">
        <v>2</v>
      </c>
      <c r="E6" s="2995">
        <v>2</v>
      </c>
      <c r="F6" s="2995">
        <v>2</v>
      </c>
      <c r="G6" s="2995">
        <v>2</v>
      </c>
      <c r="H6" s="2995">
        <v>2</v>
      </c>
      <c r="I6" s="2996">
        <v>1.5</v>
      </c>
      <c r="J6" s="2996">
        <v>1.5</v>
      </c>
      <c r="K6" s="2996">
        <v>1.5</v>
      </c>
      <c r="L6" s="2996">
        <v>1.5</v>
      </c>
      <c r="M6" s="2997">
        <v>1.5</v>
      </c>
    </row>
    <row r="7" spans="1:13" ht="15" thickBot="1">
      <c r="A7" s="2998" t="s">
        <v>2736</v>
      </c>
      <c r="B7" s="2999">
        <v>2.5</v>
      </c>
      <c r="C7" s="2999">
        <v>2.5</v>
      </c>
      <c r="D7" s="2999">
        <v>2</v>
      </c>
      <c r="E7" s="2999">
        <v>2</v>
      </c>
      <c r="F7" s="2999">
        <v>2</v>
      </c>
      <c r="G7" s="2999">
        <v>2</v>
      </c>
      <c r="H7" s="2999">
        <v>2</v>
      </c>
      <c r="I7" s="3000">
        <v>1.5</v>
      </c>
      <c r="J7" s="3000">
        <v>1.5</v>
      </c>
      <c r="K7" s="3000">
        <v>1.5</v>
      </c>
      <c r="L7" s="3000">
        <v>1.5</v>
      </c>
      <c r="M7" s="3001">
        <v>1.5</v>
      </c>
    </row>
    <row r="8" spans="1:13">
      <c r="A8" s="976" t="s">
        <v>2765</v>
      </c>
      <c r="B8" s="3002">
        <v>80</v>
      </c>
      <c r="C8" s="3002">
        <v>80</v>
      </c>
      <c r="D8" s="3002">
        <v>70</v>
      </c>
      <c r="E8" s="3002">
        <v>70</v>
      </c>
      <c r="F8" s="3002">
        <v>70</v>
      </c>
      <c r="G8" s="3002">
        <v>70</v>
      </c>
      <c r="H8" s="3002">
        <v>70</v>
      </c>
      <c r="I8" s="3002">
        <v>60</v>
      </c>
      <c r="J8" s="3002">
        <v>60</v>
      </c>
      <c r="K8" s="3002">
        <v>60</v>
      </c>
      <c r="L8" s="3002">
        <v>60</v>
      </c>
      <c r="M8" s="3003">
        <v>60</v>
      </c>
    </row>
    <row r="9" spans="1:13">
      <c r="A9" s="959" t="s">
        <v>2766</v>
      </c>
      <c r="B9" s="3004">
        <v>70</v>
      </c>
      <c r="C9" s="3004">
        <v>70</v>
      </c>
      <c r="D9" s="3004">
        <v>60</v>
      </c>
      <c r="E9" s="3004">
        <v>60</v>
      </c>
      <c r="F9" s="3004">
        <v>60</v>
      </c>
      <c r="G9" s="3004">
        <v>60</v>
      </c>
      <c r="H9" s="3004">
        <v>60</v>
      </c>
      <c r="I9" s="3004">
        <v>50</v>
      </c>
      <c r="J9" s="3004">
        <v>50</v>
      </c>
      <c r="K9" s="3004">
        <v>50</v>
      </c>
      <c r="L9" s="3004">
        <v>50</v>
      </c>
      <c r="M9" s="3005">
        <v>50</v>
      </c>
    </row>
    <row r="10" spans="1:13">
      <c r="A10" s="959" t="s">
        <v>2767</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2768</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2769</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2770</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2771</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2772</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6" t="s">
        <v>2455</v>
      </c>
      <c r="B19" s="3008" t="s">
        <v>2456</v>
      </c>
      <c r="C19" s="3009" t="s">
        <v>2457</v>
      </c>
      <c r="D19" s="3010"/>
      <c r="E19" s="3004" t="s">
        <v>2458</v>
      </c>
      <c r="F19" s="982"/>
      <c r="G19" s="982"/>
    </row>
    <row r="20" spans="1:13">
      <c r="A20" s="3661" t="s">
        <v>2449</v>
      </c>
      <c r="B20" s="3664" t="s">
        <v>2459</v>
      </c>
      <c r="C20" s="3011" t="s">
        <v>2460</v>
      </c>
      <c r="D20" s="3012"/>
      <c r="E20" s="3013">
        <v>1</v>
      </c>
      <c r="F20" s="3014" t="s">
        <v>2461</v>
      </c>
      <c r="G20" s="984"/>
    </row>
    <row r="21" spans="1:13">
      <c r="A21" s="3662"/>
      <c r="B21" s="3665"/>
      <c r="C21" s="3015" t="s">
        <v>2462</v>
      </c>
      <c r="D21" s="3016"/>
      <c r="E21" s="3017">
        <v>1</v>
      </c>
      <c r="F21" s="3014" t="s">
        <v>2463</v>
      </c>
      <c r="G21" s="984"/>
    </row>
    <row r="22" spans="1:13">
      <c r="A22" s="3662"/>
      <c r="B22" s="3665"/>
      <c r="C22" s="3015" t="s">
        <v>2464</v>
      </c>
      <c r="D22" s="3016"/>
      <c r="E22" s="3017">
        <v>0.9</v>
      </c>
      <c r="F22" s="3014" t="s">
        <v>2465</v>
      </c>
      <c r="G22" s="984"/>
    </row>
    <row r="23" spans="1:13">
      <c r="A23" s="3662"/>
      <c r="B23" s="3665"/>
      <c r="C23" s="3015" t="s">
        <v>2466</v>
      </c>
      <c r="D23" s="3016"/>
      <c r="E23" s="3017">
        <v>0.9</v>
      </c>
      <c r="F23" s="3014" t="s">
        <v>2467</v>
      </c>
      <c r="G23" s="984"/>
    </row>
    <row r="24" spans="1:13">
      <c r="A24" s="3662"/>
      <c r="B24" s="3665"/>
      <c r="C24" s="3015" t="s">
        <v>2468</v>
      </c>
      <c r="D24" s="3016"/>
      <c r="E24" s="3017">
        <v>0.8</v>
      </c>
      <c r="F24" s="3014" t="s">
        <v>2469</v>
      </c>
      <c r="G24" s="984"/>
    </row>
    <row r="25" spans="1:13" ht="15" thickBot="1">
      <c r="A25" s="3663"/>
      <c r="B25" s="3666"/>
      <c r="C25" s="3018" t="s">
        <v>2470</v>
      </c>
      <c r="D25" s="3019"/>
      <c r="E25" s="3020">
        <v>0.8</v>
      </c>
      <c r="F25" s="3014" t="s">
        <v>2471</v>
      </c>
      <c r="G25" s="984"/>
    </row>
    <row r="26" spans="1:13" ht="15" thickBot="1">
      <c r="A26" s="3021" t="s">
        <v>2450</v>
      </c>
      <c r="B26" s="3022" t="s">
        <v>2459</v>
      </c>
      <c r="C26" s="3023" t="s">
        <v>2472</v>
      </c>
      <c r="D26" s="3024"/>
      <c r="E26" s="3025">
        <v>1</v>
      </c>
      <c r="F26" s="3014" t="s">
        <v>2473</v>
      </c>
      <c r="G26" s="984"/>
    </row>
    <row r="27" spans="1:13">
      <c r="A27" s="3667" t="s">
        <v>2454</v>
      </c>
      <c r="B27" s="3664" t="s">
        <v>2454</v>
      </c>
      <c r="C27" s="3011" t="s">
        <v>2474</v>
      </c>
      <c r="D27" s="3012"/>
      <c r="E27" s="3013">
        <v>1</v>
      </c>
      <c r="F27" s="3014" t="s">
        <v>2475</v>
      </c>
      <c r="G27" s="984"/>
    </row>
    <row r="28" spans="1:13">
      <c r="A28" s="3668"/>
      <c r="B28" s="3665"/>
      <c r="C28" s="3015" t="s">
        <v>2476</v>
      </c>
      <c r="D28" s="3016"/>
      <c r="E28" s="3017">
        <v>1</v>
      </c>
      <c r="F28" s="3014" t="s">
        <v>2477</v>
      </c>
      <c r="G28" s="984"/>
    </row>
    <row r="29" spans="1:13">
      <c r="A29" s="3668"/>
      <c r="B29" s="3665"/>
      <c r="C29" s="3015" t="s">
        <v>2478</v>
      </c>
      <c r="D29" s="3016"/>
      <c r="E29" s="3017">
        <v>0.8</v>
      </c>
      <c r="F29" s="3014" t="s">
        <v>2479</v>
      </c>
      <c r="G29" s="984"/>
    </row>
    <row r="30" spans="1:13">
      <c r="A30" s="3668"/>
      <c r="B30" s="3665"/>
      <c r="C30" s="3015" t="s">
        <v>2480</v>
      </c>
      <c r="D30" s="3016"/>
      <c r="E30" s="3017">
        <v>0.8</v>
      </c>
      <c r="F30" s="3014" t="s">
        <v>2481</v>
      </c>
      <c r="G30" s="984"/>
    </row>
    <row r="31" spans="1:13">
      <c r="A31" s="3668"/>
      <c r="B31" s="3665"/>
      <c r="C31" s="3015" t="s">
        <v>2482</v>
      </c>
      <c r="D31" s="3016"/>
      <c r="E31" s="3017">
        <v>0.8</v>
      </c>
      <c r="F31" s="3014" t="s">
        <v>2483</v>
      </c>
      <c r="G31" s="984"/>
    </row>
    <row r="32" spans="1:13">
      <c r="A32" s="3668"/>
      <c r="B32" s="3665"/>
      <c r="C32" s="3015" t="s">
        <v>2484</v>
      </c>
      <c r="D32" s="3016"/>
      <c r="E32" s="3017">
        <v>0.7</v>
      </c>
      <c r="F32" s="3014" t="s">
        <v>2485</v>
      </c>
      <c r="G32" s="984"/>
    </row>
    <row r="33" spans="1:7">
      <c r="A33" s="3668"/>
      <c r="B33" s="3665"/>
      <c r="C33" s="3015" t="s">
        <v>2486</v>
      </c>
      <c r="D33" s="3016"/>
      <c r="E33" s="3017">
        <v>0.8</v>
      </c>
      <c r="F33" s="3014" t="s">
        <v>2487</v>
      </c>
      <c r="G33" s="984"/>
    </row>
    <row r="34" spans="1:7">
      <c r="A34" s="3668"/>
      <c r="B34" s="3665"/>
      <c r="C34" s="3015" t="s">
        <v>2488</v>
      </c>
      <c r="D34" s="3016"/>
      <c r="E34" s="3017">
        <v>0.6</v>
      </c>
      <c r="F34" s="3014" t="s">
        <v>2489</v>
      </c>
      <c r="G34" s="984"/>
    </row>
    <row r="35" spans="1:7">
      <c r="A35" s="3668"/>
      <c r="B35" s="3665"/>
      <c r="C35" s="3015" t="s">
        <v>2490</v>
      </c>
      <c r="D35" s="3016"/>
      <c r="E35" s="3017">
        <v>0.2</v>
      </c>
      <c r="F35" s="3014" t="s">
        <v>2491</v>
      </c>
      <c r="G35" s="984"/>
    </row>
    <row r="36" spans="1:7">
      <c r="A36" s="3668"/>
      <c r="B36" s="3665"/>
      <c r="C36" s="3015" t="s">
        <v>2492</v>
      </c>
      <c r="D36" s="3016"/>
      <c r="E36" s="3017">
        <v>0.2</v>
      </c>
      <c r="F36" s="3014" t="s">
        <v>2493</v>
      </c>
      <c r="G36" s="984"/>
    </row>
    <row r="37" spans="1:7">
      <c r="A37" s="3668"/>
      <c r="B37" s="3670" t="s">
        <v>2494</v>
      </c>
      <c r="C37" s="3015" t="s">
        <v>2495</v>
      </c>
      <c r="D37" s="3016"/>
      <c r="E37" s="3017">
        <v>0.6</v>
      </c>
      <c r="F37" s="3014" t="s">
        <v>2496</v>
      </c>
      <c r="G37" s="984"/>
    </row>
    <row r="38" spans="1:7">
      <c r="A38" s="3668"/>
      <c r="B38" s="3665"/>
      <c r="C38" s="3015" t="s">
        <v>2497</v>
      </c>
      <c r="D38" s="3016"/>
      <c r="E38" s="3017">
        <v>0.6</v>
      </c>
      <c r="F38" s="3014" t="s">
        <v>2498</v>
      </c>
      <c r="G38" s="984"/>
    </row>
    <row r="39" spans="1:7" ht="15" thickBot="1">
      <c r="A39" s="3669"/>
      <c r="B39" s="3666"/>
      <c r="C39" s="3018" t="s">
        <v>2499</v>
      </c>
      <c r="D39" s="3019"/>
      <c r="E39" s="3020">
        <v>0.6</v>
      </c>
      <c r="F39" s="3014" t="s">
        <v>2500</v>
      </c>
      <c r="G39" s="984"/>
    </row>
    <row r="40" spans="1:7" ht="15" thickBot="1">
      <c r="A40" s="3021" t="s">
        <v>2451</v>
      </c>
      <c r="B40" s="3022" t="s">
        <v>2451</v>
      </c>
      <c r="C40" s="3023" t="s">
        <v>2501</v>
      </c>
      <c r="D40" s="3024"/>
      <c r="E40" s="3025">
        <v>1</v>
      </c>
      <c r="F40" s="3014" t="s">
        <v>2502</v>
      </c>
      <c r="G40" s="984"/>
    </row>
    <row r="41" spans="1:7">
      <c r="A41" s="3661" t="s">
        <v>2452</v>
      </c>
      <c r="B41" s="3664" t="s">
        <v>2503</v>
      </c>
      <c r="C41" s="3011" t="s">
        <v>2504</v>
      </c>
      <c r="D41" s="3012"/>
      <c r="E41" s="3013">
        <v>1</v>
      </c>
      <c r="F41" s="3014" t="s">
        <v>2505</v>
      </c>
      <c r="G41" s="984"/>
    </row>
    <row r="42" spans="1:7">
      <c r="A42" s="3662"/>
      <c r="B42" s="3665"/>
      <c r="C42" s="3015" t="s">
        <v>2506</v>
      </c>
      <c r="D42" s="3016"/>
      <c r="E42" s="3017">
        <v>1</v>
      </c>
      <c r="F42" s="3014" t="s">
        <v>2507</v>
      </c>
      <c r="G42" s="984"/>
    </row>
    <row r="43" spans="1:7">
      <c r="A43" s="3662"/>
      <c r="B43" s="3671"/>
      <c r="C43" s="3015" t="s">
        <v>2508</v>
      </c>
      <c r="D43" s="3016"/>
      <c r="E43" s="3017">
        <v>1.5</v>
      </c>
      <c r="F43" s="3014" t="s">
        <v>2509</v>
      </c>
      <c r="G43" s="984"/>
    </row>
    <row r="44" spans="1:7">
      <c r="A44" s="3662"/>
      <c r="B44" s="3026" t="s">
        <v>2454</v>
      </c>
      <c r="C44" s="3015" t="s">
        <v>2453</v>
      </c>
      <c r="D44" s="3016"/>
      <c r="E44" s="3017">
        <v>2</v>
      </c>
      <c r="F44" s="3014" t="s">
        <v>2510</v>
      </c>
      <c r="G44" s="984"/>
    </row>
    <row r="45" spans="1:7">
      <c r="A45" s="3662"/>
      <c r="B45" s="3670" t="s">
        <v>2511</v>
      </c>
      <c r="C45" s="3015" t="s">
        <v>2512</v>
      </c>
      <c r="D45" s="3016"/>
      <c r="E45" s="3017">
        <v>1</v>
      </c>
      <c r="F45" s="3014" t="s">
        <v>2513</v>
      </c>
      <c r="G45" s="984"/>
    </row>
    <row r="46" spans="1:7">
      <c r="A46" s="3662"/>
      <c r="B46" s="3665"/>
      <c r="C46" s="3015" t="s">
        <v>2514</v>
      </c>
      <c r="D46" s="3016"/>
      <c r="E46" s="3017">
        <v>1</v>
      </c>
      <c r="F46" s="3014" t="s">
        <v>2515</v>
      </c>
      <c r="G46" s="984"/>
    </row>
    <row r="47" spans="1:7">
      <c r="A47" s="3662"/>
      <c r="B47" s="3665"/>
      <c r="C47" s="3015" t="s">
        <v>2516</v>
      </c>
      <c r="D47" s="3016"/>
      <c r="E47" s="3017">
        <v>1</v>
      </c>
      <c r="F47" s="3014" t="s">
        <v>2517</v>
      </c>
      <c r="G47" s="984"/>
    </row>
    <row r="48" spans="1:7">
      <c r="A48" s="3662"/>
      <c r="B48" s="3665"/>
      <c r="C48" s="3015" t="s">
        <v>2518</v>
      </c>
      <c r="D48" s="3016"/>
      <c r="E48" s="3017">
        <v>1</v>
      </c>
      <c r="F48" s="3014" t="s">
        <v>2519</v>
      </c>
      <c r="G48" s="984"/>
    </row>
    <row r="49" spans="1:9">
      <c r="A49" s="3662"/>
      <c r="B49" s="3665"/>
      <c r="C49" s="3015" t="s">
        <v>2520</v>
      </c>
      <c r="D49" s="3016"/>
      <c r="E49" s="3017">
        <v>1</v>
      </c>
      <c r="F49" s="3014" t="s">
        <v>2521</v>
      </c>
      <c r="G49" s="984"/>
    </row>
    <row r="50" spans="1:9">
      <c r="A50" s="3662"/>
      <c r="B50" s="3665"/>
      <c r="C50" s="3015" t="s">
        <v>2522</v>
      </c>
      <c r="D50" s="3016"/>
      <c r="E50" s="3017">
        <v>1</v>
      </c>
      <c r="F50" s="3014" t="s">
        <v>2523</v>
      </c>
      <c r="G50" s="984"/>
    </row>
    <row r="51" spans="1:9" ht="15" thickBot="1">
      <c r="A51" s="3663"/>
      <c r="B51" s="3666"/>
      <c r="C51" s="3018" t="s">
        <v>2524</v>
      </c>
      <c r="D51" s="3019"/>
      <c r="E51" s="3020">
        <v>1</v>
      </c>
      <c r="F51" s="3014" t="s">
        <v>2525</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2774</v>
      </c>
      <c r="F56" s="981" t="s">
        <v>2774</v>
      </c>
      <c r="G56" s="981" t="s">
        <v>2774</v>
      </c>
      <c r="I56" s="958"/>
    </row>
    <row r="57" spans="1:9">
      <c r="A57" s="998" t="s">
        <v>836</v>
      </c>
      <c r="B57" s="3004">
        <v>0.7</v>
      </c>
      <c r="C57" s="3004">
        <v>0.4</v>
      </c>
      <c r="D57" s="3004">
        <v>0.3</v>
      </c>
      <c r="E57" s="3010">
        <v>0.3</v>
      </c>
      <c r="F57" s="3004">
        <v>0.3</v>
      </c>
      <c r="G57" s="3004">
        <v>0.2</v>
      </c>
      <c r="I57" s="958"/>
    </row>
    <row r="58" spans="1:9">
      <c r="A58" s="998" t="s">
        <v>837</v>
      </c>
      <c r="B58" s="3004">
        <v>0.7</v>
      </c>
      <c r="C58" s="3004">
        <v>0.4</v>
      </c>
      <c r="D58" s="3004">
        <v>0.3</v>
      </c>
      <c r="E58" s="3004">
        <v>0.3</v>
      </c>
      <c r="F58" s="3004">
        <v>0.3</v>
      </c>
      <c r="G58" s="3004">
        <v>0.2</v>
      </c>
      <c r="I58" s="958"/>
    </row>
    <row r="59" spans="1:9">
      <c r="A59" s="998" t="s">
        <v>838</v>
      </c>
      <c r="B59" s="3004">
        <v>0.6</v>
      </c>
      <c r="C59" s="3004">
        <v>0.3</v>
      </c>
      <c r="D59" s="3004">
        <v>0.25</v>
      </c>
      <c r="E59" s="3004">
        <v>0.25</v>
      </c>
      <c r="F59" s="3004">
        <v>0.25</v>
      </c>
      <c r="G59" s="3004">
        <v>0.15</v>
      </c>
      <c r="I59" s="958"/>
    </row>
    <row r="60" spans="1:9">
      <c r="A60" s="998" t="s">
        <v>839</v>
      </c>
      <c r="B60" s="3004">
        <v>0.6</v>
      </c>
      <c r="C60" s="3004">
        <v>0.3</v>
      </c>
      <c r="D60" s="3004">
        <v>0.25</v>
      </c>
      <c r="E60" s="3004">
        <v>0.25</v>
      </c>
      <c r="F60" s="3004">
        <v>0.25</v>
      </c>
      <c r="G60" s="3004">
        <v>0.15</v>
      </c>
      <c r="I60" s="958"/>
    </row>
    <row r="61" spans="1:9" s="974" customFormat="1">
      <c r="A61" s="998" t="s">
        <v>840</v>
      </c>
      <c r="B61" s="3004">
        <v>0.6</v>
      </c>
      <c r="C61" s="3004">
        <v>0.3</v>
      </c>
      <c r="D61" s="3004">
        <v>0.25</v>
      </c>
      <c r="E61" s="3004">
        <v>0.25</v>
      </c>
      <c r="F61" s="3004">
        <v>0.25</v>
      </c>
      <c r="G61" s="3004">
        <v>0.15</v>
      </c>
    </row>
    <row r="62" spans="1:9" s="974" customFormat="1">
      <c r="A62" s="998" t="s">
        <v>841</v>
      </c>
      <c r="B62" s="3004">
        <v>0.6</v>
      </c>
      <c r="C62" s="3004">
        <v>0.3</v>
      </c>
      <c r="D62" s="3004">
        <v>0.25</v>
      </c>
      <c r="E62" s="3004">
        <v>0.25</v>
      </c>
      <c r="F62" s="3004">
        <v>0.25</v>
      </c>
      <c r="G62" s="3004">
        <v>0.15</v>
      </c>
    </row>
    <row r="63" spans="1:9" s="974" customFormat="1">
      <c r="A63" s="998" t="s">
        <v>842</v>
      </c>
      <c r="B63" s="3004">
        <v>0.6</v>
      </c>
      <c r="C63" s="3004">
        <v>0.3</v>
      </c>
      <c r="D63" s="3004">
        <v>0.25</v>
      </c>
      <c r="E63" s="3004">
        <v>0.25</v>
      </c>
      <c r="F63" s="3004">
        <v>0.25</v>
      </c>
      <c r="G63" s="3004">
        <v>0.15</v>
      </c>
    </row>
    <row r="64" spans="1:9" s="974" customFormat="1">
      <c r="A64" s="998" t="s">
        <v>843</v>
      </c>
      <c r="B64" s="3004">
        <v>0.5</v>
      </c>
      <c r="C64" s="3004">
        <v>0.2</v>
      </c>
      <c r="D64" s="3004">
        <v>0.2</v>
      </c>
      <c r="E64" s="3004">
        <v>0.2</v>
      </c>
      <c r="F64" s="3004">
        <v>0.2</v>
      </c>
      <c r="G64" s="3004">
        <v>0.1</v>
      </c>
    </row>
    <row r="65" spans="1:8" s="974" customFormat="1">
      <c r="A65" s="998" t="s">
        <v>844</v>
      </c>
      <c r="B65" s="3004">
        <v>0.5</v>
      </c>
      <c r="C65" s="3004">
        <v>0.2</v>
      </c>
      <c r="D65" s="3004">
        <v>0.2</v>
      </c>
      <c r="E65" s="3004">
        <v>0.2</v>
      </c>
      <c r="F65" s="3004">
        <v>0.2</v>
      </c>
      <c r="G65" s="3004">
        <v>0.1</v>
      </c>
    </row>
    <row r="66" spans="1:8" s="974" customFormat="1">
      <c r="A66" s="998" t="s">
        <v>845</v>
      </c>
      <c r="B66" s="3004">
        <v>0.5</v>
      </c>
      <c r="C66" s="3004">
        <v>0.2</v>
      </c>
      <c r="D66" s="3004">
        <v>0.2</v>
      </c>
      <c r="E66" s="3004">
        <v>0.2</v>
      </c>
      <c r="F66" s="3004">
        <v>0.2</v>
      </c>
      <c r="G66" s="3004">
        <v>0.1</v>
      </c>
    </row>
    <row r="67" spans="1:8" s="974" customFormat="1">
      <c r="A67" s="998" t="s">
        <v>846</v>
      </c>
      <c r="B67" s="3004">
        <v>0.5</v>
      </c>
      <c r="C67" s="3004">
        <v>0.2</v>
      </c>
      <c r="D67" s="3004">
        <v>0.2</v>
      </c>
      <c r="E67" s="3004">
        <v>0.2</v>
      </c>
      <c r="F67" s="3004">
        <v>0.2</v>
      </c>
      <c r="G67" s="3004">
        <v>0.1</v>
      </c>
    </row>
    <row r="68" spans="1:8" s="974" customFormat="1">
      <c r="A68" s="998" t="s">
        <v>847</v>
      </c>
      <c r="B68" s="3004">
        <v>0.5</v>
      </c>
      <c r="C68" s="3004">
        <v>0.2</v>
      </c>
      <c r="D68" s="3004">
        <v>0.2</v>
      </c>
      <c r="E68" s="3004">
        <v>0.2</v>
      </c>
      <c r="F68" s="3004">
        <v>0.2</v>
      </c>
      <c r="G68" s="3004">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2526</v>
      </c>
      <c r="D72" s="1000"/>
      <c r="E72" s="988" t="s">
        <v>1159</v>
      </c>
      <c r="F72" s="1000" t="s">
        <v>1159</v>
      </c>
    </row>
    <row r="73" spans="1:8" s="974" customFormat="1" ht="24">
      <c r="A73" s="3026">
        <v>1</v>
      </c>
      <c r="B73" s="3670" t="s">
        <v>2527</v>
      </c>
      <c r="C73" s="3004" t="s">
        <v>2528</v>
      </c>
      <c r="D73" s="3004" t="s">
        <v>2529</v>
      </c>
      <c r="E73" s="3027">
        <v>0.2</v>
      </c>
      <c r="F73" s="3026">
        <v>25</v>
      </c>
      <c r="H73" s="974">
        <f>SUMIF(C71:C139,基准地价!C8,E71:E139)</f>
        <v>0</v>
      </c>
    </row>
    <row r="74" spans="1:8" s="974" customFormat="1" ht="36">
      <c r="A74" s="3026">
        <v>2</v>
      </c>
      <c r="B74" s="3665"/>
      <c r="C74" s="3004" t="s">
        <v>2530</v>
      </c>
      <c r="D74" s="3004" t="s">
        <v>2531</v>
      </c>
      <c r="E74" s="3027">
        <v>0.2</v>
      </c>
      <c r="F74" s="3026">
        <v>25</v>
      </c>
    </row>
    <row r="75" spans="1:8" s="974" customFormat="1" ht="24">
      <c r="A75" s="3026">
        <v>3</v>
      </c>
      <c r="B75" s="3665"/>
      <c r="C75" s="3004" t="s">
        <v>2532</v>
      </c>
      <c r="D75" s="3004" t="s">
        <v>2533</v>
      </c>
      <c r="E75" s="3027">
        <v>0.2</v>
      </c>
      <c r="F75" s="3026">
        <v>25</v>
      </c>
    </row>
    <row r="76" spans="1:8" s="974" customFormat="1" ht="24">
      <c r="A76" s="3026">
        <v>4</v>
      </c>
      <c r="B76" s="3665"/>
      <c r="C76" s="3004" t="s">
        <v>2534</v>
      </c>
      <c r="D76" s="3004" t="s">
        <v>2535</v>
      </c>
      <c r="E76" s="3027">
        <v>0.15</v>
      </c>
      <c r="F76" s="3026">
        <v>20</v>
      </c>
    </row>
    <row r="77" spans="1:8" s="974" customFormat="1" ht="24">
      <c r="A77" s="3026">
        <v>5</v>
      </c>
      <c r="B77" s="3665"/>
      <c r="C77" s="3004" t="s">
        <v>2536</v>
      </c>
      <c r="D77" s="3004" t="s">
        <v>2537</v>
      </c>
      <c r="E77" s="3027">
        <v>0.15</v>
      </c>
      <c r="F77" s="3026">
        <v>20</v>
      </c>
    </row>
    <row r="78" spans="1:8" s="974" customFormat="1" ht="24">
      <c r="A78" s="3026">
        <v>6</v>
      </c>
      <c r="B78" s="3665"/>
      <c r="C78" s="3004" t="s">
        <v>2538</v>
      </c>
      <c r="D78" s="3004" t="s">
        <v>2539</v>
      </c>
      <c r="E78" s="3027">
        <v>0.15</v>
      </c>
      <c r="F78" s="3026">
        <v>20</v>
      </c>
    </row>
    <row r="79" spans="1:8" s="974" customFormat="1" ht="36">
      <c r="A79" s="3026">
        <v>7</v>
      </c>
      <c r="B79" s="3665"/>
      <c r="C79" s="3004" t="s">
        <v>2540</v>
      </c>
      <c r="D79" s="3004" t="s">
        <v>2541</v>
      </c>
      <c r="E79" s="3027">
        <v>0.15</v>
      </c>
      <c r="F79" s="3026">
        <v>20</v>
      </c>
    </row>
    <row r="80" spans="1:8" s="974" customFormat="1" ht="24">
      <c r="A80" s="3026">
        <v>8</v>
      </c>
      <c r="B80" s="3665"/>
      <c r="C80" s="3004" t="s">
        <v>2542</v>
      </c>
      <c r="D80" s="3004" t="s">
        <v>2543</v>
      </c>
      <c r="E80" s="3027">
        <v>0.1</v>
      </c>
      <c r="F80" s="3026">
        <v>15</v>
      </c>
    </row>
    <row r="81" spans="1:6" s="974" customFormat="1" ht="24">
      <c r="A81" s="3026">
        <v>9</v>
      </c>
      <c r="B81" s="3665"/>
      <c r="C81" s="3004" t="s">
        <v>2544</v>
      </c>
      <c r="D81" s="3004" t="s">
        <v>2545</v>
      </c>
      <c r="E81" s="3027">
        <v>0.1</v>
      </c>
      <c r="F81" s="3026">
        <v>15</v>
      </c>
    </row>
    <row r="82" spans="1:6" s="974" customFormat="1" ht="24">
      <c r="A82" s="3026">
        <v>10</v>
      </c>
      <c r="B82" s="3665"/>
      <c r="C82" s="3004" t="s">
        <v>2546</v>
      </c>
      <c r="D82" s="3004" t="s">
        <v>2547</v>
      </c>
      <c r="E82" s="3027">
        <v>0.1</v>
      </c>
      <c r="F82" s="3026">
        <v>15</v>
      </c>
    </row>
    <row r="83" spans="1:6" s="974" customFormat="1" ht="36">
      <c r="A83" s="3026">
        <v>11</v>
      </c>
      <c r="B83" s="3665"/>
      <c r="C83" s="3004" t="s">
        <v>2548</v>
      </c>
      <c r="D83" s="3004" t="s">
        <v>2549</v>
      </c>
      <c r="E83" s="3027">
        <v>0.1</v>
      </c>
      <c r="F83" s="3026">
        <v>15</v>
      </c>
    </row>
    <row r="84" spans="1:6" s="974" customFormat="1" ht="36">
      <c r="A84" s="3026">
        <v>12</v>
      </c>
      <c r="B84" s="3665"/>
      <c r="C84" s="3004" t="s">
        <v>2550</v>
      </c>
      <c r="D84" s="3004" t="s">
        <v>2551</v>
      </c>
      <c r="E84" s="3027">
        <v>0.1</v>
      </c>
      <c r="F84" s="3026">
        <v>15</v>
      </c>
    </row>
    <row r="85" spans="1:6" s="974" customFormat="1" ht="24">
      <c r="A85" s="3026">
        <v>13</v>
      </c>
      <c r="B85" s="3665"/>
      <c r="C85" s="3004" t="s">
        <v>2552</v>
      </c>
      <c r="D85" s="3004" t="s">
        <v>2553</v>
      </c>
      <c r="E85" s="3027">
        <v>0.1</v>
      </c>
      <c r="F85" s="3026">
        <v>15</v>
      </c>
    </row>
    <row r="86" spans="1:6" s="974" customFormat="1" ht="24">
      <c r="A86" s="3026">
        <v>14</v>
      </c>
      <c r="B86" s="3665"/>
      <c r="C86" s="3004" t="s">
        <v>2554</v>
      </c>
      <c r="D86" s="3004" t="s">
        <v>2555</v>
      </c>
      <c r="E86" s="3027">
        <v>0.1</v>
      </c>
      <c r="F86" s="3026">
        <v>15</v>
      </c>
    </row>
    <row r="87" spans="1:6" s="974" customFormat="1" ht="24">
      <c r="A87" s="3026">
        <v>15</v>
      </c>
      <c r="B87" s="3665"/>
      <c r="C87" s="3004" t="s">
        <v>2556</v>
      </c>
      <c r="D87" s="3004" t="s">
        <v>2557</v>
      </c>
      <c r="E87" s="3027">
        <v>0.1</v>
      </c>
      <c r="F87" s="3026">
        <v>15</v>
      </c>
    </row>
    <row r="88" spans="1:6" s="974" customFormat="1" ht="24">
      <c r="A88" s="3026">
        <v>16</v>
      </c>
      <c r="B88" s="3665"/>
      <c r="C88" s="3004" t="s">
        <v>2558</v>
      </c>
      <c r="D88" s="3004" t="s">
        <v>2559</v>
      </c>
      <c r="E88" s="3027">
        <v>0.1</v>
      </c>
      <c r="F88" s="3026">
        <v>15</v>
      </c>
    </row>
    <row r="89" spans="1:6" s="974" customFormat="1" ht="36">
      <c r="A89" s="3026">
        <v>17</v>
      </c>
      <c r="B89" s="3671"/>
      <c r="C89" s="3004" t="s">
        <v>2560</v>
      </c>
      <c r="D89" s="3004" t="s">
        <v>2561</v>
      </c>
      <c r="E89" s="3027">
        <v>0.1</v>
      </c>
      <c r="F89" s="3026">
        <v>15</v>
      </c>
    </row>
    <row r="90" spans="1:6" s="974" customFormat="1" ht="24">
      <c r="A90" s="3026">
        <v>18</v>
      </c>
      <c r="B90" s="3670" t="s">
        <v>2562</v>
      </c>
      <c r="C90" s="3004" t="s">
        <v>2563</v>
      </c>
      <c r="D90" s="3004" t="s">
        <v>2564</v>
      </c>
      <c r="E90" s="3027">
        <v>0.2</v>
      </c>
      <c r="F90" s="3026">
        <v>25</v>
      </c>
    </row>
    <row r="91" spans="1:6" s="974" customFormat="1" ht="36">
      <c r="A91" s="3026">
        <v>19</v>
      </c>
      <c r="B91" s="3665"/>
      <c r="C91" s="3004" t="s">
        <v>2565</v>
      </c>
      <c r="D91" s="3004" t="s">
        <v>2566</v>
      </c>
      <c r="E91" s="3027">
        <v>0.2</v>
      </c>
      <c r="F91" s="3026">
        <v>25</v>
      </c>
    </row>
    <row r="92" spans="1:6" s="974" customFormat="1" ht="24">
      <c r="A92" s="3026">
        <v>20</v>
      </c>
      <c r="B92" s="3665"/>
      <c r="C92" s="3004" t="s">
        <v>2567</v>
      </c>
      <c r="D92" s="3004" t="s">
        <v>2568</v>
      </c>
      <c r="E92" s="3027">
        <v>0.15</v>
      </c>
      <c r="F92" s="3026">
        <v>20</v>
      </c>
    </row>
    <row r="93" spans="1:6" s="974" customFormat="1" ht="24">
      <c r="A93" s="3026">
        <v>21</v>
      </c>
      <c r="B93" s="3665"/>
      <c r="C93" s="3004" t="s">
        <v>2569</v>
      </c>
      <c r="D93" s="3004" t="s">
        <v>2570</v>
      </c>
      <c r="E93" s="3027">
        <v>0.15</v>
      </c>
      <c r="F93" s="3026">
        <v>20</v>
      </c>
    </row>
    <row r="94" spans="1:6" s="974" customFormat="1" ht="24">
      <c r="A94" s="3026">
        <v>22</v>
      </c>
      <c r="B94" s="3665"/>
      <c r="C94" s="3004" t="s">
        <v>2571</v>
      </c>
      <c r="D94" s="3004" t="s">
        <v>2572</v>
      </c>
      <c r="E94" s="3027">
        <v>0.15</v>
      </c>
      <c r="F94" s="3026">
        <v>20</v>
      </c>
    </row>
    <row r="95" spans="1:6" s="974" customFormat="1" ht="48">
      <c r="A95" s="3026">
        <v>23</v>
      </c>
      <c r="B95" s="3665"/>
      <c r="C95" s="3004" t="s">
        <v>2573</v>
      </c>
      <c r="D95" s="3004" t="s">
        <v>2574</v>
      </c>
      <c r="E95" s="3027">
        <v>0.15</v>
      </c>
      <c r="F95" s="3026">
        <v>20</v>
      </c>
    </row>
    <row r="96" spans="1:6" s="974" customFormat="1" ht="24">
      <c r="A96" s="3026">
        <v>24</v>
      </c>
      <c r="B96" s="3665"/>
      <c r="C96" s="3004" t="s">
        <v>2575</v>
      </c>
      <c r="D96" s="3004" t="s">
        <v>2576</v>
      </c>
      <c r="E96" s="3027">
        <v>0.1</v>
      </c>
      <c r="F96" s="3026">
        <v>15</v>
      </c>
    </row>
    <row r="97" spans="1:6" s="974" customFormat="1" ht="24">
      <c r="A97" s="3026">
        <v>25</v>
      </c>
      <c r="B97" s="3665"/>
      <c r="C97" s="3004" t="s">
        <v>2577</v>
      </c>
      <c r="D97" s="3004" t="s">
        <v>2578</v>
      </c>
      <c r="E97" s="3027">
        <v>0.1</v>
      </c>
      <c r="F97" s="3026">
        <v>15</v>
      </c>
    </row>
    <row r="98" spans="1:6" s="974" customFormat="1" ht="36">
      <c r="A98" s="3026">
        <v>26</v>
      </c>
      <c r="B98" s="3665"/>
      <c r="C98" s="3004" t="s">
        <v>2579</v>
      </c>
      <c r="D98" s="3004" t="s">
        <v>2580</v>
      </c>
      <c r="E98" s="3027">
        <v>0.1</v>
      </c>
      <c r="F98" s="3026">
        <v>15</v>
      </c>
    </row>
    <row r="99" spans="1:6" s="974" customFormat="1" ht="24">
      <c r="A99" s="3026">
        <v>27</v>
      </c>
      <c r="B99" s="3665"/>
      <c r="C99" s="3004" t="s">
        <v>2581</v>
      </c>
      <c r="D99" s="3004" t="s">
        <v>2582</v>
      </c>
      <c r="E99" s="3027">
        <v>0.1</v>
      </c>
      <c r="F99" s="3026">
        <v>15</v>
      </c>
    </row>
    <row r="100" spans="1:6" s="974" customFormat="1" ht="24">
      <c r="A100" s="3026">
        <v>28</v>
      </c>
      <c r="B100" s="3665"/>
      <c r="C100" s="3004" t="s">
        <v>2583</v>
      </c>
      <c r="D100" s="3004" t="s">
        <v>2584</v>
      </c>
      <c r="E100" s="3027">
        <v>0.1</v>
      </c>
      <c r="F100" s="3026">
        <v>15</v>
      </c>
    </row>
    <row r="101" spans="1:6" s="974" customFormat="1" ht="24">
      <c r="A101" s="3026">
        <v>29</v>
      </c>
      <c r="B101" s="3665"/>
      <c r="C101" s="3004" t="s">
        <v>2585</v>
      </c>
      <c r="D101" s="3004" t="s">
        <v>2586</v>
      </c>
      <c r="E101" s="3027">
        <v>0.1</v>
      </c>
      <c r="F101" s="3026">
        <v>15</v>
      </c>
    </row>
    <row r="102" spans="1:6" s="974" customFormat="1" ht="24">
      <c r="A102" s="3026">
        <v>30</v>
      </c>
      <c r="B102" s="3665"/>
      <c r="C102" s="3004" t="s">
        <v>2587</v>
      </c>
      <c r="D102" s="3004" t="s">
        <v>2588</v>
      </c>
      <c r="E102" s="3027">
        <v>0.1</v>
      </c>
      <c r="F102" s="3026">
        <v>15</v>
      </c>
    </row>
    <row r="103" spans="1:6" s="974" customFormat="1" ht="24">
      <c r="A103" s="3026">
        <v>31</v>
      </c>
      <c r="B103" s="3665"/>
      <c r="C103" s="3004" t="s">
        <v>2589</v>
      </c>
      <c r="D103" s="3004" t="s">
        <v>2590</v>
      </c>
      <c r="E103" s="3027">
        <v>0.1</v>
      </c>
      <c r="F103" s="3026">
        <v>15</v>
      </c>
    </row>
    <row r="104" spans="1:6" s="974" customFormat="1" ht="36">
      <c r="A104" s="3026">
        <v>32</v>
      </c>
      <c r="B104" s="3665"/>
      <c r="C104" s="3004" t="s">
        <v>2591</v>
      </c>
      <c r="D104" s="3004" t="s">
        <v>2592</v>
      </c>
      <c r="E104" s="3027">
        <v>0.1</v>
      </c>
      <c r="F104" s="3026">
        <v>15</v>
      </c>
    </row>
    <row r="105" spans="1:6" s="974" customFormat="1" ht="36">
      <c r="A105" s="3026">
        <v>33</v>
      </c>
      <c r="B105" s="3665"/>
      <c r="C105" s="3004" t="s">
        <v>2593</v>
      </c>
      <c r="D105" s="3004" t="s">
        <v>2594</v>
      </c>
      <c r="E105" s="3027">
        <v>0.1</v>
      </c>
      <c r="F105" s="3026">
        <v>15</v>
      </c>
    </row>
    <row r="106" spans="1:6" s="974" customFormat="1" ht="24">
      <c r="A106" s="3026">
        <v>34</v>
      </c>
      <c r="B106" s="3671"/>
      <c r="C106" s="3004" t="s">
        <v>2595</v>
      </c>
      <c r="D106" s="3004" t="s">
        <v>2596</v>
      </c>
      <c r="E106" s="3027">
        <v>0.1</v>
      </c>
      <c r="F106" s="3026">
        <v>15</v>
      </c>
    </row>
    <row r="107" spans="1:6" s="974" customFormat="1" ht="36">
      <c r="A107" s="3026">
        <v>35</v>
      </c>
      <c r="B107" s="3670" t="s">
        <v>2597</v>
      </c>
      <c r="C107" s="3026" t="s">
        <v>2598</v>
      </c>
      <c r="D107" s="3004" t="s">
        <v>2599</v>
      </c>
      <c r="E107" s="3027">
        <v>0.15</v>
      </c>
      <c r="F107" s="3026">
        <v>20</v>
      </c>
    </row>
    <row r="108" spans="1:6" s="974" customFormat="1" ht="24">
      <c r="A108" s="3026">
        <v>36</v>
      </c>
      <c r="B108" s="3665"/>
      <c r="C108" s="3026" t="s">
        <v>2600</v>
      </c>
      <c r="D108" s="3004" t="s">
        <v>2601</v>
      </c>
      <c r="E108" s="3027">
        <v>0.15</v>
      </c>
      <c r="F108" s="3026">
        <v>20</v>
      </c>
    </row>
    <row r="109" spans="1:6" s="974" customFormat="1" ht="24">
      <c r="A109" s="3026">
        <v>37</v>
      </c>
      <c r="B109" s="3665"/>
      <c r="C109" s="3026" t="s">
        <v>2602</v>
      </c>
      <c r="D109" s="3004" t="s">
        <v>2603</v>
      </c>
      <c r="E109" s="3027">
        <v>0.15</v>
      </c>
      <c r="F109" s="3026">
        <v>20</v>
      </c>
    </row>
    <row r="110" spans="1:6" s="974" customFormat="1" ht="24">
      <c r="A110" s="3026">
        <v>38</v>
      </c>
      <c r="B110" s="3665"/>
      <c r="C110" s="3026" t="s">
        <v>2604</v>
      </c>
      <c r="D110" s="3004" t="s">
        <v>2605</v>
      </c>
      <c r="E110" s="3027">
        <v>0.1</v>
      </c>
      <c r="F110" s="3026">
        <v>15</v>
      </c>
    </row>
    <row r="111" spans="1:6" s="974" customFormat="1" ht="24">
      <c r="A111" s="3026">
        <v>39</v>
      </c>
      <c r="B111" s="3665"/>
      <c r="C111" s="3026" t="s">
        <v>2606</v>
      </c>
      <c r="D111" s="3004" t="s">
        <v>2607</v>
      </c>
      <c r="E111" s="3027">
        <v>0.1</v>
      </c>
      <c r="F111" s="3026">
        <v>15</v>
      </c>
    </row>
    <row r="112" spans="1:6" s="974" customFormat="1" ht="24">
      <c r="A112" s="3026">
        <v>40</v>
      </c>
      <c r="B112" s="3671"/>
      <c r="C112" s="3026" t="s">
        <v>2608</v>
      </c>
      <c r="D112" s="3004" t="s">
        <v>2609</v>
      </c>
      <c r="E112" s="3027">
        <v>0.1</v>
      </c>
      <c r="F112" s="3026">
        <v>15</v>
      </c>
    </row>
    <row r="113" spans="1:6" s="974" customFormat="1" ht="24">
      <c r="A113" s="3026">
        <v>41</v>
      </c>
      <c r="B113" s="3672" t="s">
        <v>2610</v>
      </c>
      <c r="C113" s="3026" t="s">
        <v>2611</v>
      </c>
      <c r="D113" s="3004" t="s">
        <v>2612</v>
      </c>
      <c r="E113" s="3027">
        <v>0.1</v>
      </c>
      <c r="F113" s="3026">
        <v>15</v>
      </c>
    </row>
    <row r="114" spans="1:6" s="974" customFormat="1" ht="24">
      <c r="A114" s="3026">
        <v>42</v>
      </c>
      <c r="B114" s="3672"/>
      <c r="C114" s="3026" t="s">
        <v>2613</v>
      </c>
      <c r="D114" s="3004" t="s">
        <v>2614</v>
      </c>
      <c r="E114" s="3027">
        <v>0.1</v>
      </c>
      <c r="F114" s="3026">
        <v>15</v>
      </c>
    </row>
    <row r="115" spans="1:6" s="974" customFormat="1" ht="24">
      <c r="A115" s="3026">
        <v>43</v>
      </c>
      <c r="B115" s="3672"/>
      <c r="C115" s="3026" t="s">
        <v>2615</v>
      </c>
      <c r="D115" s="3004" t="s">
        <v>2616</v>
      </c>
      <c r="E115" s="3027">
        <v>0.1</v>
      </c>
      <c r="F115" s="3026">
        <v>15</v>
      </c>
    </row>
    <row r="116" spans="1:6" s="974" customFormat="1" ht="24">
      <c r="A116" s="3026">
        <v>44</v>
      </c>
      <c r="B116" s="3670" t="s">
        <v>2617</v>
      </c>
      <c r="C116" s="3026" t="s">
        <v>2618</v>
      </c>
      <c r="D116" s="3004" t="s">
        <v>2619</v>
      </c>
      <c r="E116" s="3027">
        <v>0.1</v>
      </c>
      <c r="F116" s="3026">
        <v>15</v>
      </c>
    </row>
    <row r="117" spans="1:6" s="974" customFormat="1" ht="24">
      <c r="A117" s="3026">
        <v>45</v>
      </c>
      <c r="B117" s="3671"/>
      <c r="C117" s="3004" t="s">
        <v>2620</v>
      </c>
      <c r="D117" s="3004" t="s">
        <v>2621</v>
      </c>
      <c r="E117" s="3027">
        <v>0.1</v>
      </c>
      <c r="F117" s="3026">
        <v>15</v>
      </c>
    </row>
    <row r="118" spans="1:6" s="974" customFormat="1" ht="24">
      <c r="A118" s="3026">
        <v>46</v>
      </c>
      <c r="B118" s="3670" t="s">
        <v>2622</v>
      </c>
      <c r="C118" s="3026" t="s">
        <v>2623</v>
      </c>
      <c r="D118" s="3004" t="s">
        <v>2624</v>
      </c>
      <c r="E118" s="3027">
        <v>0.1</v>
      </c>
      <c r="F118" s="3026">
        <v>15</v>
      </c>
    </row>
    <row r="119" spans="1:6" s="974" customFormat="1" ht="24">
      <c r="A119" s="3026">
        <v>47</v>
      </c>
      <c r="B119" s="3671"/>
      <c r="C119" s="3026" t="s">
        <v>2625</v>
      </c>
      <c r="D119" s="3004" t="s">
        <v>2626</v>
      </c>
      <c r="E119" s="3027">
        <v>0.1</v>
      </c>
      <c r="F119" s="3026">
        <v>15</v>
      </c>
    </row>
    <row r="120" spans="1:6" s="974" customFormat="1" ht="24">
      <c r="A120" s="3026">
        <v>48</v>
      </c>
      <c r="B120" s="3670" t="s">
        <v>2627</v>
      </c>
      <c r="C120" s="3026" t="s">
        <v>2628</v>
      </c>
      <c r="D120" s="3004" t="s">
        <v>2629</v>
      </c>
      <c r="E120" s="3027">
        <v>0.1</v>
      </c>
      <c r="F120" s="3026">
        <v>15</v>
      </c>
    </row>
    <row r="121" spans="1:6" s="974" customFormat="1" ht="24">
      <c r="A121" s="3026">
        <v>49</v>
      </c>
      <c r="B121" s="3671"/>
      <c r="C121" s="3026" t="s">
        <v>2630</v>
      </c>
      <c r="D121" s="3004" t="s">
        <v>2631</v>
      </c>
      <c r="E121" s="3027">
        <v>0.1</v>
      </c>
      <c r="F121" s="3026">
        <v>15</v>
      </c>
    </row>
    <row r="122" spans="1:6" s="974" customFormat="1" ht="24">
      <c r="A122" s="3026">
        <v>50</v>
      </c>
      <c r="B122" s="3672" t="s">
        <v>2632</v>
      </c>
      <c r="C122" s="3026" t="s">
        <v>2633</v>
      </c>
      <c r="D122" s="3004" t="s">
        <v>2634</v>
      </c>
      <c r="E122" s="3027">
        <v>0.1</v>
      </c>
      <c r="F122" s="3026">
        <v>15</v>
      </c>
    </row>
    <row r="123" spans="1:6" s="974" customFormat="1" ht="24">
      <c r="A123" s="3026">
        <v>51</v>
      </c>
      <c r="B123" s="3672"/>
      <c r="C123" s="3026" t="s">
        <v>2635</v>
      </c>
      <c r="D123" s="3004" t="s">
        <v>2636</v>
      </c>
      <c r="E123" s="3027">
        <v>0.1</v>
      </c>
      <c r="F123" s="3026">
        <v>15</v>
      </c>
    </row>
    <row r="124" spans="1:6" s="974" customFormat="1" ht="24">
      <c r="A124" s="3026">
        <v>52</v>
      </c>
      <c r="B124" s="3672" t="s">
        <v>2637</v>
      </c>
      <c r="C124" s="3026" t="s">
        <v>2638</v>
      </c>
      <c r="D124" s="3004" t="s">
        <v>2639</v>
      </c>
      <c r="E124" s="3027">
        <v>0.1</v>
      </c>
      <c r="F124" s="3026">
        <v>15</v>
      </c>
    </row>
    <row r="125" spans="1:6" s="974" customFormat="1" ht="24">
      <c r="A125" s="3026">
        <v>53</v>
      </c>
      <c r="B125" s="3672"/>
      <c r="C125" s="3026" t="s">
        <v>2640</v>
      </c>
      <c r="D125" s="3004" t="s">
        <v>2641</v>
      </c>
      <c r="E125" s="3027">
        <v>0.1</v>
      </c>
      <c r="F125" s="3026">
        <v>15</v>
      </c>
    </row>
    <row r="126" spans="1:6" ht="24">
      <c r="A126" s="3026">
        <v>54</v>
      </c>
      <c r="B126" s="3026" t="s">
        <v>2642</v>
      </c>
      <c r="C126" s="3026" t="s">
        <v>2643</v>
      </c>
      <c r="D126" s="3004" t="s">
        <v>2644</v>
      </c>
      <c r="E126" s="3027">
        <v>0.1</v>
      </c>
      <c r="F126" s="3026">
        <v>15</v>
      </c>
    </row>
    <row r="127" spans="1:6" ht="24">
      <c r="A127" s="3026">
        <v>55</v>
      </c>
      <c r="B127" s="3672" t="s">
        <v>2645</v>
      </c>
      <c r="C127" s="3026" t="s">
        <v>2646</v>
      </c>
      <c r="D127" s="3004" t="s">
        <v>2647</v>
      </c>
      <c r="E127" s="3027">
        <v>0.1</v>
      </c>
      <c r="F127" s="3026">
        <v>15</v>
      </c>
    </row>
    <row r="128" spans="1:6" ht="24">
      <c r="A128" s="3026">
        <v>56</v>
      </c>
      <c r="B128" s="3672"/>
      <c r="C128" s="3026" t="s">
        <v>2648</v>
      </c>
      <c r="D128" s="3004" t="s">
        <v>2649</v>
      </c>
      <c r="E128" s="3027">
        <v>0.1</v>
      </c>
      <c r="F128" s="3026">
        <v>15</v>
      </c>
    </row>
    <row r="129" spans="1:14" ht="24">
      <c r="A129" s="3026">
        <v>57</v>
      </c>
      <c r="B129" s="3672"/>
      <c r="C129" s="3026" t="s">
        <v>2650</v>
      </c>
      <c r="D129" s="3004" t="s">
        <v>2651</v>
      </c>
      <c r="E129" s="3027">
        <v>0.1</v>
      </c>
      <c r="F129" s="3026">
        <v>15</v>
      </c>
    </row>
    <row r="130" spans="1:14" ht="24">
      <c r="A130" s="3026">
        <v>58</v>
      </c>
      <c r="B130" s="3672" t="s">
        <v>2652</v>
      </c>
      <c r="C130" s="3026" t="s">
        <v>2653</v>
      </c>
      <c r="D130" s="3004" t="s">
        <v>2654</v>
      </c>
      <c r="E130" s="3027">
        <v>0.1</v>
      </c>
      <c r="F130" s="3026">
        <v>15</v>
      </c>
    </row>
    <row r="131" spans="1:14" ht="24">
      <c r="A131" s="3026">
        <v>59</v>
      </c>
      <c r="B131" s="3672"/>
      <c r="C131" s="3026" t="s">
        <v>2655</v>
      </c>
      <c r="D131" s="3004" t="s">
        <v>2656</v>
      </c>
      <c r="E131" s="3027">
        <v>0.1</v>
      </c>
      <c r="F131" s="3026">
        <v>15</v>
      </c>
    </row>
    <row r="132" spans="1:14" ht="24">
      <c r="A132" s="3026">
        <v>60</v>
      </c>
      <c r="B132" s="3670" t="s">
        <v>2657</v>
      </c>
      <c r="C132" s="3026" t="s">
        <v>2658</v>
      </c>
      <c r="D132" s="3004" t="s">
        <v>2659</v>
      </c>
      <c r="E132" s="3027">
        <v>0.1</v>
      </c>
      <c r="F132" s="3026">
        <v>15</v>
      </c>
    </row>
    <row r="133" spans="1:14" ht="24">
      <c r="A133" s="3026">
        <v>61</v>
      </c>
      <c r="B133" s="3671"/>
      <c r="C133" s="3026" t="s">
        <v>2660</v>
      </c>
      <c r="D133" s="3004" t="s">
        <v>2661</v>
      </c>
      <c r="E133" s="3027">
        <v>0.1</v>
      </c>
      <c r="F133" s="3026">
        <v>15</v>
      </c>
    </row>
    <row r="134" spans="1:14" ht="24">
      <c r="A134" s="3026">
        <v>62</v>
      </c>
      <c r="B134" s="3026" t="s">
        <v>2662</v>
      </c>
      <c r="C134" s="3026" t="s">
        <v>2663</v>
      </c>
      <c r="D134" s="3004" t="s">
        <v>2664</v>
      </c>
      <c r="E134" s="3027">
        <v>0.1</v>
      </c>
      <c r="F134" s="3026">
        <v>15</v>
      </c>
    </row>
    <row r="135" spans="1:14" ht="24">
      <c r="A135" s="3026">
        <v>63</v>
      </c>
      <c r="B135" s="3672" t="s">
        <v>2665</v>
      </c>
      <c r="C135" s="3026" t="s">
        <v>2666</v>
      </c>
      <c r="D135" s="3004" t="s">
        <v>2667</v>
      </c>
      <c r="E135" s="3027">
        <v>0.1</v>
      </c>
      <c r="F135" s="3026">
        <v>15</v>
      </c>
    </row>
    <row r="136" spans="1:14" ht="24">
      <c r="A136" s="3026">
        <v>64</v>
      </c>
      <c r="B136" s="3672"/>
      <c r="C136" s="3026" t="s">
        <v>2668</v>
      </c>
      <c r="D136" s="3004" t="s">
        <v>2669</v>
      </c>
      <c r="E136" s="3027">
        <v>0.1</v>
      </c>
      <c r="F136" s="3026">
        <v>15</v>
      </c>
    </row>
    <row r="137" spans="1:14" ht="24">
      <c r="A137" s="3026">
        <v>65</v>
      </c>
      <c r="B137" s="3026" t="s">
        <v>2670</v>
      </c>
      <c r="C137" s="3026" t="s">
        <v>2671</v>
      </c>
      <c r="D137" s="3004" t="s">
        <v>2672</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8" customWidth="1"/>
    <col min="2" max="2" width="15" style="3168" customWidth="1"/>
    <col min="3" max="6" width="10.21875" style="3168" customWidth="1"/>
    <col min="7" max="7" width="9" style="3168"/>
    <col min="8" max="8" width="9" style="961"/>
    <col min="9" max="9" width="9" style="958"/>
    <col min="10" max="10" width="17.33203125" style="3193" customWidth="1"/>
    <col min="11" max="21" width="17.33203125" style="3168" customWidth="1"/>
    <col min="22" max="16384" width="9" style="958"/>
  </cols>
  <sheetData>
    <row r="1" spans="1:21">
      <c r="A1" s="3673" t="s">
        <v>2811</v>
      </c>
      <c r="B1" s="3673"/>
      <c r="C1" s="3673"/>
      <c r="D1" s="3673"/>
      <c r="E1" s="3673"/>
      <c r="F1" s="3673"/>
      <c r="G1" s="3674"/>
      <c r="I1" s="962"/>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5" thickBot="1">
      <c r="A2" s="3154" t="s">
        <v>2812</v>
      </c>
      <c r="B2" s="3154"/>
      <c r="C2" s="3154"/>
      <c r="D2" s="3154"/>
      <c r="E2" s="3154"/>
      <c r="F2" s="3154"/>
      <c r="G2" s="3149" t="s">
        <v>2813</v>
      </c>
      <c r="J2" s="3178" t="s">
        <v>2819</v>
      </c>
      <c r="K2" s="3158" t="s">
        <v>2821</v>
      </c>
      <c r="L2" s="3158" t="s">
        <v>2823</v>
      </c>
      <c r="M2" s="3158" t="s">
        <v>2829</v>
      </c>
      <c r="N2" s="3158" t="s">
        <v>2839</v>
      </c>
      <c r="O2" s="3158" t="s">
        <v>2854</v>
      </c>
      <c r="P2" s="3158" t="s">
        <v>2891</v>
      </c>
      <c r="Q2" s="3158" t="s">
        <v>2922</v>
      </c>
      <c r="R2" s="3158" t="s">
        <v>2950</v>
      </c>
      <c r="S2" s="3158" t="s">
        <v>2985</v>
      </c>
      <c r="T2" s="3158" t="s">
        <v>3005</v>
      </c>
      <c r="U2" s="3158" t="s">
        <v>3017</v>
      </c>
    </row>
    <row r="3" spans="1:21" s="962" customFormat="1" ht="19.5" customHeight="1">
      <c r="A3" s="3675" t="s">
        <v>2814</v>
      </c>
      <c r="B3" s="3150"/>
      <c r="C3" s="3151" t="s">
        <v>2792</v>
      </c>
      <c r="D3" s="3151" t="s">
        <v>2815</v>
      </c>
      <c r="E3" s="3151" t="s">
        <v>2794</v>
      </c>
      <c r="F3" s="3151" t="s">
        <v>2816</v>
      </c>
      <c r="G3" s="3151" t="s">
        <v>2737</v>
      </c>
      <c r="H3" s="965"/>
      <c r="J3" s="3178" t="s">
        <v>2820</v>
      </c>
      <c r="K3" s="3158" t="s">
        <v>973</v>
      </c>
      <c r="L3" s="3158" t="s">
        <v>974</v>
      </c>
      <c r="M3" s="3158" t="s">
        <v>975</v>
      </c>
      <c r="N3" s="3158" t="s">
        <v>976</v>
      </c>
      <c r="O3" s="3158" t="s">
        <v>977</v>
      </c>
      <c r="P3" s="3158" t="s">
        <v>978</v>
      </c>
      <c r="Q3" s="3158" t="s">
        <v>979</v>
      </c>
      <c r="R3" s="3158" t="s">
        <v>980</v>
      </c>
      <c r="S3" s="3158" t="s">
        <v>981</v>
      </c>
      <c r="T3" s="3158" t="s">
        <v>3006</v>
      </c>
      <c r="U3" s="3158" t="s">
        <v>3018</v>
      </c>
    </row>
    <row r="4" spans="1:21" s="962" customFormat="1" ht="19.5" customHeight="1" thickBot="1">
      <c r="A4" s="3676"/>
      <c r="B4" s="3152" t="s">
        <v>2817</v>
      </c>
      <c r="C4" s="3152" t="s">
        <v>2818</v>
      </c>
      <c r="D4" s="3152" t="s">
        <v>2818</v>
      </c>
      <c r="E4" s="3152" t="s">
        <v>2818</v>
      </c>
      <c r="F4" s="3153" t="s">
        <v>2818</v>
      </c>
      <c r="G4" s="3153" t="s">
        <v>2818</v>
      </c>
      <c r="H4" s="965"/>
      <c r="J4" s="3178" t="s">
        <v>982</v>
      </c>
      <c r="K4" s="3158" t="s">
        <v>983</v>
      </c>
      <c r="L4" s="3158" t="s">
        <v>984</v>
      </c>
      <c r="M4" s="3158" t="s">
        <v>985</v>
      </c>
      <c r="N4" s="3158" t="s">
        <v>986</v>
      </c>
      <c r="O4" s="3158" t="s">
        <v>987</v>
      </c>
      <c r="P4" s="3158" t="s">
        <v>988</v>
      </c>
      <c r="Q4" s="3158" t="s">
        <v>989</v>
      </c>
      <c r="R4" s="3158" t="s">
        <v>2951</v>
      </c>
      <c r="S4" s="3158" t="s">
        <v>2986</v>
      </c>
      <c r="T4" s="3158" t="s">
        <v>3007</v>
      </c>
      <c r="U4" s="3158" t="s">
        <v>3019</v>
      </c>
    </row>
    <row r="5" spans="1:21" ht="14.25" customHeight="1">
      <c r="A5" s="3155" t="s">
        <v>990</v>
      </c>
      <c r="B5" s="3156" t="s">
        <v>2819</v>
      </c>
      <c r="C5" s="3156">
        <v>34550</v>
      </c>
      <c r="D5" s="3156">
        <v>34470</v>
      </c>
      <c r="E5" s="3156">
        <v>34330</v>
      </c>
      <c r="F5" s="3157">
        <v>13400</v>
      </c>
      <c r="G5" s="3157">
        <v>25450</v>
      </c>
      <c r="H5" s="966" t="s">
        <v>961</v>
      </c>
      <c r="I5" s="967">
        <f>SUMPRODUCT((B5:B9=基准地价!I2)*(C3:G3=基准地价!E2)*(C5:G9))</f>
        <v>0</v>
      </c>
      <c r="J5" s="3178" t="s">
        <v>991</v>
      </c>
      <c r="K5" s="3158" t="s">
        <v>992</v>
      </c>
      <c r="L5" s="3158" t="s">
        <v>993</v>
      </c>
      <c r="M5" s="3158" t="s">
        <v>994</v>
      </c>
      <c r="N5" s="3158" t="s">
        <v>995</v>
      </c>
      <c r="O5" s="3158" t="s">
        <v>996</v>
      </c>
      <c r="P5" s="3158" t="s">
        <v>997</v>
      </c>
      <c r="Q5" s="3158" t="s">
        <v>998</v>
      </c>
      <c r="R5" s="3158" t="s">
        <v>2952</v>
      </c>
      <c r="S5" s="3158" t="s">
        <v>2987</v>
      </c>
      <c r="T5" s="3158" t="s">
        <v>999</v>
      </c>
      <c r="U5" s="3158" t="s">
        <v>3020</v>
      </c>
    </row>
    <row r="6" spans="1:21" ht="14.25" customHeight="1">
      <c r="A6" s="3158" t="s">
        <v>990</v>
      </c>
      <c r="B6" s="3158" t="s">
        <v>2820</v>
      </c>
      <c r="C6" s="3158">
        <v>36990</v>
      </c>
      <c r="D6" s="3158">
        <v>36850</v>
      </c>
      <c r="E6" s="3158">
        <v>36700</v>
      </c>
      <c r="F6" s="3159">
        <v>14590</v>
      </c>
      <c r="G6" s="3159">
        <v>27450</v>
      </c>
      <c r="H6" s="968" t="s">
        <v>1000</v>
      </c>
      <c r="I6" s="969">
        <f>SUMPRODUCT((B10:B29=基准地价!I2)*(C3:G3=基准地价!E2)*(C10:G29))</f>
        <v>0</v>
      </c>
      <c r="J6" s="3178" t="s">
        <v>1001</v>
      </c>
      <c r="K6" s="3158" t="s">
        <v>1002</v>
      </c>
      <c r="L6" s="3158" t="s">
        <v>1003</v>
      </c>
      <c r="M6" s="3158" t="s">
        <v>1004</v>
      </c>
      <c r="N6" s="3158" t="s">
        <v>1005</v>
      </c>
      <c r="O6" s="3158" t="s">
        <v>1006</v>
      </c>
      <c r="P6" s="3158" t="s">
        <v>1007</v>
      </c>
      <c r="Q6" s="3158" t="s">
        <v>2923</v>
      </c>
      <c r="R6" s="3158" t="s">
        <v>2953</v>
      </c>
      <c r="S6" s="3158" t="s">
        <v>1008</v>
      </c>
      <c r="T6" s="3158" t="s">
        <v>3008</v>
      </c>
      <c r="U6" s="3158" t="s">
        <v>3021</v>
      </c>
    </row>
    <row r="7" spans="1:21" ht="14.25" customHeight="1">
      <c r="A7" s="3158" t="s">
        <v>990</v>
      </c>
      <c r="B7" s="1217" t="s">
        <v>982</v>
      </c>
      <c r="C7" s="3158">
        <v>34850</v>
      </c>
      <c r="D7" s="3158">
        <v>34690</v>
      </c>
      <c r="E7" s="3158">
        <v>34550</v>
      </c>
      <c r="F7" s="3159">
        <v>14360</v>
      </c>
      <c r="G7" s="3159">
        <v>25620</v>
      </c>
      <c r="H7" s="968" t="s">
        <v>838</v>
      </c>
      <c r="I7" s="969">
        <f>SUMPRODUCT((B30:B54=基准地价!I2)*(C3:G3=基准地价!E2)*(C30:G54))</f>
        <v>0</v>
      </c>
      <c r="K7" s="3158" t="s">
        <v>1009</v>
      </c>
      <c r="L7" s="3158" t="s">
        <v>1010</v>
      </c>
      <c r="M7" s="3158" t="s">
        <v>1011</v>
      </c>
      <c r="N7" s="3158" t="s">
        <v>1012</v>
      </c>
      <c r="O7" s="3158" t="s">
        <v>1013</v>
      </c>
      <c r="P7" s="3158" t="s">
        <v>1014</v>
      </c>
      <c r="Q7" s="3158" t="s">
        <v>2924</v>
      </c>
      <c r="R7" s="3158" t="s">
        <v>2954</v>
      </c>
      <c r="S7" s="3158" t="s">
        <v>2988</v>
      </c>
      <c r="T7" s="3158" t="s">
        <v>3009</v>
      </c>
      <c r="U7" s="1217" t="s">
        <v>3022</v>
      </c>
    </row>
    <row r="8" spans="1:21" ht="14.25" customHeight="1">
      <c r="A8" s="3158" t="s">
        <v>990</v>
      </c>
      <c r="B8" s="3158" t="s">
        <v>991</v>
      </c>
      <c r="C8" s="3158">
        <v>32630</v>
      </c>
      <c r="D8" s="3158">
        <v>32510</v>
      </c>
      <c r="E8" s="3158">
        <v>32420</v>
      </c>
      <c r="F8" s="3159">
        <v>13300</v>
      </c>
      <c r="G8" s="3159">
        <v>24010</v>
      </c>
      <c r="H8" s="968" t="s">
        <v>839</v>
      </c>
      <c r="I8" s="969">
        <f>SUMPRODUCT((B55:B86=基准地价!I2)*(C3:G3=基准地价!E2)*(C55:G86))</f>
        <v>0</v>
      </c>
      <c r="K8" s="3158" t="s">
        <v>1015</v>
      </c>
      <c r="L8" s="3158" t="s">
        <v>1016</v>
      </c>
      <c r="M8" s="3158" t="s">
        <v>1017</v>
      </c>
      <c r="N8" s="3158" t="s">
        <v>1018</v>
      </c>
      <c r="O8" s="3158" t="s">
        <v>1019</v>
      </c>
      <c r="P8" s="3158" t="s">
        <v>1020</v>
      </c>
      <c r="Q8" s="3158" t="s">
        <v>2925</v>
      </c>
      <c r="R8" s="3158" t="s">
        <v>1021</v>
      </c>
      <c r="S8" s="3158" t="s">
        <v>2989</v>
      </c>
      <c r="T8" s="3158" t="s">
        <v>3010</v>
      </c>
      <c r="U8" s="3158" t="s">
        <v>3023</v>
      </c>
    </row>
    <row r="9" spans="1:21" ht="14.25" customHeight="1" thickBot="1">
      <c r="A9" s="3172" t="s">
        <v>990</v>
      </c>
      <c r="B9" s="3160" t="s">
        <v>1001</v>
      </c>
      <c r="C9" s="3161">
        <v>36370</v>
      </c>
      <c r="D9" s="3161">
        <v>36210</v>
      </c>
      <c r="E9" s="3161">
        <v>36050</v>
      </c>
      <c r="F9" s="3162"/>
      <c r="G9" s="3163">
        <v>26740</v>
      </c>
      <c r="H9" s="968" t="s">
        <v>840</v>
      </c>
      <c r="I9" s="969">
        <f>SUMPRODUCT((B87:B126=基准地价!I2)*(C3:G3=基准地价!E2)*(C87:G126))</f>
        <v>0</v>
      </c>
      <c r="K9" s="3158" t="s">
        <v>1022</v>
      </c>
      <c r="L9" s="3158" t="s">
        <v>1023</v>
      </c>
      <c r="M9" s="3158" t="s">
        <v>1024</v>
      </c>
      <c r="N9" s="3158" t="s">
        <v>1025</v>
      </c>
      <c r="O9" s="3158" t="s">
        <v>1026</v>
      </c>
      <c r="P9" s="3158" t="s">
        <v>1027</v>
      </c>
      <c r="Q9" s="3158" t="s">
        <v>2926</v>
      </c>
      <c r="R9" s="3158" t="s">
        <v>1029</v>
      </c>
      <c r="S9" s="3158" t="s">
        <v>1030</v>
      </c>
      <c r="T9" s="3158" t="s">
        <v>1047</v>
      </c>
    </row>
    <row r="10" spans="1:21" ht="14.25" customHeight="1">
      <c r="A10" s="3155" t="s">
        <v>1031</v>
      </c>
      <c r="B10" s="3156" t="s">
        <v>2821</v>
      </c>
      <c r="C10" s="3156">
        <v>32350</v>
      </c>
      <c r="D10" s="3156">
        <v>31430</v>
      </c>
      <c r="E10" s="3156">
        <v>31320</v>
      </c>
      <c r="F10" s="3157">
        <v>10850</v>
      </c>
      <c r="G10" s="3157">
        <v>22860</v>
      </c>
      <c r="H10" s="968" t="s">
        <v>841</v>
      </c>
      <c r="I10" s="969">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3011</v>
      </c>
    </row>
    <row r="11" spans="1:21" ht="14.25" customHeight="1">
      <c r="A11" s="3158" t="s">
        <v>1031</v>
      </c>
      <c r="B11" s="1217" t="s">
        <v>973</v>
      </c>
      <c r="C11" s="3158">
        <v>31590</v>
      </c>
      <c r="D11" s="3158">
        <v>29490</v>
      </c>
      <c r="E11" s="3158">
        <v>28700</v>
      </c>
      <c r="F11" s="3164">
        <v>10410</v>
      </c>
      <c r="G11" s="3164">
        <v>21460</v>
      </c>
      <c r="H11" s="968" t="s">
        <v>842</v>
      </c>
      <c r="I11" s="969">
        <f>SUMPRODUCT((B190:B233=基准地价!I2)*(C3:G3=基准地价!E2)*(C190:G233))</f>
        <v>0</v>
      </c>
      <c r="K11" s="3158" t="s">
        <v>1041</v>
      </c>
      <c r="L11" s="3158" t="s">
        <v>1042</v>
      </c>
      <c r="M11" s="3158" t="s">
        <v>1043</v>
      </c>
      <c r="N11" s="3158" t="s">
        <v>1044</v>
      </c>
      <c r="O11" s="3158" t="s">
        <v>1045</v>
      </c>
      <c r="P11" s="3158" t="s">
        <v>2892</v>
      </c>
      <c r="Q11" s="3158" t="s">
        <v>1038</v>
      </c>
      <c r="R11" s="3158" t="s">
        <v>1046</v>
      </c>
      <c r="S11" s="3158" t="s">
        <v>2990</v>
      </c>
      <c r="T11" s="3158" t="s">
        <v>3012</v>
      </c>
    </row>
    <row r="12" spans="1:21" ht="14.25" customHeight="1">
      <c r="A12" s="3158" t="s">
        <v>1031</v>
      </c>
      <c r="B12" s="1217" t="s">
        <v>983</v>
      </c>
      <c r="C12" s="3158">
        <v>29640</v>
      </c>
      <c r="D12" s="3158">
        <v>27550</v>
      </c>
      <c r="E12" s="3158">
        <v>28010</v>
      </c>
      <c r="F12" s="3164">
        <v>8730</v>
      </c>
      <c r="G12" s="3164">
        <v>20050</v>
      </c>
      <c r="H12" s="968" t="s">
        <v>843</v>
      </c>
      <c r="I12" s="969">
        <f>SUMPRODUCT((B234:B276=基准地价!I2)*(C3:G3=基准地价!E2)*(C234:G276))</f>
        <v>0</v>
      </c>
      <c r="K12" s="3158" t="s">
        <v>1048</v>
      </c>
      <c r="L12" s="3158" t="s">
        <v>1049</v>
      </c>
      <c r="M12" s="3158" t="s">
        <v>1050</v>
      </c>
      <c r="N12" s="3158" t="s">
        <v>1051</v>
      </c>
      <c r="O12" s="3158" t="s">
        <v>1052</v>
      </c>
      <c r="P12" s="3158" t="s">
        <v>2893</v>
      </c>
      <c r="Q12" s="3158" t="s">
        <v>2927</v>
      </c>
      <c r="R12" s="3158" t="s">
        <v>2955</v>
      </c>
      <c r="S12" s="3158" t="s">
        <v>2991</v>
      </c>
      <c r="T12" s="3158" t="s">
        <v>3013</v>
      </c>
    </row>
    <row r="13" spans="1:21" ht="14.25" customHeight="1">
      <c r="A13" s="3158" t="s">
        <v>1031</v>
      </c>
      <c r="B13" s="1217" t="s">
        <v>992</v>
      </c>
      <c r="C13" s="3158">
        <v>29680</v>
      </c>
      <c r="D13" s="3158">
        <v>27660</v>
      </c>
      <c r="E13" s="3158">
        <v>28210</v>
      </c>
      <c r="F13" s="3164">
        <v>9590</v>
      </c>
      <c r="G13" s="3164">
        <v>20120</v>
      </c>
      <c r="H13" s="968" t="s">
        <v>844</v>
      </c>
      <c r="I13" s="969">
        <f>SUMPRODUCT((B277:B326=基准地价!I2)*(C3:G3=基准地价!E2)*(C277:G326))</f>
        <v>0</v>
      </c>
      <c r="K13" s="3158" t="s">
        <v>1055</v>
      </c>
      <c r="L13" s="3158" t="s">
        <v>1056</v>
      </c>
      <c r="M13" s="3158" t="s">
        <v>1057</v>
      </c>
      <c r="N13" s="3158" t="s">
        <v>1058</v>
      </c>
      <c r="O13" s="3158" t="s">
        <v>1059</v>
      </c>
      <c r="P13" s="3158" t="s">
        <v>2894</v>
      </c>
      <c r="Q13" s="3158" t="s">
        <v>1053</v>
      </c>
      <c r="R13" s="3158" t="s">
        <v>1067</v>
      </c>
      <c r="S13" s="3158" t="s">
        <v>1068</v>
      </c>
      <c r="T13" s="3158" t="s">
        <v>1061</v>
      </c>
    </row>
    <row r="14" spans="1:21" ht="14.25" customHeight="1">
      <c r="A14" s="3158" t="s">
        <v>1031</v>
      </c>
      <c r="B14" s="1217" t="s">
        <v>1002</v>
      </c>
      <c r="C14" s="3158">
        <v>30520</v>
      </c>
      <c r="D14" s="3158">
        <v>29510</v>
      </c>
      <c r="E14" s="3158">
        <v>29400</v>
      </c>
      <c r="F14" s="3164">
        <v>9630</v>
      </c>
      <c r="G14" s="3164">
        <v>21480</v>
      </c>
      <c r="H14" s="968" t="s">
        <v>845</v>
      </c>
      <c r="I14" s="969">
        <f>SUMPRODUCT((B327:B357=基准地价!I2)*(C3:G3=基准地价!E2)*(C327:G357))</f>
        <v>0</v>
      </c>
      <c r="K14" s="3158" t="s">
        <v>1062</v>
      </c>
      <c r="L14" s="3158" t="s">
        <v>1063</v>
      </c>
      <c r="M14" s="3158" t="s">
        <v>1064</v>
      </c>
      <c r="N14" s="3158" t="s">
        <v>1065</v>
      </c>
      <c r="O14" s="3158" t="s">
        <v>1066</v>
      </c>
      <c r="P14" s="3158" t="s">
        <v>1088</v>
      </c>
      <c r="Q14" s="3158" t="s">
        <v>1060</v>
      </c>
      <c r="R14" s="3158" t="s">
        <v>2956</v>
      </c>
      <c r="S14" s="3158" t="s">
        <v>1076</v>
      </c>
      <c r="T14" s="3158" t="s">
        <v>1069</v>
      </c>
    </row>
    <row r="15" spans="1:21" ht="14.25" customHeight="1">
      <c r="A15" s="3158" t="s">
        <v>1031</v>
      </c>
      <c r="B15" s="1217" t="s">
        <v>1009</v>
      </c>
      <c r="C15" s="3158">
        <v>29090</v>
      </c>
      <c r="D15" s="3158">
        <v>27590</v>
      </c>
      <c r="E15" s="3158">
        <v>28120</v>
      </c>
      <c r="F15" s="3164">
        <v>9110</v>
      </c>
      <c r="G15" s="3164">
        <v>20070</v>
      </c>
      <c r="H15" s="968" t="s">
        <v>846</v>
      </c>
      <c r="I15" s="969">
        <f>SUMPRODUCT((B358:B377=基准地价!I2)*(C3:G3=基准地价!E2)*(C358:G377))</f>
        <v>0</v>
      </c>
      <c r="K15" s="3158" t="s">
        <v>1070</v>
      </c>
      <c r="L15" s="3158" t="s">
        <v>1071</v>
      </c>
      <c r="M15" s="3158" t="s">
        <v>1072</v>
      </c>
      <c r="N15" s="3158" t="s">
        <v>1073</v>
      </c>
      <c r="O15" s="3158" t="s">
        <v>1074</v>
      </c>
      <c r="P15" s="3158" t="s">
        <v>2895</v>
      </c>
      <c r="Q15" s="3158" t="s">
        <v>2928</v>
      </c>
      <c r="R15" s="3158" t="s">
        <v>1090</v>
      </c>
      <c r="S15" s="3158" t="s">
        <v>2992</v>
      </c>
      <c r="T15" s="3158" t="s">
        <v>1077</v>
      </c>
    </row>
    <row r="16" spans="1:21" ht="14.25" customHeight="1" thickBot="1">
      <c r="A16" s="3158" t="s">
        <v>1031</v>
      </c>
      <c r="B16" s="1217" t="s">
        <v>1015</v>
      </c>
      <c r="C16" s="3158">
        <v>26790</v>
      </c>
      <c r="D16" s="3158">
        <v>30370</v>
      </c>
      <c r="E16" s="3158">
        <v>30240</v>
      </c>
      <c r="F16" s="3164">
        <v>11590</v>
      </c>
      <c r="G16" s="3164">
        <v>22090</v>
      </c>
      <c r="H16" s="970" t="s">
        <v>847</v>
      </c>
      <c r="I16" s="971">
        <f>SUMPRODUCT((B378:B384=基准地价!I2)*(C3:G3=基准地价!E2)*(C378:G384))</f>
        <v>0</v>
      </c>
      <c r="K16" s="3158" t="s">
        <v>1078</v>
      </c>
      <c r="L16" s="3158" t="s">
        <v>1079</v>
      </c>
      <c r="M16" s="3158" t="s">
        <v>1080</v>
      </c>
      <c r="N16" s="3158" t="s">
        <v>1081</v>
      </c>
      <c r="O16" s="3158" t="s">
        <v>1082</v>
      </c>
      <c r="P16" s="3158" t="s">
        <v>2896</v>
      </c>
      <c r="Q16" s="3158" t="s">
        <v>1075</v>
      </c>
      <c r="R16" s="3158" t="s">
        <v>1098</v>
      </c>
      <c r="S16" s="3158" t="s">
        <v>1054</v>
      </c>
      <c r="T16" s="3158" t="s">
        <v>3014</v>
      </c>
    </row>
    <row r="17" spans="1:20" ht="14.25" customHeight="1">
      <c r="A17" s="3158" t="s">
        <v>1031</v>
      </c>
      <c r="B17" s="1217" t="s">
        <v>1022</v>
      </c>
      <c r="C17" s="3158">
        <v>29180</v>
      </c>
      <c r="D17" s="3158">
        <v>27620</v>
      </c>
      <c r="E17" s="3158">
        <v>28180</v>
      </c>
      <c r="F17" s="3164">
        <v>10790</v>
      </c>
      <c r="G17" s="3165">
        <v>20090</v>
      </c>
      <c r="I17" s="972"/>
      <c r="K17" s="3158" t="s">
        <v>1083</v>
      </c>
      <c r="L17" s="3158" t="s">
        <v>1084</v>
      </c>
      <c r="M17" s="3158" t="s">
        <v>1085</v>
      </c>
      <c r="N17" s="3158" t="s">
        <v>1086</v>
      </c>
      <c r="O17" s="3158" t="s">
        <v>1087</v>
      </c>
      <c r="P17" s="3158" t="s">
        <v>2897</v>
      </c>
      <c r="Q17" s="3158" t="s">
        <v>2929</v>
      </c>
      <c r="R17" s="3158" t="s">
        <v>1104</v>
      </c>
      <c r="S17" s="3158" t="s">
        <v>2993</v>
      </c>
      <c r="T17" s="3158" t="s">
        <v>1106</v>
      </c>
    </row>
    <row r="18" spans="1:20" ht="14.25" customHeight="1">
      <c r="A18" s="3158" t="s">
        <v>1031</v>
      </c>
      <c r="B18" s="1217" t="s">
        <v>1032</v>
      </c>
      <c r="C18" s="3158">
        <v>26840</v>
      </c>
      <c r="D18" s="3158">
        <v>28930</v>
      </c>
      <c r="E18" s="3158">
        <v>28820</v>
      </c>
      <c r="F18" s="3164"/>
      <c r="G18" s="3165">
        <v>21050</v>
      </c>
      <c r="I18" s="972"/>
      <c r="K18" s="3158" t="s">
        <v>1092</v>
      </c>
      <c r="L18" s="3158" t="s">
        <v>1093</v>
      </c>
      <c r="M18" s="3158" t="s">
        <v>1094</v>
      </c>
      <c r="N18" s="3158" t="s">
        <v>1095</v>
      </c>
      <c r="O18" s="3158" t="s">
        <v>1096</v>
      </c>
      <c r="P18" s="3158" t="s">
        <v>2898</v>
      </c>
      <c r="Q18" s="3158" t="s">
        <v>1089</v>
      </c>
      <c r="R18" s="3158" t="s">
        <v>2957</v>
      </c>
      <c r="S18" s="3158" t="s">
        <v>1105</v>
      </c>
      <c r="T18" s="3158" t="s">
        <v>1114</v>
      </c>
    </row>
    <row r="19" spans="1:20" ht="14.25" customHeight="1">
      <c r="A19" s="3158" t="s">
        <v>1031</v>
      </c>
      <c r="B19" s="1217" t="s">
        <v>1041</v>
      </c>
      <c r="C19" s="3158">
        <v>27750</v>
      </c>
      <c r="D19" s="3158">
        <v>26680</v>
      </c>
      <c r="E19" s="3158">
        <v>26590</v>
      </c>
      <c r="F19" s="3164"/>
      <c r="G19" s="3165">
        <v>19420</v>
      </c>
      <c r="I19" s="972"/>
      <c r="K19" s="3158" t="s">
        <v>1099</v>
      </c>
      <c r="L19" s="3158" t="s">
        <v>1100</v>
      </c>
      <c r="M19" s="3158" t="s">
        <v>1101</v>
      </c>
      <c r="N19" s="3158" t="s">
        <v>1102</v>
      </c>
      <c r="O19" s="3158" t="s">
        <v>1103</v>
      </c>
      <c r="P19" s="3158" t="s">
        <v>2899</v>
      </c>
      <c r="Q19" s="3158" t="s">
        <v>1097</v>
      </c>
      <c r="R19" s="3158" t="s">
        <v>2958</v>
      </c>
      <c r="S19" s="3158" t="s">
        <v>1113</v>
      </c>
      <c r="T19" s="3158" t="s">
        <v>3015</v>
      </c>
    </row>
    <row r="20" spans="1:20" ht="14.25" customHeight="1">
      <c r="A20" s="3158" t="s">
        <v>1031</v>
      </c>
      <c r="B20" s="1217" t="s">
        <v>1048</v>
      </c>
      <c r="C20" s="3158">
        <v>27050</v>
      </c>
      <c r="D20" s="3158">
        <v>29010</v>
      </c>
      <c r="E20" s="3158">
        <v>28910</v>
      </c>
      <c r="F20" s="3164"/>
      <c r="G20" s="3165">
        <v>21110</v>
      </c>
      <c r="K20" s="3158" t="s">
        <v>1107</v>
      </c>
      <c r="L20" s="3158" t="s">
        <v>1108</v>
      </c>
      <c r="M20" s="3158" t="s">
        <v>1109</v>
      </c>
      <c r="N20" s="3158" t="s">
        <v>1110</v>
      </c>
      <c r="O20" s="3158" t="s">
        <v>1111</v>
      </c>
      <c r="P20" s="3158" t="s">
        <v>2900</v>
      </c>
      <c r="Q20" s="3158" t="s">
        <v>2930</v>
      </c>
      <c r="R20" s="3158" t="s">
        <v>1139</v>
      </c>
      <c r="S20" s="3158" t="s">
        <v>2994</v>
      </c>
      <c r="T20" s="3158" t="s">
        <v>1126</v>
      </c>
    </row>
    <row r="21" spans="1:20" ht="14.25" customHeight="1">
      <c r="A21" s="3158" t="s">
        <v>1031</v>
      </c>
      <c r="B21" s="1217" t="s">
        <v>1055</v>
      </c>
      <c r="C21" s="3158">
        <v>32370</v>
      </c>
      <c r="D21" s="3158">
        <v>26730</v>
      </c>
      <c r="E21" s="3158">
        <v>26640</v>
      </c>
      <c r="F21" s="3164"/>
      <c r="G21" s="3165">
        <v>19440</v>
      </c>
      <c r="K21" s="3167" t="s">
        <v>2822</v>
      </c>
      <c r="L21" s="3158" t="s">
        <v>1115</v>
      </c>
      <c r="M21" s="3158" t="s">
        <v>1116</v>
      </c>
      <c r="N21" s="3158" t="s">
        <v>1117</v>
      </c>
      <c r="O21" s="3158" t="s">
        <v>1118</v>
      </c>
      <c r="P21" s="3158" t="s">
        <v>1112</v>
      </c>
      <c r="Q21" s="3158" t="s">
        <v>1132</v>
      </c>
      <c r="R21" s="3158" t="s">
        <v>1142</v>
      </c>
      <c r="S21" s="3158" t="s">
        <v>2995</v>
      </c>
      <c r="T21" s="3158" t="s">
        <v>3016</v>
      </c>
    </row>
    <row r="22" spans="1:20" ht="14.25" customHeight="1">
      <c r="A22" s="3158" t="s">
        <v>1031</v>
      </c>
      <c r="B22" s="1217" t="s">
        <v>1062</v>
      </c>
      <c r="C22" s="3158">
        <v>29830</v>
      </c>
      <c r="D22" s="3158">
        <v>27600</v>
      </c>
      <c r="E22" s="3158">
        <v>28150</v>
      </c>
      <c r="F22" s="3164"/>
      <c r="G22" s="3165">
        <v>20080</v>
      </c>
      <c r="L22" s="3167" t="s">
        <v>2824</v>
      </c>
      <c r="M22" s="3158" t="s">
        <v>1120</v>
      </c>
      <c r="N22" s="3158" t="s">
        <v>1121</v>
      </c>
      <c r="O22" s="3158" t="s">
        <v>1122</v>
      </c>
      <c r="P22" s="3158" t="s">
        <v>2901</v>
      </c>
      <c r="Q22" s="3158" t="s">
        <v>1135</v>
      </c>
      <c r="R22" s="3158" t="s">
        <v>1144</v>
      </c>
      <c r="S22" s="3158" t="s">
        <v>1091</v>
      </c>
      <c r="T22" s="1217"/>
    </row>
    <row r="23" spans="1:20" ht="14.25" customHeight="1">
      <c r="A23" s="3158" t="s">
        <v>1031</v>
      </c>
      <c r="B23" s="1217" t="s">
        <v>1070</v>
      </c>
      <c r="C23" s="3158">
        <v>27800</v>
      </c>
      <c r="D23" s="3158">
        <v>26900</v>
      </c>
      <c r="E23" s="3158">
        <v>27170</v>
      </c>
      <c r="F23" s="3164"/>
      <c r="G23" s="3165">
        <v>19570</v>
      </c>
      <c r="L23" s="3167" t="s">
        <v>2825</v>
      </c>
      <c r="M23" s="3158" t="s">
        <v>1127</v>
      </c>
      <c r="N23" s="3158" t="s">
        <v>1128</v>
      </c>
      <c r="O23" s="3158" t="s">
        <v>2855</v>
      </c>
      <c r="P23" s="3158" t="s">
        <v>2902</v>
      </c>
      <c r="Q23" s="3158" t="s">
        <v>1138</v>
      </c>
      <c r="R23" s="3158" t="s">
        <v>1147</v>
      </c>
      <c r="S23" s="3158" t="s">
        <v>2996</v>
      </c>
    </row>
    <row r="24" spans="1:20" ht="14.25" customHeight="1">
      <c r="A24" s="3158" t="s">
        <v>1031</v>
      </c>
      <c r="B24" s="1217" t="s">
        <v>1078</v>
      </c>
      <c r="C24" s="3158">
        <v>27930</v>
      </c>
      <c r="D24" s="3158">
        <v>32260</v>
      </c>
      <c r="E24" s="3158">
        <v>32120</v>
      </c>
      <c r="F24" s="3164"/>
      <c r="G24" s="3165">
        <v>23470</v>
      </c>
      <c r="L24" s="3167" t="s">
        <v>2826</v>
      </c>
      <c r="M24" s="3158" t="s">
        <v>1130</v>
      </c>
      <c r="N24" s="3158" t="s">
        <v>1131</v>
      </c>
      <c r="O24" s="3158" t="s">
        <v>2856</v>
      </c>
      <c r="P24" s="3158" t="s">
        <v>1134</v>
      </c>
      <c r="Q24" s="3158" t="s">
        <v>2931</v>
      </c>
      <c r="R24" s="3158" t="s">
        <v>2959</v>
      </c>
      <c r="S24" s="3158" t="s">
        <v>2997</v>
      </c>
    </row>
    <row r="25" spans="1:20" ht="14.25" customHeight="1">
      <c r="A25" s="3158" t="s">
        <v>1031</v>
      </c>
      <c r="B25" s="1217" t="s">
        <v>1083</v>
      </c>
      <c r="C25" s="3158">
        <v>32230</v>
      </c>
      <c r="D25" s="3158">
        <v>29640</v>
      </c>
      <c r="E25" s="3158">
        <v>29510</v>
      </c>
      <c r="F25" s="3164"/>
      <c r="G25" s="3165">
        <v>21560</v>
      </c>
      <c r="L25" s="3167" t="s">
        <v>2827</v>
      </c>
      <c r="M25" s="3158" t="s">
        <v>2830</v>
      </c>
      <c r="N25" s="3158" t="s">
        <v>1133</v>
      </c>
      <c r="O25" s="3158" t="s">
        <v>1141</v>
      </c>
      <c r="P25" s="3158" t="s">
        <v>1137</v>
      </c>
      <c r="Q25" s="3158" t="s">
        <v>1124</v>
      </c>
      <c r="R25" s="3158" t="s">
        <v>1119</v>
      </c>
      <c r="S25" s="3158" t="s">
        <v>2998</v>
      </c>
    </row>
    <row r="26" spans="1:20" ht="14.25" customHeight="1">
      <c r="A26" s="3158" t="s">
        <v>1031</v>
      </c>
      <c r="B26" s="1217" t="s">
        <v>1092</v>
      </c>
      <c r="C26" s="3158">
        <v>31690</v>
      </c>
      <c r="D26" s="3158">
        <v>27650</v>
      </c>
      <c r="E26" s="3158">
        <v>28200</v>
      </c>
      <c r="F26" s="3164"/>
      <c r="G26" s="3165">
        <v>20110</v>
      </c>
      <c r="L26" s="3167" t="s">
        <v>2828</v>
      </c>
      <c r="M26" s="3158" t="s">
        <v>2831</v>
      </c>
      <c r="N26" s="3158" t="s">
        <v>1136</v>
      </c>
      <c r="O26" s="3158" t="s">
        <v>1143</v>
      </c>
      <c r="P26" s="3158" t="s">
        <v>2903</v>
      </c>
      <c r="Q26" s="3158" t="s">
        <v>2932</v>
      </c>
      <c r="R26" s="3158" t="s">
        <v>1125</v>
      </c>
      <c r="S26" s="3158" t="s">
        <v>2999</v>
      </c>
    </row>
    <row r="27" spans="1:20" ht="14.25" customHeight="1">
      <c r="A27" s="3158" t="s">
        <v>1031</v>
      </c>
      <c r="B27" s="1217" t="s">
        <v>1099</v>
      </c>
      <c r="C27" s="3158">
        <v>29610</v>
      </c>
      <c r="D27" s="3158">
        <v>27770</v>
      </c>
      <c r="E27" s="3158">
        <v>28300</v>
      </c>
      <c r="F27" s="3164"/>
      <c r="G27" s="3165">
        <v>20210</v>
      </c>
      <c r="M27" s="3158" t="s">
        <v>2832</v>
      </c>
      <c r="N27" s="3158" t="s">
        <v>1140</v>
      </c>
      <c r="O27" s="3158" t="s">
        <v>1146</v>
      </c>
      <c r="P27" s="3158" t="s">
        <v>1123</v>
      </c>
      <c r="Q27" s="3158" t="s">
        <v>2933</v>
      </c>
      <c r="R27" s="3158" t="s">
        <v>2960</v>
      </c>
      <c r="S27" s="3158" t="s">
        <v>3000</v>
      </c>
    </row>
    <row r="28" spans="1:20" ht="14.25" customHeight="1">
      <c r="A28" s="3172" t="s">
        <v>1031</v>
      </c>
      <c r="B28" s="2406" t="s">
        <v>1107</v>
      </c>
      <c r="C28" s="1215"/>
      <c r="D28" s="1215">
        <v>31520</v>
      </c>
      <c r="E28" s="1215">
        <v>31410</v>
      </c>
      <c r="F28" s="3169"/>
      <c r="G28" s="3170">
        <v>22940</v>
      </c>
      <c r="M28" s="3158" t="s">
        <v>2833</v>
      </c>
      <c r="N28" s="3158" t="s">
        <v>2840</v>
      </c>
      <c r="O28" s="3158" t="s">
        <v>2857</v>
      </c>
      <c r="P28" s="3158" t="s">
        <v>2904</v>
      </c>
      <c r="Q28" s="3158" t="s">
        <v>2934</v>
      </c>
      <c r="R28" s="3158" t="s">
        <v>2961</v>
      </c>
      <c r="S28" s="3167" t="s">
        <v>3001</v>
      </c>
    </row>
    <row r="29" spans="1:20" ht="14.25" customHeight="1" thickBot="1">
      <c r="A29" s="3173" t="s">
        <v>1031</v>
      </c>
      <c r="B29" s="3161" t="s">
        <v>2822</v>
      </c>
      <c r="C29" s="3161"/>
      <c r="D29" s="3161">
        <v>29460</v>
      </c>
      <c r="E29" s="3161">
        <v>28640</v>
      </c>
      <c r="F29" s="3162"/>
      <c r="G29" s="3174">
        <v>21430</v>
      </c>
      <c r="M29" s="3167" t="s">
        <v>2834</v>
      </c>
      <c r="N29" s="3158" t="s">
        <v>2841</v>
      </c>
      <c r="O29" s="3158" t="s">
        <v>2858</v>
      </c>
      <c r="P29" s="3158" t="s">
        <v>2905</v>
      </c>
      <c r="Q29" s="3158" t="s">
        <v>2935</v>
      </c>
      <c r="R29" s="3158" t="s">
        <v>2962</v>
      </c>
      <c r="S29" s="3167" t="s">
        <v>1129</v>
      </c>
    </row>
    <row r="30" spans="1:20" ht="14.25" customHeight="1">
      <c r="A30" s="3172" t="s">
        <v>1145</v>
      </c>
      <c r="B30" s="1217" t="s">
        <v>2823</v>
      </c>
      <c r="C30" s="1217">
        <v>26890</v>
      </c>
      <c r="D30" s="1217">
        <v>26770</v>
      </c>
      <c r="E30" s="1217">
        <v>25700</v>
      </c>
      <c r="F30" s="3159">
        <v>8180</v>
      </c>
      <c r="G30" s="3159">
        <v>18740</v>
      </c>
      <c r="I30" s="972"/>
      <c r="M30" s="3167" t="s">
        <v>2835</v>
      </c>
      <c r="N30" s="3158" t="s">
        <v>2842</v>
      </c>
      <c r="O30" s="3158" t="s">
        <v>2859</v>
      </c>
      <c r="P30" s="3158" t="s">
        <v>2906</v>
      </c>
      <c r="Q30" s="3158" t="s">
        <v>2936</v>
      </c>
      <c r="R30" s="3158" t="s">
        <v>2963</v>
      </c>
      <c r="S30" s="3167" t="s">
        <v>3002</v>
      </c>
    </row>
    <row r="31" spans="1:20" ht="14.25" customHeight="1">
      <c r="A31" s="3158" t="s">
        <v>1145</v>
      </c>
      <c r="B31" s="1217" t="s">
        <v>974</v>
      </c>
      <c r="C31" s="3158">
        <v>24550</v>
      </c>
      <c r="D31" s="3158">
        <v>23990</v>
      </c>
      <c r="E31" s="3158">
        <v>22930</v>
      </c>
      <c r="F31" s="3164">
        <v>7470</v>
      </c>
      <c r="G31" s="3164">
        <v>16790</v>
      </c>
      <c r="I31" s="972"/>
      <c r="M31" s="3167" t="s">
        <v>2836</v>
      </c>
      <c r="N31" s="3158" t="s">
        <v>2843</v>
      </c>
      <c r="O31" s="3158" t="s">
        <v>2860</v>
      </c>
      <c r="P31" s="3158" t="s">
        <v>2907</v>
      </c>
      <c r="Q31" s="3158" t="s">
        <v>2937</v>
      </c>
      <c r="R31" s="3158" t="s">
        <v>2964</v>
      </c>
      <c r="S31" s="3167" t="s">
        <v>3003</v>
      </c>
    </row>
    <row r="32" spans="1:20" ht="14.25" customHeight="1">
      <c r="A32" s="3158" t="s">
        <v>1145</v>
      </c>
      <c r="B32" s="1217" t="s">
        <v>984</v>
      </c>
      <c r="C32" s="3158">
        <v>27210</v>
      </c>
      <c r="D32" s="3158">
        <v>23240</v>
      </c>
      <c r="E32" s="3158">
        <v>23260</v>
      </c>
      <c r="F32" s="3164">
        <v>7130</v>
      </c>
      <c r="G32" s="3164">
        <v>16270</v>
      </c>
      <c r="I32" s="972"/>
      <c r="M32" s="3167" t="s">
        <v>2837</v>
      </c>
      <c r="N32" s="3158" t="s">
        <v>2844</v>
      </c>
      <c r="O32" s="3158" t="s">
        <v>1149</v>
      </c>
      <c r="P32" s="3158" t="s">
        <v>2908</v>
      </c>
      <c r="Q32" s="3158" t="s">
        <v>1148</v>
      </c>
      <c r="R32" s="3158" t="s">
        <v>2965</v>
      </c>
      <c r="S32" s="3167" t="s">
        <v>3004</v>
      </c>
    </row>
    <row r="33" spans="1:18" ht="14.25" customHeight="1">
      <c r="A33" s="3158" t="s">
        <v>1145</v>
      </c>
      <c r="B33" s="1217" t="s">
        <v>993</v>
      </c>
      <c r="C33" s="3158">
        <v>27300</v>
      </c>
      <c r="D33" s="3158">
        <v>22980</v>
      </c>
      <c r="E33" s="3158">
        <v>24260</v>
      </c>
      <c r="F33" s="3164">
        <v>5860</v>
      </c>
      <c r="G33" s="3164">
        <v>16090</v>
      </c>
      <c r="I33" s="972"/>
      <c r="M33" s="3167" t="s">
        <v>2838</v>
      </c>
      <c r="N33" s="3158" t="s">
        <v>2845</v>
      </c>
      <c r="O33" s="3158" t="s">
        <v>1150</v>
      </c>
      <c r="P33" s="3158" t="s">
        <v>2909</v>
      </c>
      <c r="Q33" s="3158" t="s">
        <v>2938</v>
      </c>
      <c r="R33" s="3158" t="s">
        <v>2966</v>
      </c>
    </row>
    <row r="34" spans="1:18" ht="14.25" customHeight="1">
      <c r="A34" s="3158" t="s">
        <v>1145</v>
      </c>
      <c r="B34" s="1217" t="s">
        <v>1003</v>
      </c>
      <c r="C34" s="3158">
        <v>23090</v>
      </c>
      <c r="D34" s="3158">
        <v>23390</v>
      </c>
      <c r="E34" s="3158">
        <v>23510</v>
      </c>
      <c r="F34" s="3164">
        <v>6700</v>
      </c>
      <c r="G34" s="3164">
        <v>16370</v>
      </c>
      <c r="I34" s="972"/>
      <c r="N34" s="3158" t="s">
        <v>2846</v>
      </c>
      <c r="O34" s="3158" t="s">
        <v>1151</v>
      </c>
      <c r="P34" s="3158" t="s">
        <v>2910</v>
      </c>
      <c r="Q34" s="3158" t="s">
        <v>2939</v>
      </c>
      <c r="R34" s="3158" t="s">
        <v>2967</v>
      </c>
    </row>
    <row r="35" spans="1:18" ht="14.25" customHeight="1">
      <c r="A35" s="3158" t="s">
        <v>1145</v>
      </c>
      <c r="B35" s="1217" t="s">
        <v>1010</v>
      </c>
      <c r="C35" s="3158">
        <v>27270</v>
      </c>
      <c r="D35" s="3158">
        <v>24270</v>
      </c>
      <c r="E35" s="3158">
        <v>24950</v>
      </c>
      <c r="F35" s="3164">
        <v>6600</v>
      </c>
      <c r="G35" s="3164">
        <v>16990</v>
      </c>
      <c r="I35" s="972"/>
      <c r="N35" s="3158" t="s">
        <v>2847</v>
      </c>
      <c r="O35" s="3158" t="s">
        <v>2861</v>
      </c>
      <c r="P35" s="3158" t="s">
        <v>2911</v>
      </c>
      <c r="Q35" s="3158" t="s">
        <v>2940</v>
      </c>
      <c r="R35" s="3158" t="s">
        <v>2968</v>
      </c>
    </row>
    <row r="36" spans="1:18" ht="14.25" customHeight="1">
      <c r="A36" s="3158" t="s">
        <v>1145</v>
      </c>
      <c r="B36" s="1217" t="s">
        <v>1016</v>
      </c>
      <c r="C36" s="3158">
        <v>23490</v>
      </c>
      <c r="D36" s="3158">
        <v>23020</v>
      </c>
      <c r="E36" s="3158">
        <v>25230</v>
      </c>
      <c r="F36" s="3164">
        <v>6780</v>
      </c>
      <c r="G36" s="3164">
        <v>16120</v>
      </c>
      <c r="I36" s="972"/>
      <c r="N36" s="3167" t="s">
        <v>2848</v>
      </c>
      <c r="O36" s="3194" t="s">
        <v>2862</v>
      </c>
      <c r="P36" s="3158" t="s">
        <v>2912</v>
      </c>
      <c r="Q36" s="3158" t="s">
        <v>2941</v>
      </c>
      <c r="R36" s="3158" t="s">
        <v>2969</v>
      </c>
    </row>
    <row r="37" spans="1:18" ht="14.25" customHeight="1">
      <c r="A37" s="3158" t="s">
        <v>1145</v>
      </c>
      <c r="B37" s="1217" t="s">
        <v>1023</v>
      </c>
      <c r="C37" s="3158">
        <v>24380</v>
      </c>
      <c r="D37" s="3158">
        <v>22240</v>
      </c>
      <c r="E37" s="3158">
        <v>25980</v>
      </c>
      <c r="F37" s="3164">
        <v>8160</v>
      </c>
      <c r="G37" s="3164">
        <v>15570</v>
      </c>
      <c r="I37" s="973"/>
      <c r="N37" s="3167" t="s">
        <v>2849</v>
      </c>
      <c r="O37" s="3194" t="s">
        <v>2863</v>
      </c>
      <c r="P37" s="3158" t="s">
        <v>2913</v>
      </c>
      <c r="Q37" s="3158" t="s">
        <v>2942</v>
      </c>
      <c r="R37" s="3158" t="s">
        <v>2970</v>
      </c>
    </row>
    <row r="38" spans="1:18" ht="14.25" customHeight="1">
      <c r="A38" s="3158" t="s">
        <v>1145</v>
      </c>
      <c r="B38" s="1217" t="s">
        <v>1033</v>
      </c>
      <c r="C38" s="3158">
        <v>23120</v>
      </c>
      <c r="D38" s="3158">
        <v>24630</v>
      </c>
      <c r="E38" s="3158">
        <v>25030</v>
      </c>
      <c r="F38" s="3164">
        <v>7710</v>
      </c>
      <c r="G38" s="3164">
        <v>17240</v>
      </c>
      <c r="I38" s="972"/>
      <c r="N38" s="3167" t="s">
        <v>2850</v>
      </c>
      <c r="O38" s="3194" t="s">
        <v>2864</v>
      </c>
      <c r="P38" s="3158" t="s">
        <v>2914</v>
      </c>
      <c r="Q38" s="3158" t="s">
        <v>2943</v>
      </c>
      <c r="R38" s="3158" t="s">
        <v>2971</v>
      </c>
    </row>
    <row r="39" spans="1:18" ht="14.25" customHeight="1">
      <c r="A39" s="3158" t="s">
        <v>1145</v>
      </c>
      <c r="B39" s="1217" t="s">
        <v>1042</v>
      </c>
      <c r="C39" s="3158">
        <v>22330</v>
      </c>
      <c r="D39" s="3158">
        <v>21140</v>
      </c>
      <c r="E39" s="3158">
        <v>23970</v>
      </c>
      <c r="F39" s="3164">
        <v>7940</v>
      </c>
      <c r="G39" s="3164">
        <v>14790</v>
      </c>
      <c r="I39" s="972"/>
      <c r="N39" s="3167" t="s">
        <v>2851</v>
      </c>
      <c r="O39" s="3194" t="s">
        <v>2865</v>
      </c>
      <c r="P39" s="3158" t="s">
        <v>2915</v>
      </c>
      <c r="Q39" s="3158" t="s">
        <v>2944</v>
      </c>
      <c r="R39" s="3158" t="s">
        <v>2972</v>
      </c>
    </row>
    <row r="40" spans="1:18" ht="14.25" customHeight="1">
      <c r="A40" s="3158" t="s">
        <v>1145</v>
      </c>
      <c r="B40" s="1217" t="s">
        <v>1049</v>
      </c>
      <c r="C40" s="3158">
        <v>24740</v>
      </c>
      <c r="D40" s="3158">
        <v>24690</v>
      </c>
      <c r="E40" s="3158">
        <v>22610</v>
      </c>
      <c r="F40" s="3164"/>
      <c r="G40" s="3164">
        <v>17280</v>
      </c>
      <c r="I40" s="972"/>
      <c r="N40" s="3167" t="s">
        <v>2852</v>
      </c>
      <c r="O40" s="3194" t="s">
        <v>2866</v>
      </c>
      <c r="P40" s="3158" t="s">
        <v>2916</v>
      </c>
      <c r="Q40" s="3158" t="s">
        <v>2945</v>
      </c>
      <c r="R40" s="3158" t="s">
        <v>2973</v>
      </c>
    </row>
    <row r="41" spans="1:18" ht="14.25" customHeight="1">
      <c r="A41" s="3158" t="s">
        <v>1145</v>
      </c>
      <c r="B41" s="1217" t="s">
        <v>1056</v>
      </c>
      <c r="C41" s="3158">
        <v>21220</v>
      </c>
      <c r="D41" s="3158">
        <v>21120</v>
      </c>
      <c r="E41" s="3158">
        <v>22590</v>
      </c>
      <c r="F41" s="3164"/>
      <c r="G41" s="3164">
        <v>14780</v>
      </c>
      <c r="I41" s="972"/>
      <c r="N41" s="3167" t="s">
        <v>2853</v>
      </c>
      <c r="O41" s="3195" t="s">
        <v>2867</v>
      </c>
      <c r="P41" s="1217" t="s">
        <v>2917</v>
      </c>
      <c r="Q41" s="3167" t="s">
        <v>2946</v>
      </c>
      <c r="R41" s="1217" t="s">
        <v>2974</v>
      </c>
    </row>
    <row r="42" spans="1:18" ht="14.25" customHeight="1">
      <c r="A42" s="3158" t="s">
        <v>1145</v>
      </c>
      <c r="B42" s="1217" t="s">
        <v>1063</v>
      </c>
      <c r="C42" s="3158">
        <v>24800</v>
      </c>
      <c r="D42" s="3158">
        <v>22280</v>
      </c>
      <c r="E42" s="3158">
        <v>24350</v>
      </c>
      <c r="F42" s="3164"/>
      <c r="G42" s="3164">
        <v>15590</v>
      </c>
      <c r="I42" s="972"/>
      <c r="O42" s="3158" t="s">
        <v>2868</v>
      </c>
      <c r="P42" s="3158" t="s">
        <v>2918</v>
      </c>
      <c r="Q42" s="3167" t="s">
        <v>2947</v>
      </c>
      <c r="R42" s="3158" t="s">
        <v>2975</v>
      </c>
    </row>
    <row r="43" spans="1:18" ht="14.25" customHeight="1">
      <c r="A43" s="3158" t="s">
        <v>1145</v>
      </c>
      <c r="B43" s="1217" t="s">
        <v>1071</v>
      </c>
      <c r="C43" s="3158">
        <v>21210</v>
      </c>
      <c r="D43" s="3158">
        <v>21160</v>
      </c>
      <c r="E43" s="3158">
        <v>22650</v>
      </c>
      <c r="F43" s="3164"/>
      <c r="G43" s="3164">
        <v>14800</v>
      </c>
      <c r="I43" s="972"/>
      <c r="O43" s="3158" t="s">
        <v>2869</v>
      </c>
      <c r="P43" s="3158" t="s">
        <v>2919</v>
      </c>
      <c r="Q43" s="3167" t="s">
        <v>2948</v>
      </c>
      <c r="R43" s="3158" t="s">
        <v>2976</v>
      </c>
    </row>
    <row r="44" spans="1:18" ht="14.25" customHeight="1">
      <c r="A44" s="3158" t="s">
        <v>1145</v>
      </c>
      <c r="B44" s="1217" t="s">
        <v>1079</v>
      </c>
      <c r="C44" s="3158">
        <v>22370</v>
      </c>
      <c r="D44" s="3158">
        <v>23140</v>
      </c>
      <c r="E44" s="3158">
        <v>25090</v>
      </c>
      <c r="F44" s="3164"/>
      <c r="G44" s="3164">
        <v>16190</v>
      </c>
      <c r="I44" s="972"/>
      <c r="O44" s="3158" t="s">
        <v>2870</v>
      </c>
      <c r="P44" s="3158" t="s">
        <v>2920</v>
      </c>
      <c r="Q44" s="3167" t="s">
        <v>2949</v>
      </c>
      <c r="R44" s="3158" t="s">
        <v>2977</v>
      </c>
    </row>
    <row r="45" spans="1:18" ht="14.25" customHeight="1">
      <c r="A45" s="3158" t="s">
        <v>1145</v>
      </c>
      <c r="B45" s="1217" t="s">
        <v>1084</v>
      </c>
      <c r="C45" s="3158">
        <v>21240</v>
      </c>
      <c r="D45" s="3158">
        <v>27050</v>
      </c>
      <c r="E45" s="3158">
        <v>28000</v>
      </c>
      <c r="F45" s="3164"/>
      <c r="G45" s="3164">
        <v>18940</v>
      </c>
      <c r="I45" s="972"/>
      <c r="O45" s="3158" t="s">
        <v>2871</v>
      </c>
      <c r="P45" s="3158" t="s">
        <v>2921</v>
      </c>
      <c r="R45" s="3158" t="s">
        <v>2978</v>
      </c>
    </row>
    <row r="46" spans="1:18" ht="14.25" customHeight="1">
      <c r="A46" s="3158" t="s">
        <v>1145</v>
      </c>
      <c r="B46" s="1217" t="s">
        <v>1093</v>
      </c>
      <c r="C46" s="3158">
        <v>23240</v>
      </c>
      <c r="D46" s="3158">
        <v>23000</v>
      </c>
      <c r="E46" s="3158">
        <v>24980</v>
      </c>
      <c r="F46" s="3164"/>
      <c r="G46" s="3164">
        <v>16100</v>
      </c>
      <c r="I46" s="972"/>
      <c r="O46" s="3158" t="s">
        <v>2872</v>
      </c>
      <c r="P46" s="3158"/>
      <c r="R46" s="3158" t="s">
        <v>2979</v>
      </c>
    </row>
    <row r="47" spans="1:18" ht="14.25" customHeight="1">
      <c r="A47" s="3158" t="s">
        <v>1145</v>
      </c>
      <c r="B47" s="2406" t="s">
        <v>1100</v>
      </c>
      <c r="C47" s="1215">
        <v>27150</v>
      </c>
      <c r="D47" s="1215">
        <v>23310</v>
      </c>
      <c r="E47" s="1215">
        <v>25150</v>
      </c>
      <c r="F47" s="3169"/>
      <c r="G47" s="3169">
        <v>16310</v>
      </c>
      <c r="I47" s="972"/>
      <c r="O47" s="3158" t="s">
        <v>2873</v>
      </c>
      <c r="P47" s="3158"/>
      <c r="R47" s="3167" t="s">
        <v>2980</v>
      </c>
    </row>
    <row r="48" spans="1:18" ht="14.25" customHeight="1">
      <c r="A48" s="3158" t="s">
        <v>1145</v>
      </c>
      <c r="B48" s="3158" t="s">
        <v>1108</v>
      </c>
      <c r="C48" s="3158">
        <v>23100</v>
      </c>
      <c r="D48" s="3158">
        <v>21110</v>
      </c>
      <c r="E48" s="3158">
        <v>23080</v>
      </c>
      <c r="F48" s="3164"/>
      <c r="G48" s="3171">
        <v>14780</v>
      </c>
      <c r="I48" s="972"/>
      <c r="O48" s="3158" t="s">
        <v>2874</v>
      </c>
      <c r="P48" s="3158"/>
      <c r="R48" s="3167" t="s">
        <v>2981</v>
      </c>
    </row>
    <row r="49" spans="1:18" ht="14.25" customHeight="1">
      <c r="A49" s="3158" t="s">
        <v>1145</v>
      </c>
      <c r="B49" s="1217" t="s">
        <v>1115</v>
      </c>
      <c r="C49" s="1217">
        <v>23400</v>
      </c>
      <c r="D49" s="1217">
        <v>22920</v>
      </c>
      <c r="E49" s="1217">
        <v>24900</v>
      </c>
      <c r="F49" s="3159"/>
      <c r="G49" s="3159">
        <v>16040</v>
      </c>
      <c r="I49" s="972"/>
      <c r="O49" s="3158" t="s">
        <v>2875</v>
      </c>
      <c r="P49" s="3158"/>
      <c r="R49" s="3167" t="s">
        <v>2982</v>
      </c>
    </row>
    <row r="50" spans="1:18" ht="14.25" customHeight="1">
      <c r="A50" s="3158" t="s">
        <v>1145</v>
      </c>
      <c r="B50" s="3158" t="s">
        <v>2824</v>
      </c>
      <c r="C50" s="3158">
        <v>21200</v>
      </c>
      <c r="D50" s="3158">
        <v>26540</v>
      </c>
      <c r="E50" s="3158">
        <v>23200</v>
      </c>
      <c r="F50" s="3164"/>
      <c r="G50" s="3164">
        <v>18580</v>
      </c>
      <c r="I50" s="972"/>
      <c r="O50" s="3167" t="s">
        <v>2876</v>
      </c>
      <c r="R50" s="3167" t="s">
        <v>2983</v>
      </c>
    </row>
    <row r="51" spans="1:18" ht="14.25" customHeight="1">
      <c r="A51" s="3158" t="s">
        <v>1145</v>
      </c>
      <c r="B51" s="3158" t="s">
        <v>2825</v>
      </c>
      <c r="C51" s="3158">
        <v>23000</v>
      </c>
      <c r="D51" s="3158">
        <v>23460</v>
      </c>
      <c r="E51" s="3158">
        <v>25290</v>
      </c>
      <c r="F51" s="3164"/>
      <c r="G51" s="3164">
        <v>16420</v>
      </c>
      <c r="I51" s="972"/>
      <c r="O51" s="3167" t="s">
        <v>2877</v>
      </c>
      <c r="R51" s="3167" t="s">
        <v>2984</v>
      </c>
    </row>
    <row r="52" spans="1:18" ht="14.25" customHeight="1">
      <c r="A52" s="3158" t="s">
        <v>1145</v>
      </c>
      <c r="B52" s="3158" t="s">
        <v>2826</v>
      </c>
      <c r="C52" s="3158">
        <v>26660</v>
      </c>
      <c r="D52" s="3158">
        <v>22350</v>
      </c>
      <c r="E52" s="3158">
        <v>22920</v>
      </c>
      <c r="F52" s="3164"/>
      <c r="G52" s="3164">
        <v>15640</v>
      </c>
      <c r="I52" s="972"/>
      <c r="O52" s="3167" t="s">
        <v>2878</v>
      </c>
    </row>
    <row r="53" spans="1:18" ht="14.25" customHeight="1">
      <c r="A53" s="3158" t="s">
        <v>1145</v>
      </c>
      <c r="B53" s="3158" t="s">
        <v>2827</v>
      </c>
      <c r="C53" s="3158">
        <v>23580</v>
      </c>
      <c r="D53" s="3158"/>
      <c r="E53" s="3158">
        <v>24280</v>
      </c>
      <c r="F53" s="3164"/>
      <c r="G53" s="3164"/>
      <c r="I53" s="972"/>
      <c r="O53" s="3167" t="s">
        <v>2879</v>
      </c>
    </row>
    <row r="54" spans="1:18" ht="14.25" customHeight="1" thickBot="1">
      <c r="A54" s="3173" t="s">
        <v>1145</v>
      </c>
      <c r="B54" s="3161" t="s">
        <v>2828</v>
      </c>
      <c r="C54" s="3161">
        <v>22460</v>
      </c>
      <c r="D54" s="3161"/>
      <c r="E54" s="3161"/>
      <c r="F54" s="3162"/>
      <c r="G54" s="3174"/>
      <c r="I54" s="972"/>
      <c r="O54" s="3167" t="s">
        <v>2880</v>
      </c>
    </row>
    <row r="55" spans="1:18" ht="14.25" customHeight="1">
      <c r="A55" s="3172" t="s">
        <v>853</v>
      </c>
      <c r="B55" s="1217" t="s">
        <v>2829</v>
      </c>
      <c r="C55" s="1217">
        <v>21970</v>
      </c>
      <c r="D55" s="1217">
        <v>20370</v>
      </c>
      <c r="E55" s="1217">
        <v>20180</v>
      </c>
      <c r="F55" s="3159">
        <v>5730</v>
      </c>
      <c r="G55" s="3159">
        <v>13820</v>
      </c>
      <c r="I55" s="972"/>
      <c r="O55" s="3167" t="s">
        <v>2881</v>
      </c>
    </row>
    <row r="56" spans="1:18" ht="14.25" customHeight="1">
      <c r="A56" s="3158" t="s">
        <v>853</v>
      </c>
      <c r="B56" s="3158" t="s">
        <v>975</v>
      </c>
      <c r="C56" s="3158">
        <v>20470</v>
      </c>
      <c r="D56" s="3158">
        <v>20700</v>
      </c>
      <c r="E56" s="3158">
        <v>20380</v>
      </c>
      <c r="F56" s="3164">
        <v>4760</v>
      </c>
      <c r="G56" s="3164">
        <v>14050</v>
      </c>
      <c r="I56" s="972"/>
      <c r="O56" s="3167" t="s">
        <v>2882</v>
      </c>
    </row>
    <row r="57" spans="1:18" ht="14.25" customHeight="1">
      <c r="A57" s="3158" t="s">
        <v>853</v>
      </c>
      <c r="B57" s="3158" t="s">
        <v>985</v>
      </c>
      <c r="C57" s="3158">
        <v>20790</v>
      </c>
      <c r="D57" s="3158">
        <v>21370</v>
      </c>
      <c r="E57" s="3158">
        <v>20890</v>
      </c>
      <c r="F57" s="3164">
        <v>4910</v>
      </c>
      <c r="G57" s="3164">
        <v>14510</v>
      </c>
      <c r="I57" s="972"/>
      <c r="O57" s="3167" t="s">
        <v>2883</v>
      </c>
    </row>
    <row r="58" spans="1:18" ht="14.25" customHeight="1">
      <c r="A58" s="3158" t="s">
        <v>853</v>
      </c>
      <c r="B58" s="3158" t="s">
        <v>994</v>
      </c>
      <c r="C58" s="3158">
        <v>21460</v>
      </c>
      <c r="D58" s="3158">
        <v>20920</v>
      </c>
      <c r="E58" s="3158">
        <v>23410</v>
      </c>
      <c r="F58" s="3164">
        <v>5100</v>
      </c>
      <c r="G58" s="3164">
        <v>14200</v>
      </c>
      <c r="I58" s="972"/>
      <c r="O58" s="3167" t="s">
        <v>2884</v>
      </c>
    </row>
    <row r="59" spans="1:18" ht="14.25" customHeight="1">
      <c r="A59" s="3158" t="s">
        <v>853</v>
      </c>
      <c r="B59" s="3158" t="s">
        <v>1004</v>
      </c>
      <c r="C59" s="3158">
        <v>21000</v>
      </c>
      <c r="D59" s="3158">
        <v>21550</v>
      </c>
      <c r="E59" s="3158">
        <v>21150</v>
      </c>
      <c r="F59" s="3164">
        <v>5250</v>
      </c>
      <c r="G59" s="3164">
        <v>14630</v>
      </c>
      <c r="I59" s="972"/>
      <c r="O59" s="3167" t="s">
        <v>2885</v>
      </c>
    </row>
    <row r="60" spans="1:18" ht="14.25" customHeight="1">
      <c r="A60" s="3158" t="s">
        <v>853</v>
      </c>
      <c r="B60" s="3158" t="s">
        <v>1011</v>
      </c>
      <c r="C60" s="3158">
        <v>21640</v>
      </c>
      <c r="D60" s="3158">
        <v>21260</v>
      </c>
      <c r="E60" s="3158">
        <v>24040</v>
      </c>
      <c r="F60" s="3164">
        <v>4470</v>
      </c>
      <c r="G60" s="3164">
        <v>14430</v>
      </c>
      <c r="I60" s="972"/>
      <c r="O60" s="3167" t="s">
        <v>2886</v>
      </c>
    </row>
    <row r="61" spans="1:18" ht="14.25" customHeight="1">
      <c r="A61" s="3158" t="s">
        <v>853</v>
      </c>
      <c r="B61" s="3158" t="s">
        <v>1017</v>
      </c>
      <c r="C61" s="3158">
        <v>21330</v>
      </c>
      <c r="D61" s="3158">
        <v>18640</v>
      </c>
      <c r="E61" s="3158">
        <v>21190</v>
      </c>
      <c r="F61" s="3164">
        <v>4180</v>
      </c>
      <c r="G61" s="3166">
        <v>12650</v>
      </c>
      <c r="I61" s="972"/>
      <c r="O61" s="3167" t="s">
        <v>2887</v>
      </c>
    </row>
    <row r="62" spans="1:18" ht="14.25" customHeight="1">
      <c r="A62" s="3158" t="s">
        <v>853</v>
      </c>
      <c r="B62" s="3158" t="s">
        <v>1024</v>
      </c>
      <c r="C62" s="3158">
        <v>18710</v>
      </c>
      <c r="D62" s="3158">
        <v>19400</v>
      </c>
      <c r="E62" s="3158">
        <v>23750</v>
      </c>
      <c r="F62" s="3164">
        <v>4860</v>
      </c>
      <c r="G62" s="3166">
        <v>13170</v>
      </c>
      <c r="I62" s="972"/>
      <c r="O62" s="3167" t="s">
        <v>2888</v>
      </c>
    </row>
    <row r="63" spans="1:18" ht="14.25" customHeight="1">
      <c r="A63" s="3158" t="s">
        <v>853</v>
      </c>
      <c r="B63" s="3158" t="s">
        <v>1034</v>
      </c>
      <c r="C63" s="3158">
        <v>19480</v>
      </c>
      <c r="D63" s="3158">
        <v>16830</v>
      </c>
      <c r="E63" s="3158">
        <v>21590</v>
      </c>
      <c r="F63" s="3164">
        <v>4560</v>
      </c>
      <c r="G63" s="3166">
        <v>11420</v>
      </c>
      <c r="I63" s="972"/>
      <c r="O63" s="3167" t="s">
        <v>2889</v>
      </c>
    </row>
    <row r="64" spans="1:18" ht="14.25" customHeight="1">
      <c r="A64" s="3158" t="s">
        <v>853</v>
      </c>
      <c r="B64" s="3158" t="s">
        <v>1043</v>
      </c>
      <c r="C64" s="3158">
        <v>16920</v>
      </c>
      <c r="D64" s="3158">
        <v>19190</v>
      </c>
      <c r="E64" s="3158">
        <v>22200</v>
      </c>
      <c r="F64" s="3164">
        <v>4390</v>
      </c>
      <c r="G64" s="3166">
        <v>13030</v>
      </c>
      <c r="I64" s="972"/>
      <c r="O64" s="3167" t="s">
        <v>2890</v>
      </c>
    </row>
    <row r="65" spans="1:21" s="961" customFormat="1" ht="14.25" customHeight="1">
      <c r="A65" s="3158" t="s">
        <v>853</v>
      </c>
      <c r="B65" s="3158" t="s">
        <v>1050</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853</v>
      </c>
      <c r="B66" s="3158" t="s">
        <v>1057</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853</v>
      </c>
      <c r="B67" s="3158" t="s">
        <v>1064</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853</v>
      </c>
      <c r="B68" s="3158" t="s">
        <v>1072</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853</v>
      </c>
      <c r="B69" s="3158" t="s">
        <v>1080</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853</v>
      </c>
      <c r="B70" s="3158" t="s">
        <v>1085</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853</v>
      </c>
      <c r="B71" s="3158" t="s">
        <v>1094</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853</v>
      </c>
      <c r="B72" s="3158" t="s">
        <v>1101</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853</v>
      </c>
      <c r="B73" s="3158" t="s">
        <v>1109</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853</v>
      </c>
      <c r="B74" s="3158" t="s">
        <v>1116</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853</v>
      </c>
      <c r="B75" s="3158" t="s">
        <v>1120</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853</v>
      </c>
      <c r="B76" s="1217" t="s">
        <v>1127</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853</v>
      </c>
      <c r="B77" s="3158" t="s">
        <v>1130</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853</v>
      </c>
      <c r="B78" s="3158" t="s">
        <v>2830</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853</v>
      </c>
      <c r="B79" s="3158" t="s">
        <v>2831</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853</v>
      </c>
      <c r="B80" s="3158" t="s">
        <v>2832</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853</v>
      </c>
      <c r="B81" s="3158" t="s">
        <v>2833</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853</v>
      </c>
      <c r="B82" s="3158" t="s">
        <v>2834</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853</v>
      </c>
      <c r="B83" s="3158" t="s">
        <v>2835</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853</v>
      </c>
      <c r="B84" s="3158" t="s">
        <v>2836</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853</v>
      </c>
      <c r="B85" s="1215" t="s">
        <v>2837</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853</v>
      </c>
      <c r="B86" s="3161" t="s">
        <v>2838</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1152</v>
      </c>
      <c r="B87" s="1217" t="s">
        <v>2839</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1152</v>
      </c>
      <c r="B88" s="3158" t="s">
        <v>976</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1152</v>
      </c>
      <c r="B89" s="3158" t="s">
        <v>986</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1152</v>
      </c>
      <c r="B90" s="3158" t="s">
        <v>995</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1152</v>
      </c>
      <c r="B91" s="3158" t="s">
        <v>1005</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1152</v>
      </c>
      <c r="B92" s="3158" t="s">
        <v>1012</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1152</v>
      </c>
      <c r="B93" s="3158" t="s">
        <v>1018</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1152</v>
      </c>
      <c r="B94" s="3158" t="s">
        <v>1025</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1152</v>
      </c>
      <c r="B95" s="3158" t="s">
        <v>1035</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1152</v>
      </c>
      <c r="B96" s="3158" t="s">
        <v>1044</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1152</v>
      </c>
      <c r="B97" s="3158" t="s">
        <v>1051</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1152</v>
      </c>
      <c r="B98" s="3158" t="s">
        <v>1058</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1152</v>
      </c>
      <c r="B99" s="3158" t="s">
        <v>1065</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1152</v>
      </c>
      <c r="B100" s="3158" t="s">
        <v>1073</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1152</v>
      </c>
      <c r="B101" s="3158" t="s">
        <v>1081</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1152</v>
      </c>
      <c r="B102" s="3158" t="s">
        <v>1086</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1152</v>
      </c>
      <c r="B103" s="3158" t="s">
        <v>1095</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1152</v>
      </c>
      <c r="B104" s="3158" t="s">
        <v>1102</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1152</v>
      </c>
      <c r="B105" s="3158" t="s">
        <v>1110</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1152</v>
      </c>
      <c r="B106" s="3158" t="s">
        <v>1117</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1152</v>
      </c>
      <c r="B107" s="3158" t="s">
        <v>1121</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1152</v>
      </c>
      <c r="B108" s="3158" t="s">
        <v>1128</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1152</v>
      </c>
      <c r="B109" s="3158" t="s">
        <v>1131</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1152</v>
      </c>
      <c r="B110" s="1217" t="s">
        <v>1133</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1152</v>
      </c>
      <c r="B111" s="3158" t="s">
        <v>1136</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1152</v>
      </c>
      <c r="B112" s="3158" t="s">
        <v>1140</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1152</v>
      </c>
      <c r="B113" s="3158" t="s">
        <v>2840</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1152</v>
      </c>
      <c r="B114" s="3158" t="s">
        <v>2841</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1152</v>
      </c>
      <c r="B115" s="3158" t="s">
        <v>2842</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1152</v>
      </c>
      <c r="B116" s="3158" t="s">
        <v>2843</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1152</v>
      </c>
      <c r="B117" s="3158" t="s">
        <v>2844</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1152</v>
      </c>
      <c r="B118" s="3158" t="s">
        <v>2845</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1152</v>
      </c>
      <c r="B119" s="3158" t="s">
        <v>2846</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1152</v>
      </c>
      <c r="B120" s="3158" t="s">
        <v>2847</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1152</v>
      </c>
      <c r="B121" s="3158" t="s">
        <v>2848</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1152</v>
      </c>
      <c r="B122" s="3158" t="s">
        <v>2849</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1152</v>
      </c>
      <c r="B123" s="3158" t="s">
        <v>2850</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1152</v>
      </c>
      <c r="B124" s="3158" t="s">
        <v>2851</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1152</v>
      </c>
      <c r="B125" s="1215" t="s">
        <v>2852</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1152</v>
      </c>
      <c r="B126" s="3161" t="s">
        <v>2853</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1153</v>
      </c>
      <c r="B127" s="1217" t="s">
        <v>2854</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1153</v>
      </c>
      <c r="B128" s="3158" t="s">
        <v>977</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1153</v>
      </c>
      <c r="B129" s="3158" t="s">
        <v>987</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1153</v>
      </c>
      <c r="B130" s="3158" t="s">
        <v>996</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1153</v>
      </c>
      <c r="B131" s="3158" t="s">
        <v>1006</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1153</v>
      </c>
      <c r="B132" s="3158" t="s">
        <v>1013</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1153</v>
      </c>
      <c r="B133" s="3158" t="s">
        <v>1019</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1153</v>
      </c>
      <c r="B134" s="3158" t="s">
        <v>1026</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1153</v>
      </c>
      <c r="B135" s="3158" t="s">
        <v>1036</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1153</v>
      </c>
      <c r="B136" s="3158" t="s">
        <v>1045</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1153</v>
      </c>
      <c r="B137" s="3158" t="s">
        <v>1052</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1153</v>
      </c>
      <c r="B138" s="3158" t="s">
        <v>1059</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1153</v>
      </c>
      <c r="B139" s="3158" t="s">
        <v>1066</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1153</v>
      </c>
      <c r="B140" s="3158" t="s">
        <v>1074</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1153</v>
      </c>
      <c r="B141" s="3158" t="s">
        <v>1082</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1153</v>
      </c>
      <c r="B142" s="3158" t="s">
        <v>1087</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1153</v>
      </c>
      <c r="B143" s="3158" t="s">
        <v>1096</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1153</v>
      </c>
      <c r="B144" s="3158" t="s">
        <v>1103</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1153</v>
      </c>
      <c r="B145" s="3158" t="s">
        <v>1111</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1153</v>
      </c>
      <c r="B146" s="3158" t="s">
        <v>1118</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1153</v>
      </c>
      <c r="B147" s="3158" t="s">
        <v>1122</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1153</v>
      </c>
      <c r="B148" s="3158" t="s">
        <v>2855</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1153</v>
      </c>
      <c r="B149" s="3158" t="s">
        <v>2856</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1153</v>
      </c>
      <c r="B150" s="3158" t="s">
        <v>1141</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1153</v>
      </c>
      <c r="B151" s="3158" t="s">
        <v>1143</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1153</v>
      </c>
      <c r="B152" s="3158" t="s">
        <v>1146</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1153</v>
      </c>
      <c r="B153" s="3158" t="s">
        <v>2857</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1153</v>
      </c>
      <c r="B154" s="3158" t="s">
        <v>2858</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1153</v>
      </c>
      <c r="B155" s="3158" t="s">
        <v>2859</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1153</v>
      </c>
      <c r="B156" s="3158" t="s">
        <v>2860</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1153</v>
      </c>
      <c r="B157" s="3158" t="s">
        <v>1149</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1153</v>
      </c>
      <c r="B158" s="1217" t="s">
        <v>1150</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1153</v>
      </c>
      <c r="B159" s="3158" t="s">
        <v>1151</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1153</v>
      </c>
      <c r="B160" s="3158" t="s">
        <v>2861</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1153</v>
      </c>
      <c r="B161" s="3158" t="s">
        <v>2862</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1153</v>
      </c>
      <c r="B162" s="3158" t="s">
        <v>2863</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1153</v>
      </c>
      <c r="B163" s="3158" t="s">
        <v>2864</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1153</v>
      </c>
      <c r="B164" s="3158" t="s">
        <v>2865</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1153</v>
      </c>
      <c r="B165" s="3158" t="s">
        <v>2866</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1153</v>
      </c>
      <c r="B166" s="3158" t="s">
        <v>2867</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1153</v>
      </c>
      <c r="B167" s="3158" t="s">
        <v>2868</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1153</v>
      </c>
      <c r="B168" s="3158" t="s">
        <v>2869</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1153</v>
      </c>
      <c r="B169" s="3158" t="s">
        <v>2870</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1153</v>
      </c>
      <c r="B170" s="3158" t="s">
        <v>2871</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1153</v>
      </c>
      <c r="B171" s="3158" t="s">
        <v>2872</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1153</v>
      </c>
      <c r="B172" s="3158" t="s">
        <v>2873</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1153</v>
      </c>
      <c r="B173" s="3158" t="s">
        <v>2874</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1153</v>
      </c>
      <c r="B174" s="3158" t="s">
        <v>2875</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1153</v>
      </c>
      <c r="B175" s="3158" t="s">
        <v>2876</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1153</v>
      </c>
      <c r="B176" s="3158" t="s">
        <v>2877</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1153</v>
      </c>
      <c r="B177" s="3158" t="s">
        <v>2878</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1153</v>
      </c>
      <c r="B178" s="3158" t="s">
        <v>2879</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1153</v>
      </c>
      <c r="B179" s="3158" t="s">
        <v>2880</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1153</v>
      </c>
      <c r="B180" s="3158" t="s">
        <v>2881</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1153</v>
      </c>
      <c r="B181" s="3158" t="s">
        <v>2882</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1153</v>
      </c>
      <c r="B182" s="3158" t="s">
        <v>2883</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1153</v>
      </c>
      <c r="B183" s="3158" t="s">
        <v>2884</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1153</v>
      </c>
      <c r="B184" s="3158" t="s">
        <v>2885</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1153</v>
      </c>
      <c r="B185" s="3158" t="s">
        <v>2886</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1153</v>
      </c>
      <c r="B186" s="3158" t="s">
        <v>2887</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1153</v>
      </c>
      <c r="B187" s="3158" t="s">
        <v>2888</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1153</v>
      </c>
      <c r="B188" s="3158" t="s">
        <v>2889</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1153</v>
      </c>
      <c r="B189" s="3161" t="s">
        <v>2890</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1154</v>
      </c>
      <c r="B190" s="1217" t="s">
        <v>2891</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1154</v>
      </c>
      <c r="B191" s="3158" t="s">
        <v>978</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1154</v>
      </c>
      <c r="B192" s="3158" t="s">
        <v>988</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1154</v>
      </c>
      <c r="B193" s="3158" t="s">
        <v>997</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1154</v>
      </c>
      <c r="B194" s="3158" t="s">
        <v>1007</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1154</v>
      </c>
      <c r="B195" s="3158" t="s">
        <v>1014</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1154</v>
      </c>
      <c r="B196" s="3158" t="s">
        <v>1020</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1154</v>
      </c>
      <c r="B197" s="3158" t="s">
        <v>1027</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1154</v>
      </c>
      <c r="B198" s="3158" t="s">
        <v>1037</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1154</v>
      </c>
      <c r="B199" s="3158" t="s">
        <v>2892</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1154</v>
      </c>
      <c r="B200" s="3158" t="s">
        <v>2893</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1154</v>
      </c>
      <c r="B201" s="3158" t="s">
        <v>2894</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1154</v>
      </c>
      <c r="B202" s="3158" t="s">
        <v>1088</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1154</v>
      </c>
      <c r="B203" s="3158" t="s">
        <v>2895</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1154</v>
      </c>
      <c r="B204" s="3158" t="s">
        <v>2896</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1154</v>
      </c>
      <c r="B205" s="3158" t="s">
        <v>2897</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1154</v>
      </c>
      <c r="B206" s="1217" t="s">
        <v>2898</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1154</v>
      </c>
      <c r="B207" s="3158" t="s">
        <v>2899</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1154</v>
      </c>
      <c r="B208" s="3158" t="s">
        <v>2900</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1154</v>
      </c>
      <c r="B209" s="3158" t="s">
        <v>1112</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1154</v>
      </c>
      <c r="B210" s="3158" t="s">
        <v>2901</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1154</v>
      </c>
      <c r="B211" s="3158" t="s">
        <v>2902</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1154</v>
      </c>
      <c r="B212" s="3158" t="s">
        <v>1134</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1154</v>
      </c>
      <c r="B213" s="3158" t="s">
        <v>1137</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1154</v>
      </c>
      <c r="B214" s="3158" t="s">
        <v>2903</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1154</v>
      </c>
      <c r="B215" s="3158" t="s">
        <v>1123</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1154</v>
      </c>
      <c r="B216" s="3158" t="s">
        <v>2904</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1154</v>
      </c>
      <c r="B217" s="3158" t="s">
        <v>2905</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1154</v>
      </c>
      <c r="B218" s="3158" t="s">
        <v>2906</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1154</v>
      </c>
      <c r="B219" s="3158" t="s">
        <v>2907</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1154</v>
      </c>
      <c r="B220" s="3158" t="s">
        <v>2908</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1154</v>
      </c>
      <c r="B221" s="3158" t="s">
        <v>2909</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1154</v>
      </c>
      <c r="B222" s="3158" t="s">
        <v>2910</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1154</v>
      </c>
      <c r="B223" s="3158" t="s">
        <v>2911</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1154</v>
      </c>
      <c r="B224" s="3158" t="s">
        <v>2912</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1154</v>
      </c>
      <c r="B225" s="3158" t="s">
        <v>2913</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1154</v>
      </c>
      <c r="B226" s="3158" t="s">
        <v>2914</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1154</v>
      </c>
      <c r="B227" s="3158" t="s">
        <v>2915</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1154</v>
      </c>
      <c r="B228" s="3158" t="s">
        <v>2916</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1154</v>
      </c>
      <c r="B229" s="3158" t="s">
        <v>2917</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1154</v>
      </c>
      <c r="B230" s="3158" t="s">
        <v>2918</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1154</v>
      </c>
      <c r="B231" s="3158" t="s">
        <v>2919</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1154</v>
      </c>
      <c r="B232" s="3158" t="s">
        <v>2920</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1154</v>
      </c>
      <c r="B233" s="3161" t="s">
        <v>2921</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1155</v>
      </c>
      <c r="B234" s="1217" t="s">
        <v>2922</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1155</v>
      </c>
      <c r="B235" s="3158" t="s">
        <v>979</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1155</v>
      </c>
      <c r="B236" s="3158" t="s">
        <v>989</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1155</v>
      </c>
      <c r="B237" s="3158" t="s">
        <v>998</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1155</v>
      </c>
      <c r="B238" s="3158" t="s">
        <v>2923</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1155</v>
      </c>
      <c r="B239" s="3158" t="s">
        <v>2924</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1155</v>
      </c>
      <c r="B240" s="3158" t="s">
        <v>2925</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1155</v>
      </c>
      <c r="B241" s="3158" t="s">
        <v>2926</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1155</v>
      </c>
      <c r="B242" s="3158" t="s">
        <v>1028</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1155</v>
      </c>
      <c r="B243" s="3158" t="s">
        <v>1038</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1155</v>
      </c>
      <c r="B244" s="3158" t="s">
        <v>2927</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1155</v>
      </c>
      <c r="B245" s="1217" t="s">
        <v>1053</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1155</v>
      </c>
      <c r="B246" s="3158" t="s">
        <v>1060</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1155</v>
      </c>
      <c r="B247" s="3158" t="s">
        <v>2928</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1155</v>
      </c>
      <c r="B248" s="3158" t="s">
        <v>1075</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1155</v>
      </c>
      <c r="B249" s="3158" t="s">
        <v>2929</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1155</v>
      </c>
      <c r="B250" s="3158" t="s">
        <v>1089</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1155</v>
      </c>
      <c r="B251" s="3158" t="s">
        <v>1097</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1155</v>
      </c>
      <c r="B252" s="3158" t="s">
        <v>2930</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1155</v>
      </c>
      <c r="B253" s="3158" t="s">
        <v>1132</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1155</v>
      </c>
      <c r="B254" s="3158" t="s">
        <v>1135</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1155</v>
      </c>
      <c r="B255" s="3158" t="s">
        <v>1138</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1155</v>
      </c>
      <c r="B256" s="3158" t="s">
        <v>2931</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1155</v>
      </c>
      <c r="B257" s="3158" t="s">
        <v>1124</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1155</v>
      </c>
      <c r="B258" s="3158" t="s">
        <v>2932</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1155</v>
      </c>
      <c r="B259" s="3158" t="s">
        <v>2933</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1155</v>
      </c>
      <c r="B260" s="3158" t="s">
        <v>2934</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1155</v>
      </c>
      <c r="B261" s="3158" t="s">
        <v>2935</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1155</v>
      </c>
      <c r="B262" s="3158" t="s">
        <v>2936</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1155</v>
      </c>
      <c r="B263" s="3158" t="s">
        <v>2937</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1155</v>
      </c>
      <c r="B264" s="3158" t="s">
        <v>1148</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1155</v>
      </c>
      <c r="B265" s="3158" t="s">
        <v>2938</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1155</v>
      </c>
      <c r="B266" s="3158" t="s">
        <v>2939</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1155</v>
      </c>
      <c r="B267" s="3158" t="s">
        <v>2940</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1155</v>
      </c>
      <c r="B268" s="3158" t="s">
        <v>2941</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1155</v>
      </c>
      <c r="B269" s="3158" t="s">
        <v>2942</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1155</v>
      </c>
      <c r="B270" s="3158" t="s">
        <v>2943</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1155</v>
      </c>
      <c r="B271" s="3158" t="s">
        <v>2944</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1155</v>
      </c>
      <c r="B272" s="3158" t="s">
        <v>2945</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1155</v>
      </c>
      <c r="B273" s="3158" t="s">
        <v>2946</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1155</v>
      </c>
      <c r="B274" s="3158" t="s">
        <v>2947</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1155</v>
      </c>
      <c r="B275" s="3158" t="s">
        <v>2948</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1155</v>
      </c>
      <c r="B276" s="3161" t="s">
        <v>2949</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1156</v>
      </c>
      <c r="B277" s="1217" t="s">
        <v>2950</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1156</v>
      </c>
      <c r="B278" s="3158" t="s">
        <v>980</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1156</v>
      </c>
      <c r="B279" s="3158" t="s">
        <v>2951</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1156</v>
      </c>
      <c r="B280" s="3158" t="s">
        <v>2952</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1156</v>
      </c>
      <c r="B281" s="3158" t="s">
        <v>2953</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1156</v>
      </c>
      <c r="B282" s="3158" t="s">
        <v>2954</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1156</v>
      </c>
      <c r="B283" s="3158" t="s">
        <v>1021</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1156</v>
      </c>
      <c r="B284" s="3158" t="s">
        <v>1029</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1156</v>
      </c>
      <c r="B285" s="3158" t="s">
        <v>1039</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1156</v>
      </c>
      <c r="B286" s="3158" t="s">
        <v>1046</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1156</v>
      </c>
      <c r="B287" s="3158" t="s">
        <v>2955</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1156</v>
      </c>
      <c r="B288" s="3158" t="s">
        <v>1067</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1156</v>
      </c>
      <c r="B289" s="3158" t="s">
        <v>2956</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1156</v>
      </c>
      <c r="B290" s="1217" t="s">
        <v>1090</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1156</v>
      </c>
      <c r="B291" s="3158" t="s">
        <v>1098</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1156</v>
      </c>
      <c r="B292" s="3158" t="s">
        <v>1104</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1156</v>
      </c>
      <c r="B293" s="3158" t="s">
        <v>2957</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1156</v>
      </c>
      <c r="B294" s="3158" t="s">
        <v>2958</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1156</v>
      </c>
      <c r="B295" s="3158" t="s">
        <v>1139</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1156</v>
      </c>
      <c r="B296" s="3158" t="s">
        <v>1142</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1156</v>
      </c>
      <c r="B297" s="3158" t="s">
        <v>1144</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1156</v>
      </c>
      <c r="B298" s="3158" t="s">
        <v>1147</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1156</v>
      </c>
      <c r="B299" s="3158" t="s">
        <v>2959</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1156</v>
      </c>
      <c r="B300" s="3158" t="s">
        <v>1119</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1156</v>
      </c>
      <c r="B301" s="3158" t="s">
        <v>1125</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1156</v>
      </c>
      <c r="B302" s="3158" t="s">
        <v>2960</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1156</v>
      </c>
      <c r="B303" s="3158" t="s">
        <v>2961</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1156</v>
      </c>
      <c r="B304" s="3158" t="s">
        <v>2962</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1156</v>
      </c>
      <c r="B305" s="3158" t="s">
        <v>2963</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1156</v>
      </c>
      <c r="B306" s="3158" t="s">
        <v>2964</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1156</v>
      </c>
      <c r="B307" s="3158" t="s">
        <v>2965</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1156</v>
      </c>
      <c r="B308" s="3158" t="s">
        <v>2966</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1156</v>
      </c>
      <c r="B309" s="3158" t="s">
        <v>2967</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1156</v>
      </c>
      <c r="B310" s="3158" t="s">
        <v>2968</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1156</v>
      </c>
      <c r="B311" s="3158" t="s">
        <v>2969</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1156</v>
      </c>
      <c r="B312" s="3158" t="s">
        <v>2970</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1156</v>
      </c>
      <c r="B313" s="3158" t="s">
        <v>2971</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1156</v>
      </c>
      <c r="B314" s="3158" t="s">
        <v>2972</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1156</v>
      </c>
      <c r="B315" s="3158" t="s">
        <v>2973</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1156</v>
      </c>
      <c r="B316" s="3158" t="s">
        <v>2974</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1156</v>
      </c>
      <c r="B317" s="1217" t="s">
        <v>2975</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1156</v>
      </c>
      <c r="B318" s="3158" t="s">
        <v>2976</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1156</v>
      </c>
      <c r="B319" s="3158" t="s">
        <v>2977</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1156</v>
      </c>
      <c r="B320" s="3158" t="s">
        <v>2978</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1156</v>
      </c>
      <c r="B321" s="3158" t="s">
        <v>2979</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1156</v>
      </c>
      <c r="B322" s="3158" t="s">
        <v>2980</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1156</v>
      </c>
      <c r="B323" s="3158" t="s">
        <v>2981</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1156</v>
      </c>
      <c r="B324" s="3158" t="s">
        <v>2982</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1156</v>
      </c>
      <c r="B325" s="3158" t="s">
        <v>2983</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1156</v>
      </c>
      <c r="B326" s="3161" t="s">
        <v>2984</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1157</v>
      </c>
      <c r="B327" s="2406" t="s">
        <v>2985</v>
      </c>
      <c r="C327" s="2406">
        <v>3750</v>
      </c>
      <c r="D327" s="2406">
        <v>3710</v>
      </c>
      <c r="E327" s="2406">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1157</v>
      </c>
      <c r="B328" s="3158" t="s">
        <v>981</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1157</v>
      </c>
      <c r="B329" s="3158" t="s">
        <v>2986</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1157</v>
      </c>
      <c r="B330" s="3158" t="s">
        <v>2987</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1157</v>
      </c>
      <c r="B331" s="3158" t="s">
        <v>1008</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1157</v>
      </c>
      <c r="B332" s="3158" t="s">
        <v>2988</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1157</v>
      </c>
      <c r="B333" s="3158" t="s">
        <v>2989</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1157</v>
      </c>
      <c r="B334" s="3158" t="s">
        <v>1030</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1157</v>
      </c>
      <c r="B335" s="3158" t="s">
        <v>1040</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1157</v>
      </c>
      <c r="B336" s="3158" t="s">
        <v>2990</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1157</v>
      </c>
      <c r="B337" s="3158" t="s">
        <v>2991</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1157</v>
      </c>
      <c r="B338" s="3158" t="s">
        <v>1068</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1157</v>
      </c>
      <c r="B339" s="3158" t="s">
        <v>1076</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1157</v>
      </c>
      <c r="B340" s="3158" t="s">
        <v>2992</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1157</v>
      </c>
      <c r="B341" s="3158" t="s">
        <v>1054</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1157</v>
      </c>
      <c r="B342" s="3158" t="s">
        <v>2993</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1157</v>
      </c>
      <c r="B343" s="3158" t="s">
        <v>1105</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1157</v>
      </c>
      <c r="B344" s="3158" t="s">
        <v>1113</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1157</v>
      </c>
      <c r="B345" s="3167" t="s">
        <v>2994</v>
      </c>
      <c r="C345" s="3167">
        <v>3190</v>
      </c>
      <c r="D345" s="3167">
        <v>3140</v>
      </c>
      <c r="E345" s="3167">
        <v>3450</v>
      </c>
      <c r="F345" s="3167">
        <v>720</v>
      </c>
      <c r="G345" s="3167">
        <v>1880</v>
      </c>
      <c r="H345" s="958"/>
    </row>
    <row r="346" spans="1:21">
      <c r="A346" s="3167" t="s">
        <v>1157</v>
      </c>
      <c r="B346" s="3167" t="s">
        <v>2995</v>
      </c>
      <c r="C346" s="3167">
        <v>3630</v>
      </c>
      <c r="D346" s="3167">
        <v>3590</v>
      </c>
      <c r="E346" s="3167">
        <v>3940</v>
      </c>
      <c r="F346" s="3167">
        <v>730</v>
      </c>
      <c r="G346" s="3167">
        <v>2150</v>
      </c>
      <c r="H346" s="958"/>
    </row>
    <row r="347" spans="1:21">
      <c r="A347" s="3167" t="s">
        <v>1157</v>
      </c>
      <c r="B347" s="3167" t="s">
        <v>1091</v>
      </c>
      <c r="C347" s="3167">
        <v>3860</v>
      </c>
      <c r="D347" s="3167">
        <v>3820</v>
      </c>
      <c r="E347" s="3167">
        <v>4220</v>
      </c>
      <c r="F347" s="3167">
        <v>750</v>
      </c>
      <c r="G347" s="3167">
        <v>2280</v>
      </c>
      <c r="H347" s="958"/>
    </row>
    <row r="348" spans="1:21">
      <c r="A348" s="3167" t="s">
        <v>1157</v>
      </c>
      <c r="B348" s="3167" t="s">
        <v>2996</v>
      </c>
      <c r="C348" s="3167">
        <v>4000</v>
      </c>
      <c r="D348" s="3167">
        <v>3950</v>
      </c>
      <c r="E348" s="3167">
        <v>4430</v>
      </c>
      <c r="F348" s="3167">
        <v>760</v>
      </c>
      <c r="G348" s="3167">
        <v>2360</v>
      </c>
      <c r="H348" s="958"/>
    </row>
    <row r="349" spans="1:21">
      <c r="A349" s="3167" t="s">
        <v>1157</v>
      </c>
      <c r="B349" s="3167" t="s">
        <v>2997</v>
      </c>
      <c r="C349" s="3167">
        <v>3820</v>
      </c>
      <c r="D349" s="3167">
        <v>3780</v>
      </c>
      <c r="E349" s="3167">
        <v>4170</v>
      </c>
      <c r="F349" s="3167">
        <v>710</v>
      </c>
      <c r="G349" s="3167">
        <v>2260</v>
      </c>
      <c r="H349" s="958"/>
    </row>
    <row r="350" spans="1:21">
      <c r="A350" s="3167" t="s">
        <v>1157</v>
      </c>
      <c r="B350" s="3167" t="s">
        <v>2998</v>
      </c>
      <c r="C350" s="3167">
        <v>3760</v>
      </c>
      <c r="D350" s="3167">
        <v>3730</v>
      </c>
      <c r="E350" s="3167">
        <v>4100</v>
      </c>
      <c r="F350" s="3167">
        <v>800</v>
      </c>
      <c r="G350" s="3167">
        <v>2230</v>
      </c>
      <c r="H350" s="958"/>
    </row>
    <row r="351" spans="1:21">
      <c r="A351" s="3167" t="s">
        <v>1157</v>
      </c>
      <c r="B351" s="3167" t="s">
        <v>2999</v>
      </c>
      <c r="C351" s="3167">
        <v>3610</v>
      </c>
      <c r="D351" s="3167">
        <v>3580</v>
      </c>
      <c r="E351" s="3167">
        <v>3930</v>
      </c>
      <c r="F351" s="3167">
        <v>700</v>
      </c>
      <c r="G351" s="3167">
        <v>2140</v>
      </c>
      <c r="H351" s="958"/>
    </row>
    <row r="352" spans="1:21">
      <c r="A352" s="3167" t="s">
        <v>1157</v>
      </c>
      <c r="B352" s="3167" t="s">
        <v>3000</v>
      </c>
      <c r="C352" s="3167">
        <v>3670</v>
      </c>
      <c r="D352" s="3167">
        <v>3630</v>
      </c>
      <c r="E352" s="3167">
        <v>4000</v>
      </c>
      <c r="F352" s="3167">
        <v>750</v>
      </c>
      <c r="G352" s="3167">
        <v>2180</v>
      </c>
      <c r="H352" s="958"/>
    </row>
    <row r="353" spans="1:8">
      <c r="A353" s="3167" t="s">
        <v>1157</v>
      </c>
      <c r="B353" s="3167" t="s">
        <v>3001</v>
      </c>
      <c r="C353" s="3167">
        <v>3190</v>
      </c>
      <c r="D353" s="3167">
        <v>3150</v>
      </c>
      <c r="E353" s="3167">
        <v>3640</v>
      </c>
      <c r="F353" s="3167">
        <v>630</v>
      </c>
      <c r="G353" s="3167">
        <v>1890</v>
      </c>
      <c r="H353" s="958"/>
    </row>
    <row r="354" spans="1:8">
      <c r="A354" s="3167" t="s">
        <v>1157</v>
      </c>
      <c r="B354" s="3167" t="s">
        <v>1129</v>
      </c>
      <c r="C354" s="3167">
        <v>3450</v>
      </c>
      <c r="D354" s="3167">
        <v>3420</v>
      </c>
      <c r="E354" s="3167">
        <v>3960</v>
      </c>
      <c r="F354" s="3167">
        <v>660</v>
      </c>
      <c r="G354" s="3167">
        <v>2050</v>
      </c>
      <c r="H354" s="958"/>
    </row>
    <row r="355" spans="1:8">
      <c r="A355" s="3167" t="s">
        <v>1157</v>
      </c>
      <c r="B355" s="3167" t="s">
        <v>3002</v>
      </c>
      <c r="C355" s="3167">
        <v>3650</v>
      </c>
      <c r="D355" s="3167">
        <v>3610</v>
      </c>
      <c r="E355" s="3167">
        <v>4200</v>
      </c>
      <c r="F355" s="3167">
        <v>640</v>
      </c>
      <c r="G355" s="3167">
        <v>2160</v>
      </c>
      <c r="H355" s="958"/>
    </row>
    <row r="356" spans="1:8">
      <c r="A356" s="3167" t="s">
        <v>1157</v>
      </c>
      <c r="B356" s="3167" t="s">
        <v>3003</v>
      </c>
      <c r="C356" s="3167">
        <v>3260</v>
      </c>
      <c r="D356" s="3167">
        <v>3230</v>
      </c>
      <c r="E356" s="3167">
        <v>3740</v>
      </c>
      <c r="F356" s="3167">
        <v>600</v>
      </c>
      <c r="G356" s="3167">
        <v>1930</v>
      </c>
      <c r="H356" s="958"/>
    </row>
    <row r="357" spans="1:8" ht="15" thickBot="1">
      <c r="A357" s="3182" t="s">
        <v>1157</v>
      </c>
      <c r="B357" s="3182" t="s">
        <v>3004</v>
      </c>
      <c r="C357" s="3182">
        <v>3690</v>
      </c>
      <c r="D357" s="3182">
        <v>3650</v>
      </c>
      <c r="E357" s="3182">
        <v>4020</v>
      </c>
      <c r="F357" s="3182">
        <v>700</v>
      </c>
      <c r="G357" s="3182">
        <v>2190</v>
      </c>
      <c r="H357" s="958"/>
    </row>
    <row r="358" spans="1:8">
      <c r="A358" s="3183" t="s">
        <v>2762</v>
      </c>
      <c r="B358" s="3184" t="s">
        <v>3005</v>
      </c>
      <c r="C358" s="3184">
        <v>2080</v>
      </c>
      <c r="D358" s="3184">
        <v>2040</v>
      </c>
      <c r="E358" s="3184">
        <v>2010</v>
      </c>
      <c r="F358" s="3184">
        <v>530</v>
      </c>
      <c r="G358" s="3185">
        <v>1230</v>
      </c>
      <c r="H358" s="958"/>
    </row>
    <row r="359" spans="1:8">
      <c r="A359" s="3186" t="s">
        <v>2762</v>
      </c>
      <c r="B359" s="3167" t="s">
        <v>3006</v>
      </c>
      <c r="C359" s="3167">
        <v>1850</v>
      </c>
      <c r="D359" s="3167">
        <v>1820</v>
      </c>
      <c r="E359" s="3167">
        <v>1780</v>
      </c>
      <c r="F359" s="3167">
        <v>520</v>
      </c>
      <c r="G359" s="3179">
        <v>1100</v>
      </c>
      <c r="H359" s="958"/>
    </row>
    <row r="360" spans="1:8">
      <c r="A360" s="3186" t="s">
        <v>2762</v>
      </c>
      <c r="B360" s="3167" t="s">
        <v>3007</v>
      </c>
      <c r="C360" s="3167">
        <v>2020</v>
      </c>
      <c r="D360" s="3167">
        <v>1990</v>
      </c>
      <c r="E360" s="3167">
        <v>1950</v>
      </c>
      <c r="F360" s="3167">
        <v>500</v>
      </c>
      <c r="G360" s="3179">
        <v>1200</v>
      </c>
      <c r="H360" s="958"/>
    </row>
    <row r="361" spans="1:8">
      <c r="A361" s="3186" t="s">
        <v>2762</v>
      </c>
      <c r="B361" s="3167" t="s">
        <v>999</v>
      </c>
      <c r="C361" s="3167">
        <v>2260</v>
      </c>
      <c r="D361" s="3167">
        <v>2220</v>
      </c>
      <c r="E361" s="3167">
        <v>2180</v>
      </c>
      <c r="F361" s="3167">
        <v>580</v>
      </c>
      <c r="G361" s="3179">
        <v>1340</v>
      </c>
      <c r="H361" s="958"/>
    </row>
    <row r="362" spans="1:8">
      <c r="A362" s="3186" t="s">
        <v>2762</v>
      </c>
      <c r="B362" s="3167" t="s">
        <v>3008</v>
      </c>
      <c r="C362" s="3167">
        <v>2650</v>
      </c>
      <c r="D362" s="3167">
        <v>2610</v>
      </c>
      <c r="E362" s="3167">
        <v>2570</v>
      </c>
      <c r="F362" s="3167">
        <v>630</v>
      </c>
      <c r="G362" s="3179">
        <v>1570</v>
      </c>
      <c r="H362" s="958"/>
    </row>
    <row r="363" spans="1:8">
      <c r="A363" s="3186" t="s">
        <v>2762</v>
      </c>
      <c r="B363" s="3167" t="s">
        <v>3009</v>
      </c>
      <c r="C363" s="3167">
        <v>2390</v>
      </c>
      <c r="D363" s="3167">
        <v>2360</v>
      </c>
      <c r="E363" s="3167">
        <v>2320</v>
      </c>
      <c r="F363" s="3167">
        <v>600</v>
      </c>
      <c r="G363" s="3179">
        <v>1420</v>
      </c>
      <c r="H363" s="958"/>
    </row>
    <row r="364" spans="1:8">
      <c r="A364" s="3186" t="s">
        <v>2762</v>
      </c>
      <c r="B364" s="3167" t="s">
        <v>3010</v>
      </c>
      <c r="C364" s="3167">
        <v>2050</v>
      </c>
      <c r="D364" s="3167">
        <v>2030</v>
      </c>
      <c r="E364" s="3167">
        <v>1990</v>
      </c>
      <c r="F364" s="3167">
        <v>550</v>
      </c>
      <c r="G364" s="3179">
        <v>1220</v>
      </c>
      <c r="H364" s="958"/>
    </row>
    <row r="365" spans="1:8">
      <c r="A365" s="3186" t="s">
        <v>2762</v>
      </c>
      <c r="B365" s="3167" t="s">
        <v>1047</v>
      </c>
      <c r="C365" s="3167">
        <v>2140</v>
      </c>
      <c r="D365" s="3167">
        <v>2100</v>
      </c>
      <c r="E365" s="3167">
        <v>2060</v>
      </c>
      <c r="F365" s="3167">
        <v>540</v>
      </c>
      <c r="G365" s="3179">
        <v>1270</v>
      </c>
      <c r="H365" s="958"/>
    </row>
    <row r="366" spans="1:8">
      <c r="A366" s="3186" t="s">
        <v>2762</v>
      </c>
      <c r="B366" s="3167" t="s">
        <v>3011</v>
      </c>
      <c r="C366" s="3167">
        <v>2410</v>
      </c>
      <c r="D366" s="3167">
        <v>2370</v>
      </c>
      <c r="E366" s="3167">
        <v>2330</v>
      </c>
      <c r="F366" s="3167">
        <v>570</v>
      </c>
      <c r="G366" s="3179">
        <v>1440</v>
      </c>
      <c r="H366" s="958"/>
    </row>
    <row r="367" spans="1:8">
      <c r="A367" s="3186" t="s">
        <v>2762</v>
      </c>
      <c r="B367" s="3167" t="s">
        <v>3012</v>
      </c>
      <c r="C367" s="3167">
        <v>2300</v>
      </c>
      <c r="D367" s="3167">
        <v>2260</v>
      </c>
      <c r="E367" s="3167">
        <v>2220</v>
      </c>
      <c r="F367" s="3167">
        <v>560</v>
      </c>
      <c r="G367" s="3179">
        <v>1370</v>
      </c>
      <c r="H367" s="958"/>
    </row>
    <row r="368" spans="1:8">
      <c r="A368" s="3186" t="s">
        <v>2762</v>
      </c>
      <c r="B368" s="3167" t="s">
        <v>3013</v>
      </c>
      <c r="C368" s="3167">
        <v>2430</v>
      </c>
      <c r="D368" s="3167">
        <v>2390</v>
      </c>
      <c r="E368" s="3167">
        <v>2350</v>
      </c>
      <c r="F368" s="3167">
        <v>570</v>
      </c>
      <c r="G368" s="3179">
        <v>1450</v>
      </c>
      <c r="H368" s="958"/>
    </row>
    <row r="369" spans="1:8">
      <c r="A369" s="3186" t="s">
        <v>2762</v>
      </c>
      <c r="B369" s="3167" t="s">
        <v>1061</v>
      </c>
      <c r="C369" s="3167">
        <v>2320</v>
      </c>
      <c r="D369" s="3167">
        <v>2290</v>
      </c>
      <c r="E369" s="3167">
        <v>2250</v>
      </c>
      <c r="F369" s="3167">
        <v>550</v>
      </c>
      <c r="G369" s="3179">
        <v>1380</v>
      </c>
      <c r="H369" s="958"/>
    </row>
    <row r="370" spans="1:8">
      <c r="A370" s="3186" t="s">
        <v>2762</v>
      </c>
      <c r="B370" s="3167" t="s">
        <v>1069</v>
      </c>
      <c r="C370" s="3167">
        <v>2190</v>
      </c>
      <c r="D370" s="3167">
        <v>2170</v>
      </c>
      <c r="E370" s="3167">
        <v>2130</v>
      </c>
      <c r="F370" s="3167">
        <v>530</v>
      </c>
      <c r="G370" s="3179">
        <v>1310</v>
      </c>
      <c r="H370" s="958"/>
    </row>
    <row r="371" spans="1:8">
      <c r="A371" s="3186" t="s">
        <v>2762</v>
      </c>
      <c r="B371" s="3167" t="s">
        <v>1077</v>
      </c>
      <c r="C371" s="3167">
        <v>2460</v>
      </c>
      <c r="D371" s="3167">
        <v>2420</v>
      </c>
      <c r="E371" s="3167">
        <v>2370</v>
      </c>
      <c r="F371" s="3167">
        <v>560</v>
      </c>
      <c r="G371" s="3179">
        <v>1470</v>
      </c>
      <c r="H371" s="958"/>
    </row>
    <row r="372" spans="1:8">
      <c r="A372" s="3186" t="s">
        <v>2762</v>
      </c>
      <c r="B372" s="3167" t="s">
        <v>3014</v>
      </c>
      <c r="C372" s="3167">
        <v>2250</v>
      </c>
      <c r="D372" s="3167">
        <v>2210</v>
      </c>
      <c r="E372" s="3167">
        <v>2180</v>
      </c>
      <c r="F372" s="3167">
        <v>550</v>
      </c>
      <c r="G372" s="3179">
        <v>1340</v>
      </c>
      <c r="H372" s="958"/>
    </row>
    <row r="373" spans="1:8">
      <c r="A373" s="3186" t="s">
        <v>2762</v>
      </c>
      <c r="B373" s="3167" t="s">
        <v>1106</v>
      </c>
      <c r="C373" s="3167">
        <v>2210</v>
      </c>
      <c r="D373" s="3167">
        <v>2190</v>
      </c>
      <c r="E373" s="3167">
        <v>2150</v>
      </c>
      <c r="F373" s="3167">
        <v>530</v>
      </c>
      <c r="G373" s="3179">
        <v>1320</v>
      </c>
      <c r="H373" s="958"/>
    </row>
    <row r="374" spans="1:8">
      <c r="A374" s="3186" t="s">
        <v>2762</v>
      </c>
      <c r="B374" s="3167" t="s">
        <v>1114</v>
      </c>
      <c r="C374" s="3167">
        <v>2320</v>
      </c>
      <c r="D374" s="3167">
        <v>2280</v>
      </c>
      <c r="E374" s="3167">
        <v>2230</v>
      </c>
      <c r="F374" s="3167">
        <v>580</v>
      </c>
      <c r="G374" s="3179">
        <v>1380</v>
      </c>
      <c r="H374" s="958"/>
    </row>
    <row r="375" spans="1:8">
      <c r="A375" s="3186" t="s">
        <v>2762</v>
      </c>
      <c r="B375" s="3167" t="s">
        <v>3015</v>
      </c>
      <c r="C375" s="3167">
        <v>2090</v>
      </c>
      <c r="D375" s="3167">
        <v>2050</v>
      </c>
      <c r="E375" s="3167">
        <v>2020</v>
      </c>
      <c r="F375" s="3167">
        <v>520</v>
      </c>
      <c r="G375" s="3179">
        <v>1240</v>
      </c>
      <c r="H375" s="958"/>
    </row>
    <row r="376" spans="1:8">
      <c r="A376" s="3186" t="s">
        <v>2762</v>
      </c>
      <c r="B376" s="3167" t="s">
        <v>1126</v>
      </c>
      <c r="C376" s="3167">
        <v>2010</v>
      </c>
      <c r="D376" s="3167">
        <v>1980</v>
      </c>
      <c r="E376" s="3167">
        <v>1940</v>
      </c>
      <c r="F376" s="3167">
        <v>540</v>
      </c>
      <c r="G376" s="3179">
        <v>1190</v>
      </c>
      <c r="H376" s="958"/>
    </row>
    <row r="377" spans="1:8" ht="15" thickBot="1">
      <c r="A377" s="3188" t="s">
        <v>2762</v>
      </c>
      <c r="B377" s="3182" t="s">
        <v>3016</v>
      </c>
      <c r="C377" s="3182">
        <v>1930</v>
      </c>
      <c r="D377" s="3182">
        <v>1890</v>
      </c>
      <c r="E377" s="3182">
        <v>1860</v>
      </c>
      <c r="F377" s="3182">
        <v>530</v>
      </c>
      <c r="G377" s="3189">
        <v>1150</v>
      </c>
      <c r="H377" s="958"/>
    </row>
    <row r="378" spans="1:8">
      <c r="A378" s="3183" t="s">
        <v>2763</v>
      </c>
      <c r="B378" s="3184" t="s">
        <v>3017</v>
      </c>
      <c r="C378" s="3184">
        <v>1520</v>
      </c>
      <c r="D378" s="3184">
        <v>1490</v>
      </c>
      <c r="E378" s="3184">
        <v>1460</v>
      </c>
      <c r="F378" s="3184">
        <v>460</v>
      </c>
      <c r="G378" s="3185">
        <v>940</v>
      </c>
      <c r="H378" s="958"/>
    </row>
    <row r="379" spans="1:8">
      <c r="A379" s="3186" t="s">
        <v>2763</v>
      </c>
      <c r="B379" s="3167" t="s">
        <v>3018</v>
      </c>
      <c r="C379" s="3167">
        <v>1500</v>
      </c>
      <c r="D379" s="3167">
        <v>1470</v>
      </c>
      <c r="E379" s="3167">
        <v>1430</v>
      </c>
      <c r="F379" s="3167">
        <v>460</v>
      </c>
      <c r="G379" s="3179">
        <v>920</v>
      </c>
      <c r="H379" s="958"/>
    </row>
    <row r="380" spans="1:8">
      <c r="A380" s="3186" t="s">
        <v>2763</v>
      </c>
      <c r="B380" s="3167" t="s">
        <v>3019</v>
      </c>
      <c r="C380" s="3167">
        <v>1620</v>
      </c>
      <c r="D380" s="3167">
        <v>1590</v>
      </c>
      <c r="E380" s="3167">
        <v>1560</v>
      </c>
      <c r="F380" s="3167">
        <v>480</v>
      </c>
      <c r="G380" s="3179">
        <v>1000</v>
      </c>
      <c r="H380" s="958"/>
    </row>
    <row r="381" spans="1:8">
      <c r="A381" s="3186" t="s">
        <v>2763</v>
      </c>
      <c r="B381" s="3167" t="s">
        <v>3020</v>
      </c>
      <c r="C381" s="3167">
        <v>1460</v>
      </c>
      <c r="D381" s="3167">
        <v>1430</v>
      </c>
      <c r="E381" s="3167">
        <v>1390</v>
      </c>
      <c r="F381" s="3167">
        <v>450</v>
      </c>
      <c r="G381" s="3179">
        <v>900</v>
      </c>
      <c r="H381" s="958"/>
    </row>
    <row r="382" spans="1:8">
      <c r="A382" s="3186" t="s">
        <v>2763</v>
      </c>
      <c r="B382" s="3167" t="s">
        <v>3021</v>
      </c>
      <c r="C382" s="3167">
        <v>1310</v>
      </c>
      <c r="D382" s="3167">
        <v>1280</v>
      </c>
      <c r="E382" s="3167">
        <v>1250</v>
      </c>
      <c r="F382" s="3167">
        <v>440</v>
      </c>
      <c r="G382" s="3179">
        <v>800</v>
      </c>
      <c r="H382" s="958"/>
    </row>
    <row r="383" spans="1:8">
      <c r="A383" s="3186" t="s">
        <v>2763</v>
      </c>
      <c r="B383" s="3167" t="s">
        <v>3022</v>
      </c>
      <c r="C383" s="3167">
        <v>1260</v>
      </c>
      <c r="D383" s="3167">
        <v>1230</v>
      </c>
      <c r="E383" s="3167">
        <v>1200</v>
      </c>
      <c r="F383" s="3167">
        <v>420</v>
      </c>
      <c r="G383" s="3179">
        <v>770</v>
      </c>
      <c r="H383" s="958"/>
    </row>
    <row r="384" spans="1:8" ht="15" thickBot="1">
      <c r="A384" s="3187" t="s">
        <v>2763</v>
      </c>
      <c r="B384" s="3181" t="s">
        <v>3023</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77" t="s">
        <v>3186</v>
      </c>
      <c r="B1" s="3677"/>
      <c r="C1" s="3677"/>
      <c r="D1" s="3677"/>
      <c r="E1" s="3677"/>
      <c r="F1" s="3678"/>
    </row>
    <row r="2" spans="1:6">
      <c r="A2" s="3232" t="s">
        <v>3187</v>
      </c>
      <c r="B2" s="1491"/>
      <c r="C2" s="1491"/>
      <c r="D2" s="1491"/>
      <c r="E2" s="1491"/>
      <c r="F2" s="1491"/>
    </row>
    <row r="3" spans="1:6">
      <c r="A3" s="3232" t="s">
        <v>3188</v>
      </c>
      <c r="B3" s="1491"/>
      <c r="C3" s="1491"/>
      <c r="D3" s="1491"/>
      <c r="E3" s="1491"/>
      <c r="F3" s="3233" t="s">
        <v>3189</v>
      </c>
    </row>
    <row r="4" spans="1:6">
      <c r="A4" s="3234" t="s">
        <v>3184</v>
      </c>
      <c r="B4" s="3234" t="s">
        <v>2738</v>
      </c>
      <c r="C4" s="3234" t="s">
        <v>1212</v>
      </c>
      <c r="D4" s="3234" t="s">
        <v>3185</v>
      </c>
      <c r="E4" s="3234" t="s">
        <v>905</v>
      </c>
      <c r="F4" s="3234" t="s">
        <v>3190</v>
      </c>
    </row>
    <row r="5" spans="1:6">
      <c r="A5" s="3235" t="s">
        <v>2761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2762</v>
      </c>
      <c r="B16" s="3237">
        <v>2230</v>
      </c>
      <c r="C16" s="3237">
        <v>2200</v>
      </c>
      <c r="D16" s="3237">
        <v>2180</v>
      </c>
      <c r="E16" s="3237">
        <v>570</v>
      </c>
      <c r="F16" s="3237">
        <v>1330</v>
      </c>
    </row>
    <row r="17" spans="1:6">
      <c r="A17" s="3235" t="s">
        <v>2763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5"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5"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5"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5"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5"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7" customWidth="1"/>
    <col min="2" max="2" width="13.88671875" style="3197" customWidth="1"/>
    <col min="3" max="7" width="8.88671875" style="3197"/>
    <col min="8" max="16384" width="8.88671875" style="1491"/>
  </cols>
  <sheetData>
    <row r="1" spans="1:7">
      <c r="A1" s="3679" t="s">
        <v>3024</v>
      </c>
      <c r="B1" s="3679"/>
    </row>
    <row r="2" spans="1:7" ht="15" thickBot="1">
      <c r="A2" s="3198"/>
      <c r="B2" s="3198"/>
    </row>
    <row r="3" spans="1:7" ht="15" thickBot="1">
      <c r="A3" s="3198"/>
      <c r="B3" s="3198"/>
      <c r="C3" s="3199" t="s">
        <v>3025</v>
      </c>
      <c r="D3" s="3199" t="s">
        <v>3026</v>
      </c>
      <c r="E3" s="3199" t="s">
        <v>3027</v>
      </c>
      <c r="F3" s="3199" t="s">
        <v>3028</v>
      </c>
      <c r="G3" s="3199" t="s">
        <v>3029</v>
      </c>
    </row>
    <row r="4" spans="1:7" ht="15" thickBot="1">
      <c r="A4" s="3200" t="s">
        <v>3030</v>
      </c>
      <c r="B4" s="3201" t="s">
        <v>3031</v>
      </c>
      <c r="C4" s="3199"/>
      <c r="D4" s="3199"/>
      <c r="E4" s="3199"/>
      <c r="F4" s="3199"/>
      <c r="G4" s="3199"/>
    </row>
    <row r="5" spans="1:7">
      <c r="A5" s="3202" t="s">
        <v>3032</v>
      </c>
      <c r="B5" s="3203" t="s">
        <v>3033</v>
      </c>
      <c r="C5" s="3204">
        <v>9.8000000000000004E-2</v>
      </c>
      <c r="D5" s="3204">
        <v>8.6999999999999994E-2</v>
      </c>
      <c r="E5" s="3204">
        <v>8.6999999999999994E-2</v>
      </c>
      <c r="F5" s="3204">
        <v>9.8000000000000004E-2</v>
      </c>
      <c r="G5" s="3205">
        <v>9.5000000000000001E-2</v>
      </c>
    </row>
    <row r="6" spans="1:7">
      <c r="A6" s="3206" t="s">
        <v>990</v>
      </c>
      <c r="B6" s="3207" t="s">
        <v>3034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5" thickBot="1">
      <c r="A9" s="3210" t="s">
        <v>990</v>
      </c>
      <c r="B9" s="3211" t="s">
        <v>1001</v>
      </c>
      <c r="C9" s="3212">
        <v>0.1</v>
      </c>
      <c r="D9" s="3212">
        <v>0.1</v>
      </c>
      <c r="E9" s="3212">
        <v>0.1</v>
      </c>
      <c r="F9" s="3213"/>
      <c r="G9" s="3214">
        <v>0.1</v>
      </c>
    </row>
    <row r="10" spans="1:7">
      <c r="A10" s="3202" t="s">
        <v>1031</v>
      </c>
      <c r="B10" s="3203" t="s">
        <v>3035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3036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5" thickBot="1">
      <c r="A29" s="3210" t="s">
        <v>1031</v>
      </c>
      <c r="B29" s="3211" t="s">
        <v>2822</v>
      </c>
      <c r="C29" s="3216"/>
      <c r="D29" s="3212">
        <v>5.1999999999999998E-2</v>
      </c>
      <c r="E29" s="3212">
        <v>7.0000000000000007E-2</v>
      </c>
      <c r="F29" s="3216"/>
      <c r="G29" s="3214">
        <v>7.0999999999999994E-2</v>
      </c>
    </row>
    <row r="30" spans="1:7">
      <c r="A30" s="3217" t="s">
        <v>1145</v>
      </c>
      <c r="B30" s="3203" t="s">
        <v>3037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3038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2824</v>
      </c>
      <c r="C50" s="3208">
        <v>9.8000000000000004E-2</v>
      </c>
      <c r="D50" s="3208">
        <v>7.2999999999999995E-2</v>
      </c>
      <c r="E50" s="3208">
        <v>7.0999999999999994E-2</v>
      </c>
      <c r="F50" s="3219"/>
      <c r="G50" s="3209">
        <v>7.2999999999999995E-2</v>
      </c>
    </row>
    <row r="51" spans="1:7">
      <c r="A51" s="3218" t="s">
        <v>1145</v>
      </c>
      <c r="B51" s="3207" t="s">
        <v>2825</v>
      </c>
      <c r="C51" s="3208">
        <v>9.9000000000000005E-2</v>
      </c>
      <c r="D51" s="3208">
        <v>8.5000000000000006E-2</v>
      </c>
      <c r="E51" s="3208">
        <v>6.3E-2</v>
      </c>
      <c r="F51" s="3219"/>
      <c r="G51" s="3209">
        <v>9.6000000000000002E-2</v>
      </c>
    </row>
    <row r="52" spans="1:7">
      <c r="A52" s="3218" t="s">
        <v>1145</v>
      </c>
      <c r="B52" s="3207" t="s">
        <v>2826</v>
      </c>
      <c r="C52" s="3208">
        <v>7.3999999999999996E-2</v>
      </c>
      <c r="D52" s="3208">
        <v>9.6000000000000002E-2</v>
      </c>
      <c r="E52" s="3208">
        <v>0.05</v>
      </c>
      <c r="F52" s="3219"/>
      <c r="G52" s="3209">
        <v>9.8000000000000004E-2</v>
      </c>
    </row>
    <row r="53" spans="1:7">
      <c r="A53" s="3218" t="s">
        <v>1145</v>
      </c>
      <c r="B53" s="3207" t="s">
        <v>2827</v>
      </c>
      <c r="C53" s="3208">
        <v>8.5999999999999993E-2</v>
      </c>
      <c r="D53" s="3219"/>
      <c r="E53" s="3208">
        <v>9.1999999999999998E-2</v>
      </c>
      <c r="F53" s="3219"/>
      <c r="G53" s="3220"/>
    </row>
    <row r="54" spans="1:7" ht="15" thickBot="1">
      <c r="A54" s="3221" t="s">
        <v>1145</v>
      </c>
      <c r="B54" s="3211" t="s">
        <v>2828</v>
      </c>
      <c r="C54" s="3212">
        <v>9.6000000000000002E-2</v>
      </c>
      <c r="D54" s="3213"/>
      <c r="E54" s="3222"/>
      <c r="F54" s="3213"/>
      <c r="G54" s="3223"/>
    </row>
    <row r="55" spans="1:7">
      <c r="A55" s="3217" t="s">
        <v>853</v>
      </c>
      <c r="B55" s="3203" t="s">
        <v>3039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2830</v>
      </c>
      <c r="C78" s="3208">
        <v>0.1</v>
      </c>
      <c r="D78" s="3208">
        <v>8.5000000000000006E-2</v>
      </c>
      <c r="E78" s="3208">
        <v>9.6000000000000002E-2</v>
      </c>
      <c r="F78" s="3219"/>
      <c r="G78" s="3209">
        <v>9.6000000000000002E-2</v>
      </c>
    </row>
    <row r="79" spans="1:7">
      <c r="A79" s="3218" t="s">
        <v>853</v>
      </c>
      <c r="B79" s="3207" t="s">
        <v>2831</v>
      </c>
      <c r="C79" s="3208">
        <v>0.05</v>
      </c>
      <c r="D79" s="3208">
        <v>9.6000000000000002E-2</v>
      </c>
      <c r="E79" s="3208">
        <v>9.5000000000000001E-2</v>
      </c>
      <c r="F79" s="3219"/>
      <c r="G79" s="3209">
        <v>9.8000000000000004E-2</v>
      </c>
    </row>
    <row r="80" spans="1:7">
      <c r="A80" s="3218" t="s">
        <v>853</v>
      </c>
      <c r="B80" s="3207" t="s">
        <v>2832</v>
      </c>
      <c r="C80" s="3208">
        <v>8.5999999999999993E-2</v>
      </c>
      <c r="D80" s="3224"/>
      <c r="E80" s="3208">
        <v>0.1</v>
      </c>
      <c r="F80" s="3219"/>
      <c r="G80" s="3220"/>
    </row>
    <row r="81" spans="1:7">
      <c r="A81" s="3218" t="s">
        <v>853</v>
      </c>
      <c r="B81" s="3207" t="s">
        <v>2833</v>
      </c>
      <c r="C81" s="3208">
        <v>9.6000000000000002E-2</v>
      </c>
      <c r="D81" s="3219"/>
      <c r="E81" s="3208">
        <v>9.8000000000000004E-2</v>
      </c>
      <c r="F81" s="3219"/>
      <c r="G81" s="3220"/>
    </row>
    <row r="82" spans="1:7">
      <c r="A82" s="3218" t="s">
        <v>853</v>
      </c>
      <c r="B82" s="3207" t="s">
        <v>2834</v>
      </c>
      <c r="C82" s="3224"/>
      <c r="D82" s="3219"/>
      <c r="E82" s="3208">
        <v>7.6999999999999999E-2</v>
      </c>
      <c r="F82" s="3219"/>
      <c r="G82" s="3220"/>
    </row>
    <row r="83" spans="1:7">
      <c r="A83" s="3218" t="s">
        <v>853</v>
      </c>
      <c r="B83" s="3207" t="s">
        <v>3040</v>
      </c>
      <c r="C83" s="3219"/>
      <c r="D83" s="3219"/>
      <c r="E83" s="3219"/>
      <c r="F83" s="3208">
        <v>0.1</v>
      </c>
      <c r="G83" s="3225"/>
    </row>
    <row r="84" spans="1:7">
      <c r="A84" s="3218" t="s">
        <v>853</v>
      </c>
      <c r="B84" s="3207" t="s">
        <v>3041</v>
      </c>
      <c r="C84" s="3219"/>
      <c r="D84" s="3219"/>
      <c r="E84" s="3219"/>
      <c r="F84" s="3208">
        <v>0.1</v>
      </c>
      <c r="G84" s="3225"/>
    </row>
    <row r="85" spans="1:7">
      <c r="A85" s="3218" t="s">
        <v>853</v>
      </c>
      <c r="B85" s="3207" t="s">
        <v>3042</v>
      </c>
      <c r="C85" s="3219"/>
      <c r="D85" s="3219"/>
      <c r="E85" s="3219"/>
      <c r="F85" s="3208">
        <v>0.1</v>
      </c>
      <c r="G85" s="3225"/>
    </row>
    <row r="86" spans="1:7" ht="15" thickBot="1">
      <c r="A86" s="3221" t="s">
        <v>853</v>
      </c>
      <c r="B86" s="3211" t="s">
        <v>3043</v>
      </c>
      <c r="C86" s="3212">
        <v>9.8000000000000004E-2</v>
      </c>
      <c r="D86" s="3212">
        <v>9.8000000000000004E-2</v>
      </c>
      <c r="E86" s="3212">
        <v>9.6000000000000002E-2</v>
      </c>
      <c r="F86" s="3222"/>
      <c r="G86" s="3214">
        <v>0.1</v>
      </c>
    </row>
    <row r="87" spans="1:7">
      <c r="A87" s="3217" t="s">
        <v>1152</v>
      </c>
      <c r="B87" s="3203" t="s">
        <v>3044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2840</v>
      </c>
      <c r="C113" s="3208">
        <v>0.1</v>
      </c>
      <c r="D113" s="3208">
        <v>0.1</v>
      </c>
      <c r="E113" s="3219"/>
      <c r="F113" s="3219"/>
      <c r="G113" s="3209">
        <v>0.1</v>
      </c>
    </row>
    <row r="114" spans="1:7">
      <c r="A114" s="3218" t="s">
        <v>1152</v>
      </c>
      <c r="B114" s="3207" t="s">
        <v>2841</v>
      </c>
      <c r="C114" s="3208">
        <v>9.7000000000000003E-2</v>
      </c>
      <c r="D114" s="3208">
        <v>9.7000000000000003E-2</v>
      </c>
      <c r="E114" s="3219"/>
      <c r="F114" s="3219"/>
      <c r="G114" s="3209">
        <v>9.9000000000000005E-2</v>
      </c>
    </row>
    <row r="115" spans="1:7">
      <c r="A115" s="3218" t="s">
        <v>1152</v>
      </c>
      <c r="B115" s="3207" t="s">
        <v>2842</v>
      </c>
      <c r="C115" s="3208">
        <v>0.1</v>
      </c>
      <c r="D115" s="3208">
        <v>0.1</v>
      </c>
      <c r="E115" s="3219"/>
      <c r="F115" s="3219"/>
      <c r="G115" s="3209">
        <v>0.1</v>
      </c>
    </row>
    <row r="116" spans="1:7">
      <c r="A116" s="3218" t="s">
        <v>1152</v>
      </c>
      <c r="B116" s="3207" t="s">
        <v>2843</v>
      </c>
      <c r="C116" s="3208">
        <v>0.1</v>
      </c>
      <c r="D116" s="3208">
        <v>0.1</v>
      </c>
      <c r="E116" s="3219"/>
      <c r="F116" s="3219"/>
      <c r="G116" s="3209">
        <v>0.1</v>
      </c>
    </row>
    <row r="117" spans="1:7">
      <c r="A117" s="3218" t="s">
        <v>1152</v>
      </c>
      <c r="B117" s="3207" t="s">
        <v>2844</v>
      </c>
      <c r="C117" s="3208">
        <v>9.7000000000000003E-2</v>
      </c>
      <c r="D117" s="3208">
        <v>9.7000000000000003E-2</v>
      </c>
      <c r="E117" s="3219"/>
      <c r="F117" s="3219"/>
      <c r="G117" s="3209">
        <v>9.7000000000000003E-2</v>
      </c>
    </row>
    <row r="118" spans="1:7">
      <c r="A118" s="3218" t="s">
        <v>1152</v>
      </c>
      <c r="B118" s="3207" t="s">
        <v>2845</v>
      </c>
      <c r="C118" s="3208">
        <v>0.1</v>
      </c>
      <c r="D118" s="3208">
        <v>0.1</v>
      </c>
      <c r="E118" s="3219"/>
      <c r="F118" s="3219"/>
      <c r="G118" s="3209">
        <v>0.1</v>
      </c>
    </row>
    <row r="119" spans="1:7">
      <c r="A119" s="3218" t="s">
        <v>1152</v>
      </c>
      <c r="B119" s="3207" t="s">
        <v>2846</v>
      </c>
      <c r="C119" s="3208">
        <v>5.0999999999999997E-2</v>
      </c>
      <c r="D119" s="3208">
        <v>5.1999999999999998E-2</v>
      </c>
      <c r="E119" s="3219"/>
      <c r="F119" s="3224"/>
      <c r="G119" s="3209">
        <v>0.06</v>
      </c>
    </row>
    <row r="120" spans="1:7">
      <c r="A120" s="3218" t="s">
        <v>1152</v>
      </c>
      <c r="B120" s="3207" t="s">
        <v>3045</v>
      </c>
      <c r="C120" s="3219"/>
      <c r="D120" s="3219"/>
      <c r="E120" s="3219"/>
      <c r="F120" s="3208">
        <v>0.1</v>
      </c>
      <c r="G120" s="3225"/>
    </row>
    <row r="121" spans="1:7">
      <c r="A121" s="3218" t="s">
        <v>1152</v>
      </c>
      <c r="B121" s="3207" t="s">
        <v>3046</v>
      </c>
      <c r="C121" s="3219"/>
      <c r="D121" s="3219"/>
      <c r="E121" s="3219"/>
      <c r="F121" s="3208">
        <v>0.1</v>
      </c>
      <c r="G121" s="3225"/>
    </row>
    <row r="122" spans="1:7">
      <c r="A122" s="3218" t="s">
        <v>1152</v>
      </c>
      <c r="B122" s="3207" t="s">
        <v>3047</v>
      </c>
      <c r="C122" s="3208">
        <v>0.1</v>
      </c>
      <c r="D122" s="3208">
        <v>0.1</v>
      </c>
      <c r="E122" s="3208">
        <v>9.8000000000000004E-2</v>
      </c>
      <c r="F122" s="3208">
        <v>0.1</v>
      </c>
      <c r="G122" s="3209">
        <v>0.1</v>
      </c>
    </row>
    <row r="123" spans="1:7">
      <c r="A123" s="3218" t="s">
        <v>1152</v>
      </c>
      <c r="B123" s="3207" t="s">
        <v>2850</v>
      </c>
      <c r="C123" s="3208">
        <v>0.1</v>
      </c>
      <c r="D123" s="3208">
        <v>0.1</v>
      </c>
      <c r="E123" s="3208">
        <v>9.8000000000000004E-2</v>
      </c>
      <c r="F123" s="3208">
        <v>0.1</v>
      </c>
      <c r="G123" s="3209">
        <v>0.1</v>
      </c>
    </row>
    <row r="124" spans="1:7">
      <c r="A124" s="3218" t="s">
        <v>1152</v>
      </c>
      <c r="B124" s="3207" t="s">
        <v>2851</v>
      </c>
      <c r="C124" s="3208">
        <v>0.1</v>
      </c>
      <c r="D124" s="3208">
        <v>0.1</v>
      </c>
      <c r="E124" s="3208">
        <v>9.8000000000000004E-2</v>
      </c>
      <c r="F124" s="3224"/>
      <c r="G124" s="3209">
        <v>0.1</v>
      </c>
    </row>
    <row r="125" spans="1:7">
      <c r="A125" s="3218" t="s">
        <v>1152</v>
      </c>
      <c r="B125" s="3207" t="s">
        <v>2852</v>
      </c>
      <c r="C125" s="3208">
        <v>9.8000000000000004E-2</v>
      </c>
      <c r="D125" s="3208">
        <v>9.8000000000000004E-2</v>
      </c>
      <c r="E125" s="3208">
        <v>9.6000000000000002E-2</v>
      </c>
      <c r="F125" s="3224"/>
      <c r="G125" s="3209">
        <v>0.1</v>
      </c>
    </row>
    <row r="126" spans="1:7" ht="15" thickBot="1">
      <c r="A126" s="3221" t="s">
        <v>1152</v>
      </c>
      <c r="B126" s="3211" t="s">
        <v>3048</v>
      </c>
      <c r="C126" s="3212">
        <v>0.1</v>
      </c>
      <c r="D126" s="3212">
        <v>0.1</v>
      </c>
      <c r="E126" s="3212">
        <v>9.8000000000000004E-2</v>
      </c>
      <c r="F126" s="3212">
        <v>0.1</v>
      </c>
      <c r="G126" s="3214">
        <v>0.1</v>
      </c>
    </row>
    <row r="127" spans="1:7">
      <c r="A127" s="3217" t="s">
        <v>1153</v>
      </c>
      <c r="B127" s="3203" t="s">
        <v>3049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3050</v>
      </c>
      <c r="C148" s="3208">
        <v>0.13</v>
      </c>
      <c r="D148" s="3208">
        <v>0.13</v>
      </c>
      <c r="E148" s="3208">
        <v>0.13</v>
      </c>
      <c r="F148" s="3219"/>
      <c r="G148" s="3209">
        <v>0.13</v>
      </c>
    </row>
    <row r="149" spans="1:7">
      <c r="A149" s="3218" t="s">
        <v>1153</v>
      </c>
      <c r="B149" s="3207" t="s">
        <v>3051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2857</v>
      </c>
      <c r="C153" s="3208">
        <v>0.13</v>
      </c>
      <c r="D153" s="3208">
        <v>0.13</v>
      </c>
      <c r="E153" s="3208">
        <v>0.13</v>
      </c>
      <c r="F153" s="3208">
        <v>0.13</v>
      </c>
      <c r="G153" s="3209">
        <v>0.13</v>
      </c>
    </row>
    <row r="154" spans="1:7">
      <c r="A154" s="3218" t="s">
        <v>1153</v>
      </c>
      <c r="B154" s="3207" t="s">
        <v>3052</v>
      </c>
      <c r="C154" s="3208">
        <v>0.121</v>
      </c>
      <c r="D154" s="3208">
        <v>0.121</v>
      </c>
      <c r="E154" s="3208">
        <v>0.105</v>
      </c>
      <c r="F154" s="3208">
        <v>0.121</v>
      </c>
      <c r="G154" s="3209">
        <v>0.123</v>
      </c>
    </row>
    <row r="155" spans="1:7">
      <c r="A155" s="3218" t="s">
        <v>1153</v>
      </c>
      <c r="B155" s="3207" t="s">
        <v>2859</v>
      </c>
      <c r="C155" s="3208">
        <v>0.1</v>
      </c>
      <c r="D155" s="3208">
        <v>0.1</v>
      </c>
      <c r="E155" s="3208">
        <v>0.1</v>
      </c>
      <c r="F155" s="3208">
        <v>0.1</v>
      </c>
      <c r="G155" s="3209">
        <v>0.1</v>
      </c>
    </row>
    <row r="156" spans="1:7">
      <c r="A156" s="3218" t="s">
        <v>1153</v>
      </c>
      <c r="B156" s="3207" t="s">
        <v>3053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3054</v>
      </c>
      <c r="C160" s="3208">
        <v>0.13</v>
      </c>
      <c r="D160" s="3208">
        <v>0.13</v>
      </c>
      <c r="E160" s="3208">
        <v>0.124</v>
      </c>
      <c r="F160" s="3208">
        <v>0.126</v>
      </c>
      <c r="G160" s="3209">
        <v>0.13</v>
      </c>
    </row>
    <row r="161" spans="1:7">
      <c r="A161" s="3218" t="s">
        <v>1153</v>
      </c>
      <c r="B161" s="3207" t="s">
        <v>2862</v>
      </c>
      <c r="C161" s="3208">
        <v>0.13</v>
      </c>
      <c r="D161" s="3208">
        <v>0.13</v>
      </c>
      <c r="E161" s="3208">
        <v>0.124</v>
      </c>
      <c r="F161" s="3208">
        <v>0.127</v>
      </c>
      <c r="G161" s="3209">
        <v>0.13</v>
      </c>
    </row>
    <row r="162" spans="1:7">
      <c r="A162" s="3218" t="s">
        <v>1153</v>
      </c>
      <c r="B162" s="3207" t="s">
        <v>2863</v>
      </c>
      <c r="C162" s="3208">
        <v>0.1</v>
      </c>
      <c r="D162" s="3208">
        <v>0.1</v>
      </c>
      <c r="E162" s="3208">
        <v>0.1</v>
      </c>
      <c r="F162" s="3208">
        <v>0.121</v>
      </c>
      <c r="G162" s="3209">
        <v>0.105</v>
      </c>
    </row>
    <row r="163" spans="1:7">
      <c r="A163" s="3218" t="s">
        <v>1153</v>
      </c>
      <c r="B163" s="3207" t="s">
        <v>2864</v>
      </c>
      <c r="C163" s="3208">
        <v>0.1</v>
      </c>
      <c r="D163" s="3208">
        <v>0.1</v>
      </c>
      <c r="E163" s="3208">
        <v>0.1</v>
      </c>
      <c r="F163" s="3208">
        <v>0.1</v>
      </c>
      <c r="G163" s="3209">
        <v>0.1</v>
      </c>
    </row>
    <row r="164" spans="1:7">
      <c r="A164" s="3218" t="s">
        <v>1153</v>
      </c>
      <c r="B164" s="3207" t="s">
        <v>2865</v>
      </c>
      <c r="C164" s="3224"/>
      <c r="D164" s="3224"/>
      <c r="E164" s="3224"/>
      <c r="F164" s="3208">
        <v>0.1</v>
      </c>
      <c r="G164" s="3220"/>
    </row>
    <row r="165" spans="1:7">
      <c r="A165" s="3218" t="s">
        <v>1153</v>
      </c>
      <c r="B165" s="3207" t="s">
        <v>3055</v>
      </c>
      <c r="C165" s="3208">
        <v>0.126</v>
      </c>
      <c r="D165" s="3208">
        <v>0.126</v>
      </c>
      <c r="E165" s="3208">
        <v>0.11899999999999999</v>
      </c>
      <c r="F165" s="3208">
        <v>0.13</v>
      </c>
      <c r="G165" s="3209">
        <v>0.128</v>
      </c>
    </row>
    <row r="166" spans="1:7">
      <c r="A166" s="3218" t="s">
        <v>1153</v>
      </c>
      <c r="B166" s="3207" t="s">
        <v>2867</v>
      </c>
      <c r="C166" s="3208">
        <v>0.129</v>
      </c>
      <c r="D166" s="3208">
        <v>0.129</v>
      </c>
      <c r="E166" s="3208">
        <v>0.123</v>
      </c>
      <c r="F166" s="3208">
        <v>0.128</v>
      </c>
      <c r="G166" s="3209">
        <v>0.13</v>
      </c>
    </row>
    <row r="167" spans="1:7">
      <c r="A167" s="3218" t="s">
        <v>1153</v>
      </c>
      <c r="B167" s="3207" t="s">
        <v>2868</v>
      </c>
      <c r="C167" s="3208">
        <v>0.125</v>
      </c>
      <c r="D167" s="3208">
        <v>0.125</v>
      </c>
      <c r="E167" s="3208">
        <v>0.11700000000000001</v>
      </c>
      <c r="F167" s="3208">
        <v>0.13</v>
      </c>
      <c r="G167" s="3209">
        <v>0.126</v>
      </c>
    </row>
    <row r="168" spans="1:7">
      <c r="A168" s="3218" t="s">
        <v>1153</v>
      </c>
      <c r="B168" s="3207" t="s">
        <v>2869</v>
      </c>
      <c r="C168" s="3208">
        <v>0.128</v>
      </c>
      <c r="D168" s="3208">
        <v>0.128</v>
      </c>
      <c r="E168" s="3208">
        <v>0.123</v>
      </c>
      <c r="F168" s="3219"/>
      <c r="G168" s="3209">
        <v>0.13</v>
      </c>
    </row>
    <row r="169" spans="1:7">
      <c r="A169" s="3218" t="s">
        <v>1153</v>
      </c>
      <c r="B169" s="3207" t="s">
        <v>3056</v>
      </c>
      <c r="C169" s="3224"/>
      <c r="D169" s="3224"/>
      <c r="E169" s="3224"/>
      <c r="F169" s="3208">
        <v>0.05</v>
      </c>
      <c r="G169" s="3220"/>
    </row>
    <row r="170" spans="1:7">
      <c r="A170" s="3218" t="s">
        <v>1153</v>
      </c>
      <c r="B170" s="3207" t="s">
        <v>3057</v>
      </c>
      <c r="C170" s="3224"/>
      <c r="D170" s="3224"/>
      <c r="E170" s="3224"/>
      <c r="F170" s="3208">
        <v>0.05</v>
      </c>
      <c r="G170" s="3220"/>
    </row>
    <row r="171" spans="1:7">
      <c r="A171" s="3218" t="s">
        <v>1153</v>
      </c>
      <c r="B171" s="3207" t="s">
        <v>3058</v>
      </c>
      <c r="C171" s="3224"/>
      <c r="D171" s="3224"/>
      <c r="E171" s="3224"/>
      <c r="F171" s="3208">
        <v>0.05</v>
      </c>
      <c r="G171" s="3225"/>
    </row>
    <row r="172" spans="1:7">
      <c r="A172" s="3218" t="s">
        <v>1153</v>
      </c>
      <c r="B172" s="3207" t="s">
        <v>3059</v>
      </c>
      <c r="C172" s="3224"/>
      <c r="D172" s="3224"/>
      <c r="E172" s="3224"/>
      <c r="F172" s="3208">
        <v>0.05</v>
      </c>
      <c r="G172" s="3225"/>
    </row>
    <row r="173" spans="1:7">
      <c r="A173" s="3218" t="s">
        <v>1153</v>
      </c>
      <c r="B173" s="3207" t="s">
        <v>3060</v>
      </c>
      <c r="C173" s="3224"/>
      <c r="D173" s="3224"/>
      <c r="E173" s="3224"/>
      <c r="F173" s="3208">
        <v>0.05</v>
      </c>
      <c r="G173" s="3220"/>
    </row>
    <row r="174" spans="1:7">
      <c r="A174" s="3218" t="s">
        <v>1153</v>
      </c>
      <c r="B174" s="3207" t="s">
        <v>3061</v>
      </c>
      <c r="C174" s="3224"/>
      <c r="D174" s="3224"/>
      <c r="E174" s="3224"/>
      <c r="F174" s="3208">
        <v>0.05</v>
      </c>
      <c r="G174" s="3220"/>
    </row>
    <row r="175" spans="1:7">
      <c r="A175" s="3218" t="s">
        <v>1153</v>
      </c>
      <c r="B175" s="3207" t="s">
        <v>3062</v>
      </c>
      <c r="C175" s="3224"/>
      <c r="D175" s="3224"/>
      <c r="E175" s="3224"/>
      <c r="F175" s="3208">
        <v>0.05</v>
      </c>
      <c r="G175" s="3220"/>
    </row>
    <row r="176" spans="1:7">
      <c r="A176" s="3218" t="s">
        <v>1153</v>
      </c>
      <c r="B176" s="3207" t="s">
        <v>3063</v>
      </c>
      <c r="C176" s="3224"/>
      <c r="D176" s="3224"/>
      <c r="E176" s="3224"/>
      <c r="F176" s="3208">
        <v>0.05</v>
      </c>
      <c r="G176" s="3220"/>
    </row>
    <row r="177" spans="1:7">
      <c r="A177" s="3218" t="s">
        <v>1153</v>
      </c>
      <c r="B177" s="3207" t="s">
        <v>3064</v>
      </c>
      <c r="C177" s="3219"/>
      <c r="D177" s="3219"/>
      <c r="E177" s="3219"/>
      <c r="F177" s="3208">
        <v>0.05</v>
      </c>
      <c r="G177" s="3225"/>
    </row>
    <row r="178" spans="1:7">
      <c r="A178" s="3218" t="s">
        <v>1153</v>
      </c>
      <c r="B178" s="3207" t="s">
        <v>3065</v>
      </c>
      <c r="C178" s="3219"/>
      <c r="D178" s="3219"/>
      <c r="E178" s="3219"/>
      <c r="F178" s="3208">
        <v>0.05</v>
      </c>
      <c r="G178" s="3225"/>
    </row>
    <row r="179" spans="1:7">
      <c r="A179" s="3218" t="s">
        <v>1153</v>
      </c>
      <c r="B179" s="3207" t="s">
        <v>3066</v>
      </c>
      <c r="C179" s="3219"/>
      <c r="D179" s="3219"/>
      <c r="E179" s="3219"/>
      <c r="F179" s="3208">
        <v>0.05</v>
      </c>
      <c r="G179" s="3225"/>
    </row>
    <row r="180" spans="1:7">
      <c r="A180" s="3218" t="s">
        <v>1153</v>
      </c>
      <c r="B180" s="3207" t="s">
        <v>3067</v>
      </c>
      <c r="C180" s="3219"/>
      <c r="D180" s="3219"/>
      <c r="E180" s="3219"/>
      <c r="F180" s="3208">
        <v>0.05</v>
      </c>
      <c r="G180" s="3225"/>
    </row>
    <row r="181" spans="1:7">
      <c r="A181" s="3218" t="s">
        <v>1153</v>
      </c>
      <c r="B181" s="3207" t="s">
        <v>3068</v>
      </c>
      <c r="C181" s="3219"/>
      <c r="D181" s="3219"/>
      <c r="E181" s="3219"/>
      <c r="F181" s="3208">
        <v>0.05</v>
      </c>
      <c r="G181" s="3225"/>
    </row>
    <row r="182" spans="1:7">
      <c r="A182" s="3218" t="s">
        <v>1153</v>
      </c>
      <c r="B182" s="3207" t="s">
        <v>3069</v>
      </c>
      <c r="C182" s="3219"/>
      <c r="D182" s="3219"/>
      <c r="E182" s="3219"/>
      <c r="F182" s="3208">
        <v>0.05</v>
      </c>
      <c r="G182" s="3225"/>
    </row>
    <row r="183" spans="1:7">
      <c r="A183" s="3218" t="s">
        <v>1153</v>
      </c>
      <c r="B183" s="3207" t="s">
        <v>3070</v>
      </c>
      <c r="C183" s="3219"/>
      <c r="D183" s="3219"/>
      <c r="E183" s="3219"/>
      <c r="F183" s="3208">
        <v>0.05</v>
      </c>
      <c r="G183" s="3225"/>
    </row>
    <row r="184" spans="1:7">
      <c r="A184" s="3218" t="s">
        <v>1153</v>
      </c>
      <c r="B184" s="3207" t="s">
        <v>3071</v>
      </c>
      <c r="C184" s="3219"/>
      <c r="D184" s="3219"/>
      <c r="E184" s="3219"/>
      <c r="F184" s="3208">
        <v>0.05</v>
      </c>
      <c r="G184" s="3225"/>
    </row>
    <row r="185" spans="1:7">
      <c r="A185" s="3218" t="s">
        <v>1153</v>
      </c>
      <c r="B185" s="3207" t="s">
        <v>3072</v>
      </c>
      <c r="C185" s="3219"/>
      <c r="D185" s="3219"/>
      <c r="E185" s="3219"/>
      <c r="F185" s="3208">
        <v>0.05</v>
      </c>
      <c r="G185" s="3225"/>
    </row>
    <row r="186" spans="1:7">
      <c r="A186" s="3218" t="s">
        <v>1153</v>
      </c>
      <c r="B186" s="3207" t="s">
        <v>3073</v>
      </c>
      <c r="C186" s="3219"/>
      <c r="D186" s="3219"/>
      <c r="E186" s="3219"/>
      <c r="F186" s="3208">
        <v>0.05</v>
      </c>
      <c r="G186" s="3225"/>
    </row>
    <row r="187" spans="1:7">
      <c r="A187" s="3218" t="s">
        <v>1153</v>
      </c>
      <c r="B187" s="3207" t="s">
        <v>3074</v>
      </c>
      <c r="C187" s="3219"/>
      <c r="D187" s="3219"/>
      <c r="E187" s="3219"/>
      <c r="F187" s="3208">
        <v>0.05</v>
      </c>
      <c r="G187" s="3225"/>
    </row>
    <row r="188" spans="1:7">
      <c r="A188" s="3218" t="s">
        <v>1153</v>
      </c>
      <c r="B188" s="3207" t="s">
        <v>3075</v>
      </c>
      <c r="C188" s="3219"/>
      <c r="D188" s="3219"/>
      <c r="E188" s="3219"/>
      <c r="F188" s="3208">
        <v>0.05</v>
      </c>
      <c r="G188" s="3225"/>
    </row>
    <row r="189" spans="1:7" ht="15" thickBot="1">
      <c r="A189" s="3221" t="s">
        <v>1153</v>
      </c>
      <c r="B189" s="3211" t="s">
        <v>3076</v>
      </c>
      <c r="C189" s="3213"/>
      <c r="D189" s="3213"/>
      <c r="E189" s="3213"/>
      <c r="F189" s="3212">
        <v>0.05</v>
      </c>
      <c r="G189" s="3226"/>
    </row>
    <row r="190" spans="1:7">
      <c r="A190" s="3217" t="s">
        <v>1154</v>
      </c>
      <c r="B190" s="3203" t="s">
        <v>3077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3078</v>
      </c>
      <c r="C199" s="3208">
        <v>0.13</v>
      </c>
      <c r="D199" s="3208">
        <v>0.13</v>
      </c>
      <c r="E199" s="3208">
        <v>0.13</v>
      </c>
      <c r="F199" s="3208">
        <v>0.13</v>
      </c>
      <c r="G199" s="3209">
        <v>0.13</v>
      </c>
    </row>
    <row r="200" spans="1:7">
      <c r="A200" s="3218" t="s">
        <v>1154</v>
      </c>
      <c r="B200" s="3207" t="s">
        <v>2893</v>
      </c>
      <c r="C200" s="3224"/>
      <c r="D200" s="3224"/>
      <c r="E200" s="3224"/>
      <c r="F200" s="3208">
        <v>0.13</v>
      </c>
      <c r="G200" s="3220"/>
    </row>
    <row r="201" spans="1:7">
      <c r="A201" s="3218" t="s">
        <v>1154</v>
      </c>
      <c r="B201" s="3207" t="s">
        <v>3079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3080</v>
      </c>
      <c r="C203" s="3208">
        <v>0.129</v>
      </c>
      <c r="D203" s="3208">
        <v>0.129</v>
      </c>
      <c r="E203" s="3208">
        <v>0.13</v>
      </c>
      <c r="F203" s="3208">
        <v>0.13</v>
      </c>
      <c r="G203" s="3209">
        <v>0.13</v>
      </c>
    </row>
    <row r="204" spans="1:7">
      <c r="A204" s="3218" t="s">
        <v>1154</v>
      </c>
      <c r="B204" s="3207" t="s">
        <v>2896</v>
      </c>
      <c r="C204" s="3208">
        <v>0.129</v>
      </c>
      <c r="D204" s="3208">
        <v>0.129</v>
      </c>
      <c r="E204" s="3208">
        <v>0.123</v>
      </c>
      <c r="F204" s="3208">
        <v>0.13</v>
      </c>
      <c r="G204" s="3209">
        <v>0.13</v>
      </c>
    </row>
    <row r="205" spans="1:7">
      <c r="A205" s="3218" t="s">
        <v>1154</v>
      </c>
      <c r="B205" s="3207" t="s">
        <v>2897</v>
      </c>
      <c r="C205" s="3208">
        <v>0.13</v>
      </c>
      <c r="D205" s="3208">
        <v>0.13</v>
      </c>
      <c r="E205" s="3208">
        <v>0.13</v>
      </c>
      <c r="F205" s="3208">
        <v>0.13</v>
      </c>
      <c r="G205" s="3209">
        <v>0.13</v>
      </c>
    </row>
    <row r="206" spans="1:7">
      <c r="A206" s="3218" t="s">
        <v>1154</v>
      </c>
      <c r="B206" s="3207" t="s">
        <v>2898</v>
      </c>
      <c r="C206" s="3208">
        <v>0.13</v>
      </c>
      <c r="D206" s="3208">
        <v>0.13</v>
      </c>
      <c r="E206" s="3208">
        <v>0.13</v>
      </c>
      <c r="F206" s="3208">
        <v>0.128</v>
      </c>
      <c r="G206" s="3209">
        <v>0.13</v>
      </c>
    </row>
    <row r="207" spans="1:7">
      <c r="A207" s="3218" t="s">
        <v>1154</v>
      </c>
      <c r="B207" s="3207" t="s">
        <v>2899</v>
      </c>
      <c r="C207" s="3208">
        <v>0.13</v>
      </c>
      <c r="D207" s="3208">
        <v>0.13</v>
      </c>
      <c r="E207" s="3208">
        <v>0.13</v>
      </c>
      <c r="F207" s="3208">
        <v>0.13</v>
      </c>
      <c r="G207" s="3209">
        <v>0.13</v>
      </c>
    </row>
    <row r="208" spans="1:7">
      <c r="A208" s="3218" t="s">
        <v>1154</v>
      </c>
      <c r="B208" s="3207" t="s">
        <v>3081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2901</v>
      </c>
      <c r="C210" s="3208">
        <v>0.121</v>
      </c>
      <c r="D210" s="3208">
        <v>0.121</v>
      </c>
      <c r="E210" s="3208">
        <v>0.125</v>
      </c>
      <c r="F210" s="3208">
        <v>0.13</v>
      </c>
      <c r="G210" s="3209">
        <v>0.123</v>
      </c>
    </row>
    <row r="211" spans="1:7">
      <c r="A211" s="3218" t="s">
        <v>1154</v>
      </c>
      <c r="B211" s="3207" t="s">
        <v>3082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3083</v>
      </c>
      <c r="C214" s="3208">
        <v>0.128</v>
      </c>
      <c r="D214" s="3208">
        <v>0.128</v>
      </c>
      <c r="E214" s="3208">
        <v>0.13</v>
      </c>
      <c r="F214" s="3208">
        <v>0.13</v>
      </c>
      <c r="G214" s="3209">
        <v>0.13</v>
      </c>
    </row>
    <row r="215" spans="1:7">
      <c r="A215" s="3218" t="s">
        <v>1154</v>
      </c>
      <c r="B215" s="3207" t="s">
        <v>3084</v>
      </c>
      <c r="C215" s="3208">
        <v>0.13</v>
      </c>
      <c r="D215" s="3208">
        <v>0.13</v>
      </c>
      <c r="E215" s="3208">
        <v>0.13</v>
      </c>
      <c r="F215" s="3208">
        <v>0.129</v>
      </c>
      <c r="G215" s="3209">
        <v>0.13</v>
      </c>
    </row>
    <row r="216" spans="1:7">
      <c r="A216" s="3218" t="s">
        <v>1154</v>
      </c>
      <c r="B216" s="3207" t="s">
        <v>3085</v>
      </c>
      <c r="C216" s="3208">
        <v>0.13</v>
      </c>
      <c r="D216" s="3208">
        <v>0.13</v>
      </c>
      <c r="E216" s="3208">
        <v>0.13</v>
      </c>
      <c r="F216" s="3208">
        <v>0.13</v>
      </c>
      <c r="G216" s="3209">
        <v>0.13</v>
      </c>
    </row>
    <row r="217" spans="1:7">
      <c r="A217" s="3218" t="s">
        <v>1154</v>
      </c>
      <c r="B217" s="3207" t="s">
        <v>2905</v>
      </c>
      <c r="C217" s="3208">
        <v>0.129</v>
      </c>
      <c r="D217" s="3208">
        <v>0.129</v>
      </c>
      <c r="E217" s="3208">
        <v>0.13</v>
      </c>
      <c r="F217" s="3208">
        <v>0.13</v>
      </c>
      <c r="G217" s="3209">
        <v>0.13</v>
      </c>
    </row>
    <row r="218" spans="1:7">
      <c r="A218" s="3218" t="s">
        <v>1154</v>
      </c>
      <c r="B218" s="3207" t="s">
        <v>3086</v>
      </c>
      <c r="C218" s="3219"/>
      <c r="D218" s="3219"/>
      <c r="E218" s="3219"/>
      <c r="F218" s="3208">
        <v>0.05</v>
      </c>
      <c r="G218" s="3225"/>
    </row>
    <row r="219" spans="1:7">
      <c r="A219" s="3218" t="s">
        <v>1154</v>
      </c>
      <c r="B219" s="3207" t="s">
        <v>3087</v>
      </c>
      <c r="C219" s="3219"/>
      <c r="D219" s="3219"/>
      <c r="E219" s="3219"/>
      <c r="F219" s="3208">
        <v>0.05</v>
      </c>
      <c r="G219" s="3225"/>
    </row>
    <row r="220" spans="1:7">
      <c r="A220" s="3218" t="s">
        <v>1154</v>
      </c>
      <c r="B220" s="3207" t="s">
        <v>3088</v>
      </c>
      <c r="C220" s="3219"/>
      <c r="D220" s="3219"/>
      <c r="E220" s="3219"/>
      <c r="F220" s="3208">
        <v>0.05</v>
      </c>
      <c r="G220" s="3225"/>
    </row>
    <row r="221" spans="1:7">
      <c r="A221" s="3218" t="s">
        <v>1154</v>
      </c>
      <c r="B221" s="3207" t="s">
        <v>3089</v>
      </c>
      <c r="C221" s="3219"/>
      <c r="D221" s="3219"/>
      <c r="E221" s="3219"/>
      <c r="F221" s="3208">
        <v>0.05</v>
      </c>
      <c r="G221" s="3225"/>
    </row>
    <row r="222" spans="1:7">
      <c r="A222" s="3218" t="s">
        <v>1154</v>
      </c>
      <c r="B222" s="3207" t="s">
        <v>3090</v>
      </c>
      <c r="C222" s="3219"/>
      <c r="D222" s="3219"/>
      <c r="E222" s="3219"/>
      <c r="F222" s="3208">
        <v>0.05</v>
      </c>
      <c r="G222" s="3225"/>
    </row>
    <row r="223" spans="1:7">
      <c r="A223" s="3218" t="s">
        <v>1154</v>
      </c>
      <c r="B223" s="3207" t="s">
        <v>3091</v>
      </c>
      <c r="C223" s="3219"/>
      <c r="D223" s="3219"/>
      <c r="E223" s="3219"/>
      <c r="F223" s="3208">
        <v>0.05</v>
      </c>
      <c r="G223" s="3225"/>
    </row>
    <row r="224" spans="1:7">
      <c r="A224" s="3218" t="s">
        <v>1154</v>
      </c>
      <c r="B224" s="3207" t="s">
        <v>3092</v>
      </c>
      <c r="C224" s="3219"/>
      <c r="D224" s="3219"/>
      <c r="E224" s="3219"/>
      <c r="F224" s="3208">
        <v>0.05</v>
      </c>
      <c r="G224" s="3225"/>
    </row>
    <row r="225" spans="1:7">
      <c r="A225" s="3218" t="s">
        <v>1154</v>
      </c>
      <c r="B225" s="3207" t="s">
        <v>3093</v>
      </c>
      <c r="C225" s="3219"/>
      <c r="D225" s="3219"/>
      <c r="E225" s="3219"/>
      <c r="F225" s="3208">
        <v>0.05</v>
      </c>
      <c r="G225" s="3225"/>
    </row>
    <row r="226" spans="1:7">
      <c r="A226" s="3218" t="s">
        <v>1154</v>
      </c>
      <c r="B226" s="3207" t="s">
        <v>3094</v>
      </c>
      <c r="C226" s="3219"/>
      <c r="D226" s="3219"/>
      <c r="E226" s="3219"/>
      <c r="F226" s="3208">
        <v>0.05</v>
      </c>
      <c r="G226" s="3225"/>
    </row>
    <row r="227" spans="1:7">
      <c r="A227" s="3218" t="s">
        <v>1154</v>
      </c>
      <c r="B227" s="3207" t="s">
        <v>3095</v>
      </c>
      <c r="C227" s="3219"/>
      <c r="D227" s="3219"/>
      <c r="E227" s="3219"/>
      <c r="F227" s="3208">
        <v>0.05</v>
      </c>
      <c r="G227" s="3225"/>
    </row>
    <row r="228" spans="1:7">
      <c r="A228" s="3218" t="s">
        <v>1154</v>
      </c>
      <c r="B228" s="3207" t="s">
        <v>3096</v>
      </c>
      <c r="C228" s="3219"/>
      <c r="D228" s="3219"/>
      <c r="E228" s="3219"/>
      <c r="F228" s="3208">
        <v>0.05</v>
      </c>
      <c r="G228" s="3225"/>
    </row>
    <row r="229" spans="1:7">
      <c r="A229" s="3218" t="s">
        <v>1154</v>
      </c>
      <c r="B229" s="3207" t="s">
        <v>3097</v>
      </c>
      <c r="C229" s="3219"/>
      <c r="D229" s="3219"/>
      <c r="E229" s="3219"/>
      <c r="F229" s="3208">
        <v>0.05</v>
      </c>
      <c r="G229" s="3225"/>
    </row>
    <row r="230" spans="1:7">
      <c r="A230" s="3218" t="s">
        <v>1154</v>
      </c>
      <c r="B230" s="3207" t="s">
        <v>3098</v>
      </c>
      <c r="C230" s="3219"/>
      <c r="D230" s="3219"/>
      <c r="E230" s="3219"/>
      <c r="F230" s="3208">
        <v>0.05</v>
      </c>
      <c r="G230" s="3225"/>
    </row>
    <row r="231" spans="1:7">
      <c r="A231" s="3218" t="s">
        <v>1154</v>
      </c>
      <c r="B231" s="3207" t="s">
        <v>3099</v>
      </c>
      <c r="C231" s="3219"/>
      <c r="D231" s="3219"/>
      <c r="E231" s="3219"/>
      <c r="F231" s="3208">
        <v>0.05</v>
      </c>
      <c r="G231" s="3225"/>
    </row>
    <row r="232" spans="1:7">
      <c r="A232" s="3218" t="s">
        <v>1154</v>
      </c>
      <c r="B232" s="3207" t="s">
        <v>3100</v>
      </c>
      <c r="C232" s="3219"/>
      <c r="D232" s="3219"/>
      <c r="E232" s="3219"/>
      <c r="F232" s="3208">
        <v>0.05</v>
      </c>
      <c r="G232" s="3225"/>
    </row>
    <row r="233" spans="1:7" ht="15" thickBot="1">
      <c r="A233" s="3221" t="s">
        <v>1154</v>
      </c>
      <c r="B233" s="3211" t="s">
        <v>3101</v>
      </c>
      <c r="C233" s="3213"/>
      <c r="D233" s="3213"/>
      <c r="E233" s="3213"/>
      <c r="F233" s="3212">
        <v>0.05</v>
      </c>
      <c r="G233" s="3226"/>
    </row>
    <row r="234" spans="1:7">
      <c r="A234" s="3217" t="s">
        <v>1155</v>
      </c>
      <c r="B234" s="3203" t="s">
        <v>3102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2923</v>
      </c>
      <c r="C238" s="3208">
        <v>0.14899999999999999</v>
      </c>
      <c r="D238" s="3208">
        <v>0.14899999999999999</v>
      </c>
      <c r="E238" s="3208">
        <v>0.15</v>
      </c>
      <c r="F238" s="3208">
        <v>0.15</v>
      </c>
      <c r="G238" s="3209">
        <v>0.15</v>
      </c>
    </row>
    <row r="239" spans="1:7">
      <c r="A239" s="3218" t="s">
        <v>1155</v>
      </c>
      <c r="B239" s="3207" t="s">
        <v>3103</v>
      </c>
      <c r="C239" s="3208">
        <v>0.15</v>
      </c>
      <c r="D239" s="3208">
        <v>0.15</v>
      </c>
      <c r="E239" s="3208">
        <v>0.15</v>
      </c>
      <c r="F239" s="3208">
        <v>0.15</v>
      </c>
      <c r="G239" s="3209">
        <v>0.15</v>
      </c>
    </row>
    <row r="240" spans="1:7">
      <c r="A240" s="3218" t="s">
        <v>1155</v>
      </c>
      <c r="B240" s="3207" t="s">
        <v>3104</v>
      </c>
      <c r="C240" s="3208">
        <v>0.15</v>
      </c>
      <c r="D240" s="3208">
        <v>0.15</v>
      </c>
      <c r="E240" s="3208">
        <v>0.15</v>
      </c>
      <c r="F240" s="3208">
        <v>0.15</v>
      </c>
      <c r="G240" s="3209">
        <v>0.15</v>
      </c>
    </row>
    <row r="241" spans="1:7">
      <c r="A241" s="3218" t="s">
        <v>1155</v>
      </c>
      <c r="B241" s="3207" t="s">
        <v>3105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3106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3107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3108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3109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2932</v>
      </c>
      <c r="C258" s="3208">
        <v>0.14299999999999999</v>
      </c>
      <c r="D258" s="3208">
        <v>0.14299999999999999</v>
      </c>
      <c r="E258" s="3208">
        <v>0.15</v>
      </c>
      <c r="F258" s="3208">
        <v>0.14799999999999999</v>
      </c>
      <c r="G258" s="3209">
        <v>0.14599999999999999</v>
      </c>
    </row>
    <row r="259" spans="1:7">
      <c r="A259" s="3218" t="s">
        <v>1155</v>
      </c>
      <c r="B259" s="3207" t="s">
        <v>3111</v>
      </c>
      <c r="C259" s="3208">
        <v>0.14399999999999999</v>
      </c>
      <c r="D259" s="3208">
        <v>0.14399999999999999</v>
      </c>
      <c r="E259" s="3208">
        <v>0.14899999999999999</v>
      </c>
      <c r="F259" s="3208">
        <v>0.14699999999999999</v>
      </c>
      <c r="G259" s="3209">
        <v>0.14599999999999999</v>
      </c>
    </row>
    <row r="260" spans="1:7">
      <c r="A260" s="3218" t="s">
        <v>1155</v>
      </c>
      <c r="B260" s="3207" t="s">
        <v>3112</v>
      </c>
      <c r="C260" s="3208">
        <v>0.109</v>
      </c>
      <c r="D260" s="3208">
        <v>0.111</v>
      </c>
      <c r="E260" s="3208">
        <v>0.13100000000000001</v>
      </c>
      <c r="F260" s="3208">
        <v>0.126</v>
      </c>
      <c r="G260" s="3209">
        <v>0.11899999999999999</v>
      </c>
    </row>
    <row r="261" spans="1:7">
      <c r="A261" s="3218" t="s">
        <v>1155</v>
      </c>
      <c r="B261" s="3207" t="s">
        <v>3113</v>
      </c>
      <c r="C261" s="3208">
        <v>0.1</v>
      </c>
      <c r="D261" s="3208">
        <v>0.1</v>
      </c>
      <c r="E261" s="3208">
        <v>0.11799999999999999</v>
      </c>
      <c r="F261" s="3208">
        <v>0.108</v>
      </c>
      <c r="G261" s="3209">
        <v>0.107</v>
      </c>
    </row>
    <row r="262" spans="1:7">
      <c r="A262" s="3218" t="s">
        <v>1155</v>
      </c>
      <c r="B262" s="3207" t="s">
        <v>3114</v>
      </c>
      <c r="C262" s="3208">
        <v>0.1</v>
      </c>
      <c r="D262" s="3208">
        <v>0.1</v>
      </c>
      <c r="E262" s="3208">
        <v>0.1</v>
      </c>
      <c r="F262" s="3208">
        <v>0.14099999999999999</v>
      </c>
      <c r="G262" s="3209">
        <v>0.1</v>
      </c>
    </row>
    <row r="263" spans="1:7">
      <c r="A263" s="3218" t="s">
        <v>1155</v>
      </c>
      <c r="B263" s="3207" t="s">
        <v>3115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3116</v>
      </c>
      <c r="C265" s="3219"/>
      <c r="D265" s="3219"/>
      <c r="E265" s="3219"/>
      <c r="F265" s="3208">
        <v>0.05</v>
      </c>
      <c r="G265" s="3225"/>
    </row>
    <row r="266" spans="1:7">
      <c r="A266" s="3218" t="s">
        <v>1155</v>
      </c>
      <c r="B266" s="3207" t="s">
        <v>3117</v>
      </c>
      <c r="C266" s="3219"/>
      <c r="D266" s="3219"/>
      <c r="E266" s="3219"/>
      <c r="F266" s="3208">
        <v>0.05</v>
      </c>
      <c r="G266" s="3225"/>
    </row>
    <row r="267" spans="1:7">
      <c r="A267" s="3218" t="s">
        <v>1155</v>
      </c>
      <c r="B267" s="3207" t="s">
        <v>3118</v>
      </c>
      <c r="C267" s="3219"/>
      <c r="D267" s="3219"/>
      <c r="E267" s="3219"/>
      <c r="F267" s="3208">
        <v>0.05</v>
      </c>
      <c r="G267" s="3225"/>
    </row>
    <row r="268" spans="1:7">
      <c r="A268" s="3218" t="s">
        <v>1155</v>
      </c>
      <c r="B268" s="3207" t="s">
        <v>3119</v>
      </c>
      <c r="C268" s="3219"/>
      <c r="D268" s="3219"/>
      <c r="E268" s="3219"/>
      <c r="F268" s="3208">
        <v>0.05</v>
      </c>
      <c r="G268" s="3225"/>
    </row>
    <row r="269" spans="1:7">
      <c r="A269" s="3218" t="s">
        <v>1155</v>
      </c>
      <c r="B269" s="3207" t="s">
        <v>3120</v>
      </c>
      <c r="C269" s="3219"/>
      <c r="D269" s="3219"/>
      <c r="E269" s="3219"/>
      <c r="F269" s="3208">
        <v>0.05</v>
      </c>
      <c r="G269" s="3225"/>
    </row>
    <row r="270" spans="1:7">
      <c r="A270" s="3218" t="s">
        <v>1155</v>
      </c>
      <c r="B270" s="3207" t="s">
        <v>3121</v>
      </c>
      <c r="C270" s="3219"/>
      <c r="D270" s="3219"/>
      <c r="E270" s="3219"/>
      <c r="F270" s="3208">
        <v>0.05</v>
      </c>
      <c r="G270" s="3225"/>
    </row>
    <row r="271" spans="1:7">
      <c r="A271" s="3218" t="s">
        <v>1155</v>
      </c>
      <c r="B271" s="3207" t="s">
        <v>3122</v>
      </c>
      <c r="C271" s="3219"/>
      <c r="D271" s="3219"/>
      <c r="E271" s="3219"/>
      <c r="F271" s="3208">
        <v>0.05</v>
      </c>
      <c r="G271" s="3225"/>
    </row>
    <row r="272" spans="1:7">
      <c r="A272" s="3218" t="s">
        <v>1155</v>
      </c>
      <c r="B272" s="3207" t="s">
        <v>3123</v>
      </c>
      <c r="C272" s="3219"/>
      <c r="D272" s="3219"/>
      <c r="E272" s="3219"/>
      <c r="F272" s="3208">
        <v>0.05</v>
      </c>
      <c r="G272" s="3225"/>
    </row>
    <row r="273" spans="1:7">
      <c r="A273" s="3218" t="s">
        <v>1155</v>
      </c>
      <c r="B273" s="3207" t="s">
        <v>3124</v>
      </c>
      <c r="C273" s="3219"/>
      <c r="D273" s="3219"/>
      <c r="E273" s="3219"/>
      <c r="F273" s="3208">
        <v>0.05</v>
      </c>
      <c r="G273" s="3225"/>
    </row>
    <row r="274" spans="1:7">
      <c r="A274" s="3218" t="s">
        <v>1155</v>
      </c>
      <c r="B274" s="3207" t="s">
        <v>3125</v>
      </c>
      <c r="C274" s="3219"/>
      <c r="D274" s="3219"/>
      <c r="E274" s="3219"/>
      <c r="F274" s="3208">
        <v>0.05</v>
      </c>
      <c r="G274" s="3225"/>
    </row>
    <row r="275" spans="1:7">
      <c r="A275" s="3218" t="s">
        <v>1155</v>
      </c>
      <c r="B275" s="3207" t="s">
        <v>3126</v>
      </c>
      <c r="C275" s="3219"/>
      <c r="D275" s="3219"/>
      <c r="E275" s="3219"/>
      <c r="F275" s="3208">
        <v>0.05</v>
      </c>
      <c r="G275" s="3225"/>
    </row>
    <row r="276" spans="1:7" ht="15" thickBot="1">
      <c r="A276" s="3221" t="s">
        <v>1155</v>
      </c>
      <c r="B276" s="3211" t="s">
        <v>3127</v>
      </c>
      <c r="C276" s="3213"/>
      <c r="D276" s="3213"/>
      <c r="E276" s="3213"/>
      <c r="F276" s="3212">
        <v>0.05</v>
      </c>
      <c r="G276" s="3226"/>
    </row>
    <row r="277" spans="1:7">
      <c r="A277" s="3217" t="s">
        <v>1156</v>
      </c>
      <c r="B277" s="3203" t="s">
        <v>3128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3129</v>
      </c>
      <c r="C279" s="3208">
        <v>0.15</v>
      </c>
      <c r="D279" s="3208">
        <v>0.15</v>
      </c>
      <c r="E279" s="3208">
        <v>0.15</v>
      </c>
      <c r="F279" s="3208">
        <v>0.15</v>
      </c>
      <c r="G279" s="3209">
        <v>0.15</v>
      </c>
    </row>
    <row r="280" spans="1:7">
      <c r="A280" s="3218" t="s">
        <v>1156</v>
      </c>
      <c r="B280" s="3207" t="s">
        <v>3130</v>
      </c>
      <c r="C280" s="3208">
        <v>0.15</v>
      </c>
      <c r="D280" s="3208">
        <v>0.15</v>
      </c>
      <c r="E280" s="3208">
        <v>0.15</v>
      </c>
      <c r="F280" s="3208">
        <v>0.15</v>
      </c>
      <c r="G280" s="3209">
        <v>0.15</v>
      </c>
    </row>
    <row r="281" spans="1:7">
      <c r="A281" s="3218" t="s">
        <v>1156</v>
      </c>
      <c r="B281" s="3207" t="s">
        <v>3131</v>
      </c>
      <c r="C281" s="3208">
        <v>0.15</v>
      </c>
      <c r="D281" s="3208">
        <v>0.15</v>
      </c>
      <c r="E281" s="3208">
        <v>0.15</v>
      </c>
      <c r="F281" s="3208">
        <v>0.15</v>
      </c>
      <c r="G281" s="3209">
        <v>0.15</v>
      </c>
    </row>
    <row r="282" spans="1:7">
      <c r="A282" s="3218" t="s">
        <v>1156</v>
      </c>
      <c r="B282" s="3207" t="s">
        <v>3132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2957</v>
      </c>
      <c r="C293" s="3208">
        <v>0.15</v>
      </c>
      <c r="D293" s="3208">
        <v>0.15</v>
      </c>
      <c r="E293" s="3208">
        <v>0.15</v>
      </c>
      <c r="F293" s="3208">
        <v>0.14499999999999999</v>
      </c>
      <c r="G293" s="3209">
        <v>0.15</v>
      </c>
    </row>
    <row r="294" spans="1:7">
      <c r="A294" s="3218" t="s">
        <v>1156</v>
      </c>
      <c r="B294" s="3207" t="s">
        <v>3135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2959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3136</v>
      </c>
      <c r="C302" s="3208">
        <v>0.15</v>
      </c>
      <c r="D302" s="3208">
        <v>0.15</v>
      </c>
      <c r="E302" s="3208">
        <v>0.15</v>
      </c>
      <c r="F302" s="3208">
        <v>0.14699999999999999</v>
      </c>
      <c r="G302" s="3209">
        <v>0.15</v>
      </c>
    </row>
    <row r="303" spans="1:7">
      <c r="A303" s="3218" t="s">
        <v>1156</v>
      </c>
      <c r="B303" s="3207" t="s">
        <v>2961</v>
      </c>
      <c r="C303" s="3208">
        <v>0.15</v>
      </c>
      <c r="D303" s="3208">
        <v>0.15</v>
      </c>
      <c r="E303" s="3208">
        <v>0.15</v>
      </c>
      <c r="F303" s="3208">
        <v>0.14199999999999999</v>
      </c>
      <c r="G303" s="3209">
        <v>0.15</v>
      </c>
    </row>
    <row r="304" spans="1:7">
      <c r="A304" s="3218" t="s">
        <v>1156</v>
      </c>
      <c r="B304" s="3207" t="s">
        <v>2962</v>
      </c>
      <c r="C304" s="3208">
        <v>0.15</v>
      </c>
      <c r="D304" s="3208">
        <v>0.15</v>
      </c>
      <c r="E304" s="3208">
        <v>0.15</v>
      </c>
      <c r="F304" s="3208">
        <v>0.14499999999999999</v>
      </c>
      <c r="G304" s="3209">
        <v>0.15</v>
      </c>
    </row>
    <row r="305" spans="1:7">
      <c r="A305" s="3218" t="s">
        <v>1156</v>
      </c>
      <c r="B305" s="3207" t="s">
        <v>2963</v>
      </c>
      <c r="C305" s="3208">
        <v>0.15</v>
      </c>
      <c r="D305" s="3208">
        <v>0.15</v>
      </c>
      <c r="E305" s="3208">
        <v>0.15</v>
      </c>
      <c r="F305" s="3208">
        <v>0.111</v>
      </c>
      <c r="G305" s="3209">
        <v>0.15</v>
      </c>
    </row>
    <row r="306" spans="1:7">
      <c r="A306" s="3218" t="s">
        <v>1156</v>
      </c>
      <c r="B306" s="3207" t="s">
        <v>3137</v>
      </c>
      <c r="C306" s="3208">
        <v>0.15</v>
      </c>
      <c r="D306" s="3208">
        <v>0.15</v>
      </c>
      <c r="E306" s="3208">
        <v>0.15</v>
      </c>
      <c r="F306" s="3208">
        <v>0.126</v>
      </c>
      <c r="G306" s="3209">
        <v>0.15</v>
      </c>
    </row>
    <row r="307" spans="1:7">
      <c r="A307" s="3218" t="s">
        <v>1156</v>
      </c>
      <c r="B307" s="3207" t="s">
        <v>2965</v>
      </c>
      <c r="C307" s="3208">
        <v>0.15</v>
      </c>
      <c r="D307" s="3208">
        <v>0.15</v>
      </c>
      <c r="E307" s="3208">
        <v>0.15</v>
      </c>
      <c r="F307" s="3208">
        <v>0.12</v>
      </c>
      <c r="G307" s="3209">
        <v>0.15</v>
      </c>
    </row>
    <row r="308" spans="1:7">
      <c r="A308" s="3218" t="s">
        <v>1156</v>
      </c>
      <c r="B308" s="3207" t="s">
        <v>3138</v>
      </c>
      <c r="C308" s="3208">
        <v>0.15</v>
      </c>
      <c r="D308" s="3208">
        <v>0.15</v>
      </c>
      <c r="E308" s="3208">
        <v>0.15</v>
      </c>
      <c r="F308" s="3208">
        <v>0.13</v>
      </c>
      <c r="G308" s="3209">
        <v>0.15</v>
      </c>
    </row>
    <row r="309" spans="1:7">
      <c r="A309" s="3218" t="s">
        <v>1156</v>
      </c>
      <c r="B309" s="3207" t="s">
        <v>3139</v>
      </c>
      <c r="C309" s="3208">
        <v>0.15</v>
      </c>
      <c r="D309" s="3208">
        <v>0.15</v>
      </c>
      <c r="E309" s="3208">
        <v>0.15</v>
      </c>
      <c r="F309" s="3208">
        <v>0.14099999999999999</v>
      </c>
      <c r="G309" s="3209">
        <v>0.15</v>
      </c>
    </row>
    <row r="310" spans="1:7">
      <c r="A310" s="3218" t="s">
        <v>1156</v>
      </c>
      <c r="B310" s="3207" t="s">
        <v>2968</v>
      </c>
      <c r="C310" s="3208">
        <v>0.15</v>
      </c>
      <c r="D310" s="3208">
        <v>0.15</v>
      </c>
      <c r="E310" s="3208">
        <v>0.15</v>
      </c>
      <c r="F310" s="3208">
        <v>0.15</v>
      </c>
      <c r="G310" s="3209">
        <v>0.15</v>
      </c>
    </row>
    <row r="311" spans="1:7">
      <c r="A311" s="3218" t="s">
        <v>1156</v>
      </c>
      <c r="B311" s="3207" t="s">
        <v>3140</v>
      </c>
      <c r="C311" s="3208">
        <v>0.13200000000000001</v>
      </c>
      <c r="D311" s="3208">
        <v>0.13300000000000001</v>
      </c>
      <c r="E311" s="3208">
        <v>0.14499999999999999</v>
      </c>
      <c r="F311" s="3208">
        <v>0.14199999999999999</v>
      </c>
      <c r="G311" s="3209">
        <v>0.14000000000000001</v>
      </c>
    </row>
    <row r="312" spans="1:7">
      <c r="A312" s="3218" t="s">
        <v>1156</v>
      </c>
      <c r="B312" s="3207" t="s">
        <v>2970</v>
      </c>
      <c r="C312" s="3208">
        <v>0.13800000000000001</v>
      </c>
      <c r="D312" s="3208">
        <v>0.14000000000000001</v>
      </c>
      <c r="E312" s="3208">
        <v>0.14599999999999999</v>
      </c>
      <c r="F312" s="3208">
        <v>0.14899999999999999</v>
      </c>
      <c r="G312" s="3209">
        <v>0.14199999999999999</v>
      </c>
    </row>
    <row r="313" spans="1:7">
      <c r="A313" s="3218" t="s">
        <v>1156</v>
      </c>
      <c r="B313" s="3207" t="s">
        <v>2971</v>
      </c>
      <c r="C313" s="3208">
        <v>0.125</v>
      </c>
      <c r="D313" s="3208">
        <v>0.127</v>
      </c>
      <c r="E313" s="3208">
        <v>0.14399999999999999</v>
      </c>
      <c r="F313" s="3208">
        <v>0.115</v>
      </c>
      <c r="G313" s="3209">
        <v>0.13600000000000001</v>
      </c>
    </row>
    <row r="314" spans="1:7">
      <c r="A314" s="3218" t="s">
        <v>1156</v>
      </c>
      <c r="B314" s="3207" t="s">
        <v>3141</v>
      </c>
      <c r="C314" s="3224"/>
      <c r="D314" s="3224"/>
      <c r="E314" s="3224"/>
      <c r="F314" s="3208">
        <v>0.05</v>
      </c>
      <c r="G314" s="3225"/>
    </row>
    <row r="315" spans="1:7">
      <c r="A315" s="3218" t="s">
        <v>1156</v>
      </c>
      <c r="B315" s="3207" t="s">
        <v>3142</v>
      </c>
      <c r="C315" s="3224"/>
      <c r="D315" s="3224"/>
      <c r="E315" s="3224"/>
      <c r="F315" s="3208">
        <v>0.05</v>
      </c>
      <c r="G315" s="3225"/>
    </row>
    <row r="316" spans="1:7">
      <c r="A316" s="3218" t="s">
        <v>1156</v>
      </c>
      <c r="B316" s="3207" t="s">
        <v>3143</v>
      </c>
      <c r="C316" s="3219"/>
      <c r="D316" s="3219"/>
      <c r="E316" s="3219"/>
      <c r="F316" s="3208">
        <v>0.05</v>
      </c>
      <c r="G316" s="3225"/>
    </row>
    <row r="317" spans="1:7">
      <c r="A317" s="3218" t="s">
        <v>1156</v>
      </c>
      <c r="B317" s="3207" t="s">
        <v>3144</v>
      </c>
      <c r="C317" s="3219"/>
      <c r="D317" s="3219"/>
      <c r="E317" s="3219"/>
      <c r="F317" s="3208">
        <v>0.05</v>
      </c>
      <c r="G317" s="3225"/>
    </row>
    <row r="318" spans="1:7">
      <c r="A318" s="3218" t="s">
        <v>1156</v>
      </c>
      <c r="B318" s="3207" t="s">
        <v>3145</v>
      </c>
      <c r="C318" s="3219"/>
      <c r="D318" s="3219"/>
      <c r="E318" s="3219"/>
      <c r="F318" s="3208">
        <v>0.05</v>
      </c>
      <c r="G318" s="3225"/>
    </row>
    <row r="319" spans="1:7">
      <c r="A319" s="3218" t="s">
        <v>1156</v>
      </c>
      <c r="B319" s="3207" t="s">
        <v>3146</v>
      </c>
      <c r="C319" s="3219"/>
      <c r="D319" s="3219"/>
      <c r="E319" s="3219"/>
      <c r="F319" s="3208">
        <v>0.05</v>
      </c>
      <c r="G319" s="3225"/>
    </row>
    <row r="320" spans="1:7">
      <c r="A320" s="3218" t="s">
        <v>1156</v>
      </c>
      <c r="B320" s="3207" t="s">
        <v>3147</v>
      </c>
      <c r="C320" s="3219"/>
      <c r="D320" s="3219"/>
      <c r="E320" s="3219"/>
      <c r="F320" s="3208">
        <v>0.05</v>
      </c>
      <c r="G320" s="3225"/>
    </row>
    <row r="321" spans="1:7">
      <c r="A321" s="3218" t="s">
        <v>1156</v>
      </c>
      <c r="B321" s="3207" t="s">
        <v>3148</v>
      </c>
      <c r="C321" s="3219"/>
      <c r="D321" s="3219"/>
      <c r="E321" s="3219"/>
      <c r="F321" s="3208">
        <v>0.05</v>
      </c>
      <c r="G321" s="3225"/>
    </row>
    <row r="322" spans="1:7">
      <c r="A322" s="3218" t="s">
        <v>1156</v>
      </c>
      <c r="B322" s="3207" t="s">
        <v>3149</v>
      </c>
      <c r="C322" s="3219"/>
      <c r="D322" s="3219"/>
      <c r="E322" s="3219"/>
      <c r="F322" s="3208">
        <v>0.05</v>
      </c>
      <c r="G322" s="3225"/>
    </row>
    <row r="323" spans="1:7">
      <c r="A323" s="3218" t="s">
        <v>1156</v>
      </c>
      <c r="B323" s="3207" t="s">
        <v>3150</v>
      </c>
      <c r="C323" s="3219"/>
      <c r="D323" s="3219"/>
      <c r="E323" s="3219"/>
      <c r="F323" s="3208">
        <v>0.05</v>
      </c>
      <c r="G323" s="3225"/>
    </row>
    <row r="324" spans="1:7">
      <c r="A324" s="3218" t="s">
        <v>1156</v>
      </c>
      <c r="B324" s="3207" t="s">
        <v>3151</v>
      </c>
      <c r="C324" s="3219"/>
      <c r="D324" s="3219"/>
      <c r="E324" s="3219"/>
      <c r="F324" s="3208">
        <v>0.05</v>
      </c>
      <c r="G324" s="3225"/>
    </row>
    <row r="325" spans="1:7">
      <c r="A325" s="3218" t="s">
        <v>1156</v>
      </c>
      <c r="B325" s="3207" t="s">
        <v>3152</v>
      </c>
      <c r="C325" s="3219"/>
      <c r="D325" s="3219"/>
      <c r="E325" s="3219"/>
      <c r="F325" s="3208">
        <v>0.05</v>
      </c>
      <c r="G325" s="3225"/>
    </row>
    <row r="326" spans="1:7" ht="15" thickBot="1">
      <c r="A326" s="3221" t="s">
        <v>1156</v>
      </c>
      <c r="B326" s="3211" t="s">
        <v>3153</v>
      </c>
      <c r="C326" s="3213"/>
      <c r="D326" s="3213"/>
      <c r="E326" s="3213"/>
      <c r="F326" s="3212">
        <v>0.05</v>
      </c>
      <c r="G326" s="3226"/>
    </row>
    <row r="327" spans="1:7">
      <c r="A327" s="3217" t="s">
        <v>1157</v>
      </c>
      <c r="B327" s="3203" t="s">
        <v>3154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3155</v>
      </c>
      <c r="C329" s="3208">
        <v>0.15</v>
      </c>
      <c r="D329" s="3208">
        <v>0.15</v>
      </c>
      <c r="E329" s="3208">
        <v>0.15</v>
      </c>
      <c r="F329" s="3208">
        <v>0.15</v>
      </c>
      <c r="G329" s="3209">
        <v>0.15</v>
      </c>
    </row>
    <row r="330" spans="1:7">
      <c r="A330" s="3218" t="s">
        <v>1157</v>
      </c>
      <c r="B330" s="3207" t="s">
        <v>3156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2988</v>
      </c>
      <c r="C332" s="3208">
        <v>0.15</v>
      </c>
      <c r="D332" s="3208">
        <v>0.15</v>
      </c>
      <c r="E332" s="3208">
        <v>0.15</v>
      </c>
      <c r="F332" s="3208">
        <v>0.15</v>
      </c>
      <c r="G332" s="3209">
        <v>0.15</v>
      </c>
    </row>
    <row r="333" spans="1:7">
      <c r="A333" s="3218" t="s">
        <v>1157</v>
      </c>
      <c r="B333" s="3207" t="s">
        <v>3157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2990</v>
      </c>
      <c r="C336" s="3208">
        <v>0.15</v>
      </c>
      <c r="D336" s="3208">
        <v>0.15</v>
      </c>
      <c r="E336" s="3208">
        <v>0.15</v>
      </c>
      <c r="F336" s="3208">
        <v>0.14199999999999999</v>
      </c>
      <c r="G336" s="3209">
        <v>0.15</v>
      </c>
    </row>
    <row r="337" spans="1:7">
      <c r="A337" s="3218" t="s">
        <v>1157</v>
      </c>
      <c r="B337" s="3207" t="s">
        <v>3158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3159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2994</v>
      </c>
      <c r="C345" s="3208">
        <v>0.15</v>
      </c>
      <c r="D345" s="3208">
        <v>0.15</v>
      </c>
      <c r="E345" s="3208">
        <v>0.15</v>
      </c>
      <c r="F345" s="3208">
        <v>0.13800000000000001</v>
      </c>
      <c r="G345" s="3209">
        <v>0.15</v>
      </c>
    </row>
    <row r="346" spans="1:7">
      <c r="A346" s="3218" t="s">
        <v>1157</v>
      </c>
      <c r="B346" s="3207" t="s">
        <v>3161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2996</v>
      </c>
      <c r="C348" s="3208">
        <v>0.15</v>
      </c>
      <c r="D348" s="3208">
        <v>0.15</v>
      </c>
      <c r="E348" s="3208">
        <v>0.15</v>
      </c>
      <c r="F348" s="3208">
        <v>0.14399999999999999</v>
      </c>
      <c r="G348" s="3209">
        <v>0.15</v>
      </c>
    </row>
    <row r="349" spans="1:7">
      <c r="A349" s="3218" t="s">
        <v>1157</v>
      </c>
      <c r="B349" s="3207" t="s">
        <v>2997</v>
      </c>
      <c r="C349" s="3208">
        <v>0.15</v>
      </c>
      <c r="D349" s="3208">
        <v>0.15</v>
      </c>
      <c r="E349" s="3208">
        <v>0.15</v>
      </c>
      <c r="F349" s="3208">
        <v>0.15</v>
      </c>
      <c r="G349" s="3209">
        <v>0.15</v>
      </c>
    </row>
    <row r="350" spans="1:7">
      <c r="A350" s="3218" t="s">
        <v>1157</v>
      </c>
      <c r="B350" s="3207" t="s">
        <v>3162</v>
      </c>
      <c r="C350" s="3208">
        <v>0.15</v>
      </c>
      <c r="D350" s="3208">
        <v>0.15</v>
      </c>
      <c r="E350" s="3208">
        <v>0.15</v>
      </c>
      <c r="F350" s="3208">
        <v>0.14699999999999999</v>
      </c>
      <c r="G350" s="3209">
        <v>0.15</v>
      </c>
    </row>
    <row r="351" spans="1:7">
      <c r="A351" s="3218" t="s">
        <v>1157</v>
      </c>
      <c r="B351" s="3207" t="s">
        <v>2999</v>
      </c>
      <c r="C351" s="3208">
        <v>0.15</v>
      </c>
      <c r="D351" s="3208">
        <v>0.15</v>
      </c>
      <c r="E351" s="3208">
        <v>0.15</v>
      </c>
      <c r="F351" s="3208">
        <v>0.13</v>
      </c>
      <c r="G351" s="3209">
        <v>0.15</v>
      </c>
    </row>
    <row r="352" spans="1:7">
      <c r="A352" s="3218" t="s">
        <v>1157</v>
      </c>
      <c r="B352" s="3207" t="s">
        <v>3000</v>
      </c>
      <c r="C352" s="3208">
        <v>0.15</v>
      </c>
      <c r="D352" s="3208">
        <v>0.15</v>
      </c>
      <c r="E352" s="3208">
        <v>0.15</v>
      </c>
      <c r="F352" s="3208">
        <v>0.14599999999999999</v>
      </c>
      <c r="G352" s="3209">
        <v>0.15</v>
      </c>
    </row>
    <row r="353" spans="1:7">
      <c r="A353" s="3218" t="s">
        <v>1157</v>
      </c>
      <c r="B353" s="3207" t="s">
        <v>3163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3002</v>
      </c>
      <c r="C355" s="3208">
        <v>0.15</v>
      </c>
      <c r="D355" s="3208">
        <v>0.15</v>
      </c>
      <c r="E355" s="3208">
        <v>0.15</v>
      </c>
      <c r="F355" s="3208">
        <v>0.15</v>
      </c>
      <c r="G355" s="3209">
        <v>0.15</v>
      </c>
    </row>
    <row r="356" spans="1:7">
      <c r="A356" s="3218" t="s">
        <v>1157</v>
      </c>
      <c r="B356" s="3207" t="s">
        <v>3003</v>
      </c>
      <c r="C356" s="3208">
        <v>0.15</v>
      </c>
      <c r="D356" s="3208">
        <v>0.15</v>
      </c>
      <c r="E356" s="3208">
        <v>0.15</v>
      </c>
      <c r="F356" s="3208">
        <v>0.15</v>
      </c>
      <c r="G356" s="3209">
        <v>0.15</v>
      </c>
    </row>
    <row r="357" spans="1:7" ht="15" thickBot="1">
      <c r="A357" s="3221" t="s">
        <v>1157</v>
      </c>
      <c r="B357" s="3211" t="s">
        <v>3164</v>
      </c>
      <c r="C357" s="3212">
        <v>0.126</v>
      </c>
      <c r="D357" s="3212">
        <v>0.127</v>
      </c>
      <c r="E357" s="3212">
        <v>0.14299999999999999</v>
      </c>
      <c r="F357" s="3212">
        <v>0.125</v>
      </c>
      <c r="G357" s="3214">
        <v>0.129</v>
      </c>
    </row>
    <row r="358" spans="1:7">
      <c r="A358" s="3217" t="s">
        <v>3165</v>
      </c>
      <c r="B358" s="3203" t="s">
        <v>3166</v>
      </c>
      <c r="C358" s="3204">
        <v>0.15</v>
      </c>
      <c r="D358" s="3204">
        <v>0.15</v>
      </c>
      <c r="E358" s="3204">
        <v>0.15</v>
      </c>
      <c r="F358" s="3204">
        <v>0.15</v>
      </c>
      <c r="G358" s="3205">
        <v>0.15</v>
      </c>
    </row>
    <row r="359" spans="1:7">
      <c r="A359" s="3218" t="s">
        <v>3165</v>
      </c>
      <c r="B359" s="3207" t="s">
        <v>3167</v>
      </c>
      <c r="C359" s="3208">
        <v>0.1</v>
      </c>
      <c r="D359" s="3208">
        <v>0.1</v>
      </c>
      <c r="E359" s="3208">
        <v>0.1</v>
      </c>
      <c r="F359" s="3208">
        <v>0.1</v>
      </c>
      <c r="G359" s="3209">
        <v>0.1</v>
      </c>
    </row>
    <row r="360" spans="1:7">
      <c r="A360" s="3218" t="s">
        <v>3165</v>
      </c>
      <c r="B360" s="3207" t="s">
        <v>3168</v>
      </c>
      <c r="C360" s="3208">
        <v>0.15</v>
      </c>
      <c r="D360" s="3208">
        <v>0.15</v>
      </c>
      <c r="E360" s="3208">
        <v>0.15</v>
      </c>
      <c r="F360" s="3208">
        <v>0.14899999999999999</v>
      </c>
      <c r="G360" s="3209">
        <v>0.15</v>
      </c>
    </row>
    <row r="361" spans="1:7">
      <c r="A361" s="3218" t="s">
        <v>3165</v>
      </c>
      <c r="B361" s="3207" t="s">
        <v>999</v>
      </c>
      <c r="C361" s="3208">
        <v>0.15</v>
      </c>
      <c r="D361" s="3208">
        <v>0.15</v>
      </c>
      <c r="E361" s="3208">
        <v>0.15</v>
      </c>
      <c r="F361" s="3208">
        <v>0.115</v>
      </c>
      <c r="G361" s="3209">
        <v>0.15</v>
      </c>
    </row>
    <row r="362" spans="1:7">
      <c r="A362" s="3218" t="s">
        <v>3165</v>
      </c>
      <c r="B362" s="3207" t="s">
        <v>3169</v>
      </c>
      <c r="C362" s="3208">
        <v>0.15</v>
      </c>
      <c r="D362" s="3208">
        <v>0.15</v>
      </c>
      <c r="E362" s="3208">
        <v>0.15</v>
      </c>
      <c r="F362" s="3208">
        <v>0.106</v>
      </c>
      <c r="G362" s="3209">
        <v>0.15</v>
      </c>
    </row>
    <row r="363" spans="1:7">
      <c r="A363" s="3218" t="s">
        <v>3165</v>
      </c>
      <c r="B363" s="3207" t="s">
        <v>3009</v>
      </c>
      <c r="C363" s="3208">
        <v>0.15</v>
      </c>
      <c r="D363" s="3208">
        <v>0.15</v>
      </c>
      <c r="E363" s="3208">
        <v>0.15</v>
      </c>
      <c r="F363" s="3208">
        <v>0.14699999999999999</v>
      </c>
      <c r="G363" s="3209">
        <v>0.15</v>
      </c>
    </row>
    <row r="364" spans="1:7">
      <c r="A364" s="3218" t="s">
        <v>3165</v>
      </c>
      <c r="B364" s="3207" t="s">
        <v>3170</v>
      </c>
      <c r="C364" s="3208">
        <v>0.15</v>
      </c>
      <c r="D364" s="3208">
        <v>0.15</v>
      </c>
      <c r="E364" s="3208">
        <v>0.15</v>
      </c>
      <c r="F364" s="3208">
        <v>0.14799999999999999</v>
      </c>
      <c r="G364" s="3209">
        <v>0.15</v>
      </c>
    </row>
    <row r="365" spans="1:7">
      <c r="A365" s="3218" t="s">
        <v>3165</v>
      </c>
      <c r="B365" s="3207" t="s">
        <v>1047</v>
      </c>
      <c r="C365" s="3208">
        <v>0.15</v>
      </c>
      <c r="D365" s="3208">
        <v>0.15</v>
      </c>
      <c r="E365" s="3208">
        <v>0.15</v>
      </c>
      <c r="F365" s="3208">
        <v>0.15</v>
      </c>
      <c r="G365" s="3209">
        <v>0.15</v>
      </c>
    </row>
    <row r="366" spans="1:7">
      <c r="A366" s="3218" t="s">
        <v>3165</v>
      </c>
      <c r="B366" s="3207" t="s">
        <v>3011</v>
      </c>
      <c r="C366" s="3208">
        <v>0.15</v>
      </c>
      <c r="D366" s="3208">
        <v>0.15</v>
      </c>
      <c r="E366" s="3208">
        <v>0.15</v>
      </c>
      <c r="F366" s="3208">
        <v>0.15</v>
      </c>
      <c r="G366" s="3209">
        <v>0.15</v>
      </c>
    </row>
    <row r="367" spans="1:7">
      <c r="A367" s="3218" t="s">
        <v>3165</v>
      </c>
      <c r="B367" s="3207" t="s">
        <v>3171</v>
      </c>
      <c r="C367" s="3208">
        <v>0.15</v>
      </c>
      <c r="D367" s="3208">
        <v>0.15</v>
      </c>
      <c r="E367" s="3208">
        <v>0.15</v>
      </c>
      <c r="F367" s="3208">
        <v>0.14699999999999999</v>
      </c>
      <c r="G367" s="3209">
        <v>0.15</v>
      </c>
    </row>
    <row r="368" spans="1:7">
      <c r="A368" s="3218" t="s">
        <v>3165</v>
      </c>
      <c r="B368" s="3207" t="s">
        <v>3172</v>
      </c>
      <c r="C368" s="3208">
        <v>0.15</v>
      </c>
      <c r="D368" s="3208">
        <v>0.15</v>
      </c>
      <c r="E368" s="3208">
        <v>0.15</v>
      </c>
      <c r="F368" s="3208">
        <v>0.13600000000000001</v>
      </c>
      <c r="G368" s="3209">
        <v>0.15</v>
      </c>
    </row>
    <row r="369" spans="1:7">
      <c r="A369" s="3218" t="s">
        <v>3165</v>
      </c>
      <c r="B369" s="3207" t="s">
        <v>1061</v>
      </c>
      <c r="C369" s="3208">
        <v>0.15</v>
      </c>
      <c r="D369" s="3208">
        <v>0.15</v>
      </c>
      <c r="E369" s="3208">
        <v>0.15</v>
      </c>
      <c r="F369" s="3208">
        <v>0.14399999999999999</v>
      </c>
      <c r="G369" s="3209">
        <v>0.15</v>
      </c>
    </row>
    <row r="370" spans="1:7">
      <c r="A370" s="3218" t="s">
        <v>3165</v>
      </c>
      <c r="B370" s="3207" t="s">
        <v>1069</v>
      </c>
      <c r="C370" s="3208">
        <v>0.15</v>
      </c>
      <c r="D370" s="3208">
        <v>0.15</v>
      </c>
      <c r="E370" s="3208">
        <v>0.15</v>
      </c>
      <c r="F370" s="3208">
        <v>0.14599999999999999</v>
      </c>
      <c r="G370" s="3209">
        <v>0.15</v>
      </c>
    </row>
    <row r="371" spans="1:7">
      <c r="A371" s="3218" t="s">
        <v>3165</v>
      </c>
      <c r="B371" s="3207" t="s">
        <v>1077</v>
      </c>
      <c r="C371" s="3208">
        <v>0.15</v>
      </c>
      <c r="D371" s="3208">
        <v>0.15</v>
      </c>
      <c r="E371" s="3208">
        <v>0.15</v>
      </c>
      <c r="F371" s="3208">
        <v>0.12</v>
      </c>
      <c r="G371" s="3209">
        <v>0.15</v>
      </c>
    </row>
    <row r="372" spans="1:7">
      <c r="A372" s="3218" t="s">
        <v>3165</v>
      </c>
      <c r="B372" s="3207" t="s">
        <v>3173</v>
      </c>
      <c r="C372" s="3208">
        <v>0.15</v>
      </c>
      <c r="D372" s="3208">
        <v>0.15</v>
      </c>
      <c r="E372" s="3208">
        <v>0.15</v>
      </c>
      <c r="F372" s="3208">
        <v>0.14299999999999999</v>
      </c>
      <c r="G372" s="3209">
        <v>0.15</v>
      </c>
    </row>
    <row r="373" spans="1:7">
      <c r="A373" s="3218" t="s">
        <v>3165</v>
      </c>
      <c r="B373" s="3207" t="s">
        <v>1106</v>
      </c>
      <c r="C373" s="3208">
        <v>0.15</v>
      </c>
      <c r="D373" s="3208">
        <v>0.15</v>
      </c>
      <c r="E373" s="3208">
        <v>0.15</v>
      </c>
      <c r="F373" s="3208">
        <v>0.14599999999999999</v>
      </c>
      <c r="G373" s="3209">
        <v>0.15</v>
      </c>
    </row>
    <row r="374" spans="1:7">
      <c r="A374" s="3218" t="s">
        <v>3165</v>
      </c>
      <c r="B374" s="3207" t="s">
        <v>1114</v>
      </c>
      <c r="C374" s="3208">
        <v>0.15</v>
      </c>
      <c r="D374" s="3208">
        <v>0.15</v>
      </c>
      <c r="E374" s="3208">
        <v>0.15</v>
      </c>
      <c r="F374" s="3208">
        <v>0.14399999999999999</v>
      </c>
      <c r="G374" s="3209">
        <v>0.15</v>
      </c>
    </row>
    <row r="375" spans="1:7">
      <c r="A375" s="3218" t="s">
        <v>3165</v>
      </c>
      <c r="B375" s="3207" t="s">
        <v>3174</v>
      </c>
      <c r="C375" s="3208">
        <v>0.15</v>
      </c>
      <c r="D375" s="3208">
        <v>0.15</v>
      </c>
      <c r="E375" s="3208">
        <v>0.15</v>
      </c>
      <c r="F375" s="3208">
        <v>0.13</v>
      </c>
      <c r="G375" s="3209">
        <v>0.15</v>
      </c>
    </row>
    <row r="376" spans="1:7">
      <c r="A376" s="3218" t="s">
        <v>3165</v>
      </c>
      <c r="B376" s="3207" t="s">
        <v>1126</v>
      </c>
      <c r="C376" s="3208">
        <v>0.15</v>
      </c>
      <c r="D376" s="3208">
        <v>0.15</v>
      </c>
      <c r="E376" s="3208">
        <v>0.15</v>
      </c>
      <c r="F376" s="3208">
        <v>0.14199999999999999</v>
      </c>
      <c r="G376" s="3209">
        <v>0.15</v>
      </c>
    </row>
    <row r="377" spans="1:7" ht="15" thickBot="1">
      <c r="A377" s="3221" t="s">
        <v>3165</v>
      </c>
      <c r="B377" s="3211" t="s">
        <v>3016</v>
      </c>
      <c r="C377" s="3212">
        <v>0.15</v>
      </c>
      <c r="D377" s="3212">
        <v>0.15</v>
      </c>
      <c r="E377" s="3212">
        <v>0.15</v>
      </c>
      <c r="F377" s="3212">
        <v>0.14000000000000001</v>
      </c>
      <c r="G377" s="3214">
        <v>0.15</v>
      </c>
    </row>
    <row r="378" spans="1:7">
      <c r="A378" s="3217" t="s">
        <v>3175</v>
      </c>
      <c r="B378" s="3203" t="s">
        <v>3176</v>
      </c>
      <c r="C378" s="3204">
        <v>0.15</v>
      </c>
      <c r="D378" s="3204">
        <v>0.15</v>
      </c>
      <c r="E378" s="3204">
        <v>0.15</v>
      </c>
      <c r="F378" s="3204">
        <v>0.107</v>
      </c>
      <c r="G378" s="3205">
        <v>0.15</v>
      </c>
    </row>
    <row r="379" spans="1:7">
      <c r="A379" s="3218" t="s">
        <v>3175</v>
      </c>
      <c r="B379" s="3207" t="s">
        <v>3177</v>
      </c>
      <c r="C379" s="3208">
        <v>0.15</v>
      </c>
      <c r="D379" s="3208">
        <v>0.15</v>
      </c>
      <c r="E379" s="3208">
        <v>0.15</v>
      </c>
      <c r="F379" s="3208">
        <v>0.115</v>
      </c>
      <c r="G379" s="3209">
        <v>0.14899999999999999</v>
      </c>
    </row>
    <row r="380" spans="1:7">
      <c r="A380" s="3218" t="s">
        <v>3178</v>
      </c>
      <c r="B380" s="3207" t="s">
        <v>3179</v>
      </c>
      <c r="C380" s="3208">
        <v>0.15</v>
      </c>
      <c r="D380" s="3208">
        <v>0.15</v>
      </c>
      <c r="E380" s="3208">
        <v>0.15</v>
      </c>
      <c r="F380" s="3208">
        <v>0.1</v>
      </c>
      <c r="G380" s="3209">
        <v>0.14799999999999999</v>
      </c>
    </row>
    <row r="381" spans="1:7">
      <c r="A381" s="3218" t="s">
        <v>3178</v>
      </c>
      <c r="B381" s="3207" t="s">
        <v>3180</v>
      </c>
      <c r="C381" s="3208">
        <v>0.15</v>
      </c>
      <c r="D381" s="3208">
        <v>0.15</v>
      </c>
      <c r="E381" s="3208">
        <v>0.15</v>
      </c>
      <c r="F381" s="3208">
        <v>0.126</v>
      </c>
      <c r="G381" s="3209">
        <v>0.15</v>
      </c>
    </row>
    <row r="382" spans="1:7">
      <c r="A382" s="3218" t="s">
        <v>3178</v>
      </c>
      <c r="B382" s="3207" t="s">
        <v>3181</v>
      </c>
      <c r="C382" s="3208">
        <v>0.15</v>
      </c>
      <c r="D382" s="3208">
        <v>0.15</v>
      </c>
      <c r="E382" s="3208">
        <v>0.15</v>
      </c>
      <c r="F382" s="3208">
        <v>0.15</v>
      </c>
      <c r="G382" s="3209">
        <v>0.15</v>
      </c>
    </row>
    <row r="383" spans="1:7">
      <c r="A383" s="3218" t="s">
        <v>3178</v>
      </c>
      <c r="B383" s="3207" t="s">
        <v>3182</v>
      </c>
      <c r="C383" s="3208">
        <v>0.15</v>
      </c>
      <c r="D383" s="3208">
        <v>0.15</v>
      </c>
      <c r="E383" s="3208">
        <v>0.15</v>
      </c>
      <c r="F383" s="3208">
        <v>0.14699999999999999</v>
      </c>
      <c r="G383" s="3209">
        <v>0.15</v>
      </c>
    </row>
    <row r="384" spans="1:7" ht="15" thickBot="1">
      <c r="A384" s="3228" t="s">
        <v>3178</v>
      </c>
      <c r="B384" s="3229" t="s">
        <v>3183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87" t="s">
        <v>1858</v>
      </c>
      <c r="C1" s="3687"/>
      <c r="D1" s="3687"/>
      <c r="E1" s="3687"/>
      <c r="F1" s="3687"/>
      <c r="G1" s="3686" t="s">
        <v>1859</v>
      </c>
      <c r="H1" s="3686"/>
      <c r="I1" s="3686"/>
      <c r="J1" s="3686"/>
      <c r="K1" s="3686"/>
      <c r="L1" s="3686"/>
      <c r="N1" s="3686" t="s">
        <v>1860</v>
      </c>
      <c r="O1" s="3686"/>
      <c r="P1" s="3686"/>
      <c r="Q1" s="3686"/>
      <c r="S1" s="3686" t="s">
        <v>1861</v>
      </c>
      <c r="T1" s="3686"/>
      <c r="U1" s="3686"/>
      <c r="V1" s="3686"/>
      <c r="X1" s="3685" t="s">
        <v>1921</v>
      </c>
      <c r="Y1" s="3686"/>
      <c r="Z1" s="3686"/>
      <c r="AA1" s="3686"/>
      <c r="AB1" s="3686"/>
      <c r="AD1" s="3685" t="s">
        <v>1925</v>
      </c>
      <c r="AE1" s="3686"/>
      <c r="AF1" s="3686"/>
      <c r="AG1" s="3686"/>
      <c r="AH1" s="3686"/>
    </row>
    <row r="2" spans="1:34" s="2423" customFormat="1" ht="1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81">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81"/>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81"/>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82"/>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80">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1"/>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1"/>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2"/>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0">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1"/>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1"/>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4"/>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3">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1"/>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1"/>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4"/>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3">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1"/>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1"/>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4"/>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88">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9"/>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9"/>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0"/>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3">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1"/>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1"/>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4"/>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3">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1">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1">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4">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3">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1">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1">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4">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3">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1">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1">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4">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3">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1">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1">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4">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3">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1">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1">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4">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3">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1">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1">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4">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3">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1">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1">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4">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3">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1">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1">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4">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3">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1">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1">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4">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3">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1">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1">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4">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DE49-E351-4256-BE3B-57FAA9597B62}">
  <sheetPr>
    <tabColor rgb="FF92D050"/>
    <pageSetUpPr fitToPage="1"/>
  </sheetPr>
  <dimension ref="A1:AC258"/>
  <sheetViews>
    <sheetView view="pageBreakPreview" zoomScale="60" zoomScaleNormal="95" workbookViewId="0">
      <selection activeCell="H82" sqref="H82"/>
    </sheetView>
  </sheetViews>
  <sheetFormatPr defaultColWidth="9" defaultRowHeight="13.8"/>
  <cols>
    <col min="1" max="1" width="15.6640625" style="1132" customWidth="1"/>
    <col min="2" max="2" width="15.77734375" style="1132" customWidth="1"/>
    <col min="3" max="3" width="18" style="1132" customWidth="1"/>
    <col min="4" max="4" width="12.21875" style="1132" customWidth="1"/>
    <col min="5" max="5" width="16.109375" style="1132" customWidth="1"/>
    <col min="6" max="6" width="12.21875" style="1132" customWidth="1"/>
    <col min="7" max="7" width="15.6640625" style="1132" customWidth="1"/>
    <col min="8" max="8" width="12.21875" style="1132" customWidth="1"/>
    <col min="9" max="9" width="17.886718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f>F67</f>
        <v>53484</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5777</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469</v>
      </c>
      <c r="B4" s="397">
        <f>IF(B48="单位面积地价",C50,ROUND(B2*10000/'数据-汇总表'!D3,0))</f>
        <v>12709</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847</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02" t="s">
        <v>471</v>
      </c>
      <c r="D6" s="3603"/>
      <c r="E6" s="3602" t="s">
        <v>472</v>
      </c>
      <c r="F6" s="3603"/>
      <c r="G6" s="3602" t="s">
        <v>473</v>
      </c>
      <c r="H6" s="3603"/>
      <c r="I6" s="3602" t="s">
        <v>474</v>
      </c>
      <c r="J6" s="3603"/>
      <c r="K6" s="465" t="s">
        <v>475</v>
      </c>
      <c r="L6" s="1742"/>
      <c r="M6" s="1741"/>
      <c r="N6" s="1741"/>
      <c r="O6" s="1743"/>
      <c r="P6" s="3604" t="s">
        <v>476</v>
      </c>
      <c r="Q6" s="3605"/>
      <c r="R6" s="3610" t="s">
        <v>472</v>
      </c>
      <c r="S6" s="3611"/>
      <c r="T6" s="3610" t="s">
        <v>473</v>
      </c>
      <c r="U6" s="3611"/>
      <c r="V6" s="3597" t="s">
        <v>474</v>
      </c>
      <c r="W6" s="3597"/>
      <c r="X6" s="1303"/>
      <c r="Y6" s="3610" t="s">
        <v>476</v>
      </c>
      <c r="Z6" s="3611"/>
      <c r="AA6" s="3599" t="s">
        <v>472</v>
      </c>
      <c r="AB6" s="3600" t="s">
        <v>473</v>
      </c>
      <c r="AC6" s="3599" t="s">
        <v>474</v>
      </c>
    </row>
    <row r="7" spans="1:29" ht="21">
      <c r="A7" s="466"/>
      <c r="B7" s="467"/>
      <c r="C7" s="3618" t="s">
        <v>2192</v>
      </c>
      <c r="D7" s="3619"/>
      <c r="E7" s="3618" t="str">
        <f>'信息+土地案例'!A26</f>
        <v>生态文旅区G15地块</v>
      </c>
      <c r="F7" s="3619"/>
      <c r="G7" s="3618" t="str">
        <f>'信息+土地案例'!A27</f>
        <v>淮安区国际商城东侧地块</v>
      </c>
      <c r="H7" s="3619"/>
      <c r="I7" s="3618" t="str">
        <f>'信息+土地案例'!A28</f>
        <v>生态文旅区龙江路北侧地块</v>
      </c>
      <c r="J7" s="3619"/>
      <c r="K7" s="465"/>
      <c r="L7" s="1742"/>
      <c r="M7" s="1741"/>
      <c r="N7" s="1741"/>
      <c r="O7" s="1743"/>
      <c r="P7" s="3606"/>
      <c r="Q7" s="3607"/>
      <c r="R7" s="3612"/>
      <c r="S7" s="3613"/>
      <c r="T7" s="3612"/>
      <c r="U7" s="3613"/>
      <c r="V7" s="3597"/>
      <c r="W7" s="3597"/>
      <c r="X7" s="1303"/>
      <c r="Y7" s="3612"/>
      <c r="Z7" s="3613"/>
      <c r="AA7" s="3600"/>
      <c r="AB7" s="3600"/>
      <c r="AC7" s="3600"/>
    </row>
    <row r="8" spans="1:29" ht="21.6" thickBot="1">
      <c r="A8" s="466"/>
      <c r="B8" s="467"/>
      <c r="C8" s="3620" t="s">
        <v>2196</v>
      </c>
      <c r="D8" s="3621"/>
      <c r="E8" s="3620" t="str">
        <f>'信息+土地案例'!H26</f>
        <v>生态文旅区站前路东侧、淮兴路南侧</v>
      </c>
      <c r="F8" s="3621"/>
      <c r="G8" s="3616" t="str">
        <f>'信息+土地案例'!H27</f>
        <v>淮安区翔宇大道南侧、城西北路西侧</v>
      </c>
      <c r="H8" s="3617"/>
      <c r="I8" s="3616" t="str">
        <f>'信息+土地案例'!H28</f>
        <v>生态文旅区万瑞路西侧、龙江路北侧</v>
      </c>
      <c r="J8" s="3617"/>
      <c r="K8" s="465" t="s">
        <v>477</v>
      </c>
      <c r="L8" s="1742"/>
      <c r="M8" s="1741"/>
      <c r="N8" s="1741"/>
      <c r="O8" s="1743"/>
      <c r="P8" s="3608"/>
      <c r="Q8" s="3609"/>
      <c r="R8" s="3612"/>
      <c r="S8" s="3613"/>
      <c r="T8" s="3614"/>
      <c r="U8" s="3615"/>
      <c r="V8" s="3597"/>
      <c r="W8" s="3597"/>
      <c r="X8" s="1303"/>
      <c r="Y8" s="3614"/>
      <c r="Z8" s="3615"/>
      <c r="AA8" s="3601"/>
      <c r="AB8" s="3601"/>
      <c r="AC8" s="3601"/>
    </row>
    <row r="9" spans="1:29" s="1060" customFormat="1" ht="21.6" thickBot="1">
      <c r="A9" s="2209"/>
      <c r="B9" s="2216" t="s">
        <v>478</v>
      </c>
      <c r="C9" s="2208">
        <f>'数据-取费表'!B2</f>
        <v>45730</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4"/>
      <c r="M9" s="1741"/>
      <c r="N9" s="1741"/>
      <c r="O9" s="1641"/>
      <c r="P9" s="3626" t="s">
        <v>479</v>
      </c>
      <c r="Q9" s="3628"/>
      <c r="R9" s="1304" t="s">
        <v>5</v>
      </c>
      <c r="S9" s="1305">
        <f t="shared" ref="S9:S17" si="0">F9</f>
        <v>100</v>
      </c>
      <c r="T9" s="1304" t="s">
        <v>5</v>
      </c>
      <c r="U9" s="1305">
        <f t="shared" ref="U9:U17" si="1">H9</f>
        <v>100</v>
      </c>
      <c r="V9" s="1304" t="s">
        <v>5</v>
      </c>
      <c r="W9" s="1305">
        <f t="shared" ref="W9:W17" si="2">J9</f>
        <v>100</v>
      </c>
      <c r="X9" s="1306"/>
      <c r="Y9" s="3626" t="s">
        <v>479</v>
      </c>
      <c r="Z9" s="3627"/>
      <c r="AA9" s="997">
        <f>D9/F9</f>
        <v>1</v>
      </c>
      <c r="AB9" s="997">
        <f>D9/H9</f>
        <v>1</v>
      </c>
      <c r="AC9" s="997">
        <f>D9/J9</f>
        <v>1</v>
      </c>
    </row>
    <row r="10" spans="1:29" s="1060" customFormat="1" ht="21.6" thickBot="1">
      <c r="A10" s="2210"/>
      <c r="B10" s="2217" t="s">
        <v>480</v>
      </c>
      <c r="C10" s="790" t="s">
        <v>481</v>
      </c>
      <c r="D10" s="471">
        <v>100</v>
      </c>
      <c r="E10" s="475" t="s">
        <v>3458</v>
      </c>
      <c r="F10" s="473">
        <f>SUMIF(74:74,E10,75:75)-SUMIF(74:74,C10,75:75)+100</f>
        <v>100</v>
      </c>
      <c r="G10" s="475" t="s">
        <v>3458</v>
      </c>
      <c r="H10" s="471">
        <f>SUMIF(74:74,G10,75:75)-SUMIF(74:74,C10,75:75)+100</f>
        <v>100</v>
      </c>
      <c r="I10" s="475" t="s">
        <v>3458</v>
      </c>
      <c r="J10" s="471">
        <f>SUMIF(74:74,I10,75:75)-SUMIF(74:74,C10,75:75)+100</f>
        <v>100</v>
      </c>
      <c r="K10" s="88"/>
      <c r="L10" s="1744"/>
      <c r="M10" s="1741"/>
      <c r="N10" s="1741"/>
      <c r="O10" s="1641"/>
      <c r="P10" s="3626" t="s">
        <v>482</v>
      </c>
      <c r="Q10" s="3627"/>
      <c r="R10" s="1304" t="s">
        <v>5</v>
      </c>
      <c r="S10" s="1305">
        <f t="shared" si="0"/>
        <v>100</v>
      </c>
      <c r="T10" s="1304" t="s">
        <v>5</v>
      </c>
      <c r="U10" s="1305">
        <f t="shared" si="1"/>
        <v>100</v>
      </c>
      <c r="V10" s="1304" t="s">
        <v>5</v>
      </c>
      <c r="W10" s="1305">
        <f t="shared" si="2"/>
        <v>100</v>
      </c>
      <c r="X10" s="1306"/>
      <c r="Y10" s="3626" t="s">
        <v>482</v>
      </c>
      <c r="Z10" s="3627"/>
      <c r="AA10" s="997">
        <f t="shared" ref="AA10:AA47" si="3">D10/F10</f>
        <v>1</v>
      </c>
      <c r="AB10" s="997">
        <f t="shared" ref="AB10:AB47" si="4">D10/H10</f>
        <v>1</v>
      </c>
      <c r="AC10" s="997">
        <f t="shared" ref="AC10:AC47" si="5">D10/J10</f>
        <v>1</v>
      </c>
    </row>
    <row r="11" spans="1:29" s="1060" customFormat="1" ht="21">
      <c r="A11" s="2211"/>
      <c r="B11" s="2218" t="s">
        <v>2038</v>
      </c>
      <c r="C11" s="3735" t="s">
        <v>851</v>
      </c>
      <c r="D11" s="154">
        <v>100</v>
      </c>
      <c r="E11" s="476" t="s">
        <v>851</v>
      </c>
      <c r="F11" s="154">
        <f>SUMIF(76:76,E11,77:77)-SUMIF(76:76,C11,77:77)+100</f>
        <v>100</v>
      </c>
      <c r="G11" s="476" t="s">
        <v>3459</v>
      </c>
      <c r="H11" s="154">
        <f>SUMIF(76:76,G11,77:77)-SUMIF(76:76,C11,77:77)+100</f>
        <v>90</v>
      </c>
      <c r="I11" s="476" t="s">
        <v>3459</v>
      </c>
      <c r="J11" s="154">
        <f>SUMIF(76:76,I11,77:77)-SUMIF(76:76,C11,77:77)+100</f>
        <v>90</v>
      </c>
      <c r="K11" s="88"/>
      <c r="L11" s="1744"/>
      <c r="M11" s="1741"/>
      <c r="N11" s="1741"/>
      <c r="O11" s="1745"/>
      <c r="P11" s="3596" t="s">
        <v>484</v>
      </c>
      <c r="Q11" s="818" t="str">
        <f t="shared" ref="Q11:Q17" si="6">B11</f>
        <v>用途</v>
      </c>
      <c r="R11" s="1304" t="s">
        <v>5</v>
      </c>
      <c r="S11" s="1305">
        <f t="shared" si="0"/>
        <v>100</v>
      </c>
      <c r="T11" s="1304" t="s">
        <v>5</v>
      </c>
      <c r="U11" s="1305">
        <f t="shared" si="1"/>
        <v>90</v>
      </c>
      <c r="V11" s="1304" t="s">
        <v>5</v>
      </c>
      <c r="W11" s="1305">
        <f t="shared" si="2"/>
        <v>90</v>
      </c>
      <c r="X11" s="1306"/>
      <c r="Y11" s="3540" t="s">
        <v>485</v>
      </c>
      <c r="Z11" s="997" t="str">
        <f t="shared" ref="Z11:Z17" si="7">Q11</f>
        <v>用途</v>
      </c>
      <c r="AA11" s="997">
        <f t="shared" si="3"/>
        <v>1</v>
      </c>
      <c r="AB11" s="997">
        <f t="shared" si="4"/>
        <v>1.1111111111111112</v>
      </c>
      <c r="AC11" s="997">
        <f t="shared" si="5"/>
        <v>1.1111111111111112</v>
      </c>
    </row>
    <row r="12" spans="1:29" s="1133" customFormat="1" ht="28.8">
      <c r="A12" s="2212"/>
      <c r="B12" s="2217" t="s">
        <v>2039</v>
      </c>
      <c r="C12" s="833">
        <v>70</v>
      </c>
      <c r="D12" s="235">
        <v>100</v>
      </c>
      <c r="E12" s="479" t="s">
        <v>3462</v>
      </c>
      <c r="F12" s="235">
        <f>ROUND(100/'数据-取费表'!G16,0)</f>
        <v>100</v>
      </c>
      <c r="G12" s="480" t="s">
        <v>3462</v>
      </c>
      <c r="H12" s="235">
        <f>ROUND(100/'数据-取费表'!G16,0)</f>
        <v>100</v>
      </c>
      <c r="I12" s="480" t="s">
        <v>3462</v>
      </c>
      <c r="J12" s="235">
        <f>ROUND(100/'数据-取费表'!G16,0)</f>
        <v>100</v>
      </c>
      <c r="K12" s="481"/>
      <c r="L12" s="1746"/>
      <c r="M12" s="1741"/>
      <c r="N12" s="1741"/>
      <c r="O12" s="1747"/>
      <c r="P12" s="3596"/>
      <c r="Q12" s="818" t="str">
        <f t="shared" si="6"/>
        <v>土地使用年限（年）</v>
      </c>
      <c r="R12" s="1304" t="s">
        <v>5</v>
      </c>
      <c r="S12" s="1305">
        <f t="shared" si="0"/>
        <v>100</v>
      </c>
      <c r="T12" s="1304" t="s">
        <v>5</v>
      </c>
      <c r="U12" s="1305">
        <f t="shared" si="1"/>
        <v>100</v>
      </c>
      <c r="V12" s="1304" t="s">
        <v>5</v>
      </c>
      <c r="W12" s="1305">
        <f t="shared" si="2"/>
        <v>100</v>
      </c>
      <c r="X12" s="1306"/>
      <c r="Y12" s="3540"/>
      <c r="Z12" s="997" t="str">
        <f t="shared" si="7"/>
        <v>土地使用年限（年）</v>
      </c>
      <c r="AA12" s="997">
        <f t="shared" si="3"/>
        <v>1</v>
      </c>
      <c r="AB12" s="997">
        <f t="shared" si="4"/>
        <v>1</v>
      </c>
      <c r="AC12" s="997">
        <f t="shared" si="5"/>
        <v>1</v>
      </c>
    </row>
    <row r="13" spans="1:29" ht="21">
      <c r="A13" s="2213"/>
      <c r="B13" s="2217" t="s">
        <v>2040</v>
      </c>
      <c r="C13" s="3736">
        <v>2.2000000000000002</v>
      </c>
      <c r="D13" s="235">
        <v>100</v>
      </c>
      <c r="E13" s="483">
        <f>'信息+土地案例'!K26</f>
        <v>2.9</v>
      </c>
      <c r="F13" s="235">
        <f>LOOKUP(E13,81:81,82:82)-LOOKUP(C13,81:81,82:82)+100</f>
        <v>100</v>
      </c>
      <c r="G13" s="484">
        <f>'信息+土地案例'!K27</f>
        <v>2.5</v>
      </c>
      <c r="H13" s="235">
        <f>LOOKUP(G13,81:81,82:82)-LOOKUP(C13,81:81,82:82)+100</f>
        <v>100</v>
      </c>
      <c r="I13" s="483">
        <f>'信息+土地案例'!K28</f>
        <v>2.2000000000000002</v>
      </c>
      <c r="J13" s="235">
        <f>LOOKUP(I13,81:81,82:82)-LOOKUP(C13,81:81,82:82)+100</f>
        <v>100</v>
      </c>
      <c r="K13" s="485">
        <v>2</v>
      </c>
      <c r="L13" s="1748"/>
      <c r="M13" s="1741"/>
      <c r="N13" s="1741"/>
      <c r="O13" s="1749"/>
      <c r="P13" s="3596"/>
      <c r="Q13" s="818" t="str">
        <f t="shared" si="6"/>
        <v>容积率</v>
      </c>
      <c r="R13" s="1304" t="s">
        <v>5</v>
      </c>
      <c r="S13" s="1305">
        <f t="shared" si="0"/>
        <v>100</v>
      </c>
      <c r="T13" s="1304" t="s">
        <v>5</v>
      </c>
      <c r="U13" s="1305">
        <f t="shared" si="1"/>
        <v>100</v>
      </c>
      <c r="V13" s="1304" t="s">
        <v>5</v>
      </c>
      <c r="W13" s="1305">
        <f t="shared" si="2"/>
        <v>100</v>
      </c>
      <c r="X13" s="1306"/>
      <c r="Y13" s="3540"/>
      <c r="Z13" s="997" t="str">
        <f t="shared" si="7"/>
        <v>容积率</v>
      </c>
      <c r="AA13" s="997">
        <f t="shared" si="3"/>
        <v>1</v>
      </c>
      <c r="AB13" s="997">
        <f t="shared" si="4"/>
        <v>1</v>
      </c>
      <c r="AC13" s="997">
        <f t="shared" si="5"/>
        <v>1</v>
      </c>
    </row>
    <row r="14" spans="1:29" s="1060" customFormat="1" ht="21">
      <c r="A14" s="2210"/>
      <c r="B14" s="2219" t="s">
        <v>2041</v>
      </c>
      <c r="C14" s="3407">
        <v>0</v>
      </c>
      <c r="D14" s="488">
        <v>100</v>
      </c>
      <c r="E14" s="1166" t="s">
        <v>3463</v>
      </c>
      <c r="F14" s="235">
        <f>SUMIF(83:83,E14,84:84)-SUMIF(83:83,C14,84:84)+100</f>
        <v>100</v>
      </c>
      <c r="G14" s="480" t="s">
        <v>3463</v>
      </c>
      <c r="H14" s="235">
        <f>SUMIF(83:83,G14,84:84)-SUMIF(83:83,C14,84:84)+100</f>
        <v>100</v>
      </c>
      <c r="I14" s="479" t="s">
        <v>3464</v>
      </c>
      <c r="J14" s="235">
        <f>SUMIF(83:83,I14,84:84)-SUMIF(83:83,C14,84:84)+100</f>
        <v>100</v>
      </c>
      <c r="K14" s="481"/>
      <c r="L14" s="1744"/>
      <c r="M14" s="1741"/>
      <c r="N14" s="1741"/>
      <c r="O14" s="1745"/>
      <c r="P14" s="3596"/>
      <c r="Q14" s="818" t="str">
        <f t="shared" si="6"/>
        <v>配建</v>
      </c>
      <c r="R14" s="1304" t="s">
        <v>5</v>
      </c>
      <c r="S14" s="1305">
        <f t="shared" si="0"/>
        <v>100</v>
      </c>
      <c r="T14" s="1304" t="s">
        <v>5</v>
      </c>
      <c r="U14" s="1305">
        <f t="shared" si="1"/>
        <v>100</v>
      </c>
      <c r="V14" s="1304" t="s">
        <v>5</v>
      </c>
      <c r="W14" s="1305">
        <f t="shared" si="2"/>
        <v>100</v>
      </c>
      <c r="X14" s="1306"/>
      <c r="Y14" s="3540"/>
      <c r="Z14" s="997" t="str">
        <f t="shared" si="7"/>
        <v>配建</v>
      </c>
      <c r="AA14" s="997">
        <f>D14/F14</f>
        <v>1</v>
      </c>
      <c r="AB14" s="997">
        <f>D14/H14</f>
        <v>1</v>
      </c>
      <c r="AC14" s="997">
        <f>D14/J14</f>
        <v>1</v>
      </c>
    </row>
    <row r="15" spans="1:29" ht="21">
      <c r="A15" s="2214"/>
      <c r="B15" s="3416" t="s">
        <v>3514</v>
      </c>
      <c r="C15" s="3737" t="s">
        <v>3524</v>
      </c>
      <c r="D15" s="490">
        <v>100</v>
      </c>
      <c r="E15" s="835" t="s">
        <v>3515</v>
      </c>
      <c r="F15" s="235">
        <f>SUMIF(85:85,E15,86:86)-SUMIF(85:85,C15,86:86)+100</f>
        <v>100</v>
      </c>
      <c r="G15" s="835" t="s">
        <v>3515</v>
      </c>
      <c r="H15" s="490">
        <f>SUMIF(85:85,G15,86:86)-SUMIF(85:85,C15,86:86)+100</f>
        <v>100</v>
      </c>
      <c r="I15" s="492" t="s">
        <v>3516</v>
      </c>
      <c r="J15" s="490">
        <f>SUMIF(85:85,I15,86:86)-SUMIF(85:85,C15,86:86)+100</f>
        <v>95</v>
      </c>
      <c r="K15" s="481"/>
      <c r="L15" s="1750"/>
      <c r="M15" s="1741"/>
      <c r="N15" s="1741"/>
      <c r="O15" s="1749"/>
      <c r="P15" s="3596"/>
      <c r="Q15" s="818" t="str">
        <f t="shared" si="6"/>
        <v>商业面积占比</v>
      </c>
      <c r="R15" s="1304" t="s">
        <v>5</v>
      </c>
      <c r="S15" s="1305">
        <f t="shared" si="0"/>
        <v>100</v>
      </c>
      <c r="T15" s="1304" t="s">
        <v>5</v>
      </c>
      <c r="U15" s="1305">
        <f t="shared" si="1"/>
        <v>100</v>
      </c>
      <c r="V15" s="1304" t="s">
        <v>5</v>
      </c>
      <c r="W15" s="1305">
        <f t="shared" si="2"/>
        <v>95</v>
      </c>
      <c r="X15" s="1306"/>
      <c r="Y15" s="3540"/>
      <c r="Z15" s="997" t="str">
        <f t="shared" si="7"/>
        <v>商业面积占比</v>
      </c>
      <c r="AA15" s="997">
        <f>D15/F15</f>
        <v>1</v>
      </c>
      <c r="AB15" s="997">
        <f>D15/H15</f>
        <v>1</v>
      </c>
      <c r="AC15" s="997">
        <f>D15/J15</f>
        <v>1.0526315789473684</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6"/>
      <c r="Q16" s="818">
        <f t="shared" si="6"/>
        <v>111</v>
      </c>
      <c r="R16" s="1304" t="s">
        <v>5</v>
      </c>
      <c r="S16" s="1305">
        <f t="shared" si="0"/>
        <v>100</v>
      </c>
      <c r="T16" s="1304" t="s">
        <v>5</v>
      </c>
      <c r="U16" s="1305">
        <f t="shared" si="1"/>
        <v>100</v>
      </c>
      <c r="V16" s="1304" t="s">
        <v>5</v>
      </c>
      <c r="W16" s="1305">
        <f t="shared" si="2"/>
        <v>100</v>
      </c>
      <c r="X16" s="1306"/>
      <c r="Y16" s="3540"/>
      <c r="Z16" s="997">
        <f t="shared" si="7"/>
        <v>111</v>
      </c>
      <c r="AA16" s="997">
        <f>D16/F16</f>
        <v>1</v>
      </c>
      <c r="AB16" s="997">
        <f>D16/H16</f>
        <v>1</v>
      </c>
      <c r="AC16" s="997">
        <f>D16/J16</f>
        <v>1</v>
      </c>
    </row>
    <row r="17" spans="1:29" ht="82.8">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106</v>
      </c>
      <c r="I17" s="502"/>
      <c r="J17" s="499">
        <f>SUMIF(89:89,I18,90:90)-SUMIF(89:89,C18,90:90)+100</f>
        <v>106</v>
      </c>
      <c r="K17" s="485">
        <v>3</v>
      </c>
      <c r="L17" s="1750"/>
      <c r="M17" s="1741"/>
      <c r="N17" s="1741"/>
      <c r="O17" s="1749"/>
      <c r="P17" s="3629" t="s">
        <v>489</v>
      </c>
      <c r="Q17" s="1307" t="str">
        <f t="shared" si="6"/>
        <v>居住社区成熟度</v>
      </c>
      <c r="R17" s="1308" t="s">
        <v>5</v>
      </c>
      <c r="S17" s="1309">
        <f t="shared" si="0"/>
        <v>100</v>
      </c>
      <c r="T17" s="1308" t="s">
        <v>5</v>
      </c>
      <c r="U17" s="1309">
        <f t="shared" si="1"/>
        <v>106</v>
      </c>
      <c r="V17" s="1308" t="s">
        <v>5</v>
      </c>
      <c r="W17" s="1309">
        <f t="shared" si="2"/>
        <v>106</v>
      </c>
      <c r="X17" s="1303"/>
      <c r="Y17" s="3629" t="s">
        <v>489</v>
      </c>
      <c r="Z17" s="1310" t="str">
        <f t="shared" si="7"/>
        <v>居住社区成熟度</v>
      </c>
      <c r="AA17" s="1310">
        <f t="shared" si="3"/>
        <v>1</v>
      </c>
      <c r="AB17" s="1310">
        <f t="shared" si="4"/>
        <v>0.94339622641509435</v>
      </c>
      <c r="AC17" s="1310">
        <f t="shared" si="5"/>
        <v>0.94339622641509435</v>
      </c>
    </row>
    <row r="18" spans="1:29" ht="21">
      <c r="A18" s="482"/>
      <c r="B18" s="503"/>
      <c r="C18" s="504" t="s">
        <v>3482</v>
      </c>
      <c r="D18" s="507"/>
      <c r="E18" s="508" t="s">
        <v>3482</v>
      </c>
      <c r="F18" s="505"/>
      <c r="G18" s="506" t="s">
        <v>3477</v>
      </c>
      <c r="H18" s="509"/>
      <c r="I18" s="508" t="s">
        <v>3477</v>
      </c>
      <c r="J18" s="505"/>
      <c r="K18" s="481"/>
      <c r="L18" s="1750"/>
      <c r="M18" s="1741"/>
      <c r="N18" s="1741"/>
      <c r="O18" s="1749"/>
      <c r="P18" s="3630"/>
      <c r="Q18" s="1307"/>
      <c r="R18" s="1308"/>
      <c r="S18" s="1309"/>
      <c r="T18" s="1308"/>
      <c r="U18" s="1309"/>
      <c r="V18" s="1308"/>
      <c r="W18" s="1309"/>
      <c r="X18" s="1303"/>
      <c r="Y18" s="3630"/>
      <c r="Z18" s="1310"/>
      <c r="AA18" s="1310">
        <v>1</v>
      </c>
      <c r="AB18" s="1310">
        <v>1</v>
      </c>
      <c r="AC18" s="1310">
        <v>1</v>
      </c>
    </row>
    <row r="19" spans="1:29" ht="55.2">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0"/>
      <c r="Q19" s="1307" t="str">
        <f>B19</f>
        <v>商业繁华度</v>
      </c>
      <c r="R19" s="1308" t="s">
        <v>5</v>
      </c>
      <c r="S19" s="1309">
        <f>F19</f>
        <v>100</v>
      </c>
      <c r="T19" s="1308" t="s">
        <v>5</v>
      </c>
      <c r="U19" s="1309">
        <f>H19</f>
        <v>100</v>
      </c>
      <c r="V19" s="1308" t="s">
        <v>5</v>
      </c>
      <c r="W19" s="1309">
        <f>J19</f>
        <v>100</v>
      </c>
      <c r="X19" s="1303"/>
      <c r="Y19" s="3630"/>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30"/>
      <c r="Q20" s="1307"/>
      <c r="R20" s="1308"/>
      <c r="S20" s="1309"/>
      <c r="T20" s="1308"/>
      <c r="U20" s="1309"/>
      <c r="V20" s="1308"/>
      <c r="W20" s="1309"/>
      <c r="X20" s="1303"/>
      <c r="Y20" s="3630"/>
      <c r="Z20" s="1310"/>
      <c r="AA20" s="1310">
        <v>1</v>
      </c>
      <c r="AB20" s="1310">
        <v>1</v>
      </c>
      <c r="AC20" s="1310">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0"/>
      <c r="Q21" s="1307" t="str">
        <f>B21</f>
        <v>办公集聚程度</v>
      </c>
      <c r="R21" s="1308" t="s">
        <v>5</v>
      </c>
      <c r="S21" s="1309">
        <f>F21</f>
        <v>100</v>
      </c>
      <c r="T21" s="1308" t="s">
        <v>5</v>
      </c>
      <c r="U21" s="1309">
        <f>H21</f>
        <v>100</v>
      </c>
      <c r="V21" s="1308" t="s">
        <v>5</v>
      </c>
      <c r="W21" s="1309">
        <f>J21</f>
        <v>100</v>
      </c>
      <c r="X21" s="1303"/>
      <c r="Y21" s="3630"/>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30"/>
      <c r="Q22" s="1307"/>
      <c r="R22" s="1308"/>
      <c r="S22" s="1309"/>
      <c r="T22" s="1308"/>
      <c r="U22" s="1309"/>
      <c r="V22" s="1308"/>
      <c r="W22" s="1309"/>
      <c r="X22" s="1303"/>
      <c r="Y22" s="3630"/>
      <c r="Z22" s="1310"/>
      <c r="AA22" s="1310">
        <v>1</v>
      </c>
      <c r="AB22" s="1310">
        <v>1</v>
      </c>
      <c r="AC22" s="1310">
        <v>1</v>
      </c>
    </row>
    <row r="23" spans="1:29" ht="69">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102</v>
      </c>
      <c r="I23" s="514"/>
      <c r="J23" s="509">
        <f>SUMIF(95:95,I24,96:96)-SUMIF(95:95,C24,96:96)+100</f>
        <v>102</v>
      </c>
      <c r="K23" s="485">
        <v>2</v>
      </c>
      <c r="L23" s="1750"/>
      <c r="M23" s="1741"/>
      <c r="N23" s="1741"/>
      <c r="O23" s="1749"/>
      <c r="P23" s="3630"/>
      <c r="Q23" s="1307" t="str">
        <f>B23</f>
        <v>交通便捷度</v>
      </c>
      <c r="R23" s="1308" t="s">
        <v>5</v>
      </c>
      <c r="S23" s="1309">
        <f>F23</f>
        <v>100</v>
      </c>
      <c r="T23" s="1308" t="s">
        <v>5</v>
      </c>
      <c r="U23" s="1309">
        <f>H23</f>
        <v>102</v>
      </c>
      <c r="V23" s="1308" t="s">
        <v>5</v>
      </c>
      <c r="W23" s="1309">
        <f>J23</f>
        <v>102</v>
      </c>
      <c r="X23" s="1303"/>
      <c r="Y23" s="3630"/>
      <c r="Z23" s="1310" t="str">
        <f>Q23</f>
        <v>交通便捷度</v>
      </c>
      <c r="AA23" s="1310">
        <f t="shared" si="3"/>
        <v>1</v>
      </c>
      <c r="AB23" s="1310">
        <f t="shared" si="4"/>
        <v>0.98039215686274506</v>
      </c>
      <c r="AC23" s="1310">
        <f t="shared" si="5"/>
        <v>0.98039215686274506</v>
      </c>
    </row>
    <row r="24" spans="1:29" ht="21">
      <c r="A24" s="482"/>
      <c r="B24" s="528"/>
      <c r="C24" s="504" t="s">
        <v>3483</v>
      </c>
      <c r="D24" s="507"/>
      <c r="E24" s="508" t="s">
        <v>3483</v>
      </c>
      <c r="F24" s="505"/>
      <c r="G24" s="506" t="s">
        <v>3477</v>
      </c>
      <c r="H24" s="505"/>
      <c r="I24" s="508" t="s">
        <v>3477</v>
      </c>
      <c r="J24" s="505"/>
      <c r="K24" s="481"/>
      <c r="L24" s="1750"/>
      <c r="M24" s="1741"/>
      <c r="N24" s="1741"/>
      <c r="O24" s="1749"/>
      <c r="P24" s="3630"/>
      <c r="Q24" s="1307"/>
      <c r="R24" s="1308"/>
      <c r="S24" s="1309"/>
      <c r="T24" s="1308"/>
      <c r="U24" s="1309"/>
      <c r="V24" s="1308"/>
      <c r="W24" s="1309"/>
      <c r="X24" s="1303"/>
      <c r="Y24" s="3630"/>
      <c r="Z24" s="1310"/>
      <c r="AA24" s="1310">
        <v>1</v>
      </c>
      <c r="AB24" s="1310">
        <v>1</v>
      </c>
      <c r="AC24" s="1310">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102</v>
      </c>
      <c r="K25" s="485">
        <v>2</v>
      </c>
      <c r="L25" s="1750"/>
      <c r="M25" s="1741"/>
      <c r="N25" s="1741"/>
      <c r="O25" s="1749"/>
      <c r="P25" s="3630"/>
      <c r="Q25" s="1307" t="str">
        <f t="shared" ref="Q25:Q39" si="8">B25</f>
        <v>区域土地利用方向</v>
      </c>
      <c r="R25" s="1308" t="s">
        <v>5</v>
      </c>
      <c r="S25" s="1309">
        <f>F25</f>
        <v>100</v>
      </c>
      <c r="T25" s="1308" t="s">
        <v>5</v>
      </c>
      <c r="U25" s="1309">
        <f>H25</f>
        <v>102</v>
      </c>
      <c r="V25" s="1308" t="s">
        <v>5</v>
      </c>
      <c r="W25" s="1309">
        <f>J25</f>
        <v>102</v>
      </c>
      <c r="X25" s="1303"/>
      <c r="Y25" s="3630"/>
      <c r="Z25" s="1310" t="str">
        <f>Q25</f>
        <v>区域土地利用方向</v>
      </c>
      <c r="AA25" s="1310">
        <f t="shared" si="3"/>
        <v>1</v>
      </c>
      <c r="AB25" s="1310">
        <f t="shared" si="4"/>
        <v>0.98039215686274506</v>
      </c>
      <c r="AC25" s="1310">
        <f t="shared" si="5"/>
        <v>0.98039215686274506</v>
      </c>
    </row>
    <row r="26" spans="1:29" ht="21">
      <c r="A26" s="466"/>
      <c r="B26" s="919"/>
      <c r="C26" s="504" t="s">
        <v>3483</v>
      </c>
      <c r="D26" s="507"/>
      <c r="E26" s="508" t="s">
        <v>3483</v>
      </c>
      <c r="F26" s="505"/>
      <c r="G26" s="506" t="s">
        <v>3477</v>
      </c>
      <c r="H26" s="505"/>
      <c r="I26" s="508" t="s">
        <v>3477</v>
      </c>
      <c r="J26" s="505"/>
      <c r="K26" s="481"/>
      <c r="L26" s="1750"/>
      <c r="M26" s="1741"/>
      <c r="N26" s="1741"/>
      <c r="O26" s="1749"/>
      <c r="P26" s="3630"/>
      <c r="Q26" s="1307"/>
      <c r="R26" s="1308"/>
      <c r="S26" s="1309"/>
      <c r="T26" s="1308"/>
      <c r="U26" s="1309"/>
      <c r="V26" s="1308"/>
      <c r="W26" s="1309"/>
      <c r="X26" s="1303"/>
      <c r="Y26" s="3630"/>
      <c r="Z26" s="1310"/>
      <c r="AA26" s="1310"/>
      <c r="AB26" s="1310"/>
      <c r="AC26" s="1310"/>
    </row>
    <row r="27" spans="1:29" ht="41.4">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102</v>
      </c>
      <c r="I27" s="514"/>
      <c r="J27" s="509">
        <f>SUMIF(99:99,I28,100:100)-SUMIF(99:99,C28,100:100)+100</f>
        <v>102</v>
      </c>
      <c r="K27" s="485">
        <v>2</v>
      </c>
      <c r="L27" s="1750"/>
      <c r="M27" s="1741"/>
      <c r="N27" s="1741"/>
      <c r="O27" s="1749"/>
      <c r="P27" s="3630"/>
      <c r="Q27" s="1307" t="str">
        <f t="shared" si="8"/>
        <v>自然及人文环境状况</v>
      </c>
      <c r="R27" s="1308" t="s">
        <v>5</v>
      </c>
      <c r="S27" s="1309">
        <f>F27</f>
        <v>100</v>
      </c>
      <c r="T27" s="1308" t="s">
        <v>5</v>
      </c>
      <c r="U27" s="1309">
        <f>H27</f>
        <v>102</v>
      </c>
      <c r="V27" s="1308" t="s">
        <v>5</v>
      </c>
      <c r="W27" s="1309">
        <f>J27</f>
        <v>102</v>
      </c>
      <c r="X27" s="1303"/>
      <c r="Y27" s="3630"/>
      <c r="Z27" s="1310" t="str">
        <f>Q27</f>
        <v>自然及人文环境状况</v>
      </c>
      <c r="AA27" s="1310">
        <f t="shared" si="3"/>
        <v>1</v>
      </c>
      <c r="AB27" s="1310">
        <f t="shared" si="4"/>
        <v>0.98039215686274506</v>
      </c>
      <c r="AC27" s="1310">
        <f t="shared" si="5"/>
        <v>0.98039215686274506</v>
      </c>
    </row>
    <row r="28" spans="1:29" ht="21">
      <c r="A28" s="466"/>
      <c r="B28" s="516"/>
      <c r="C28" s="504" t="s">
        <v>3483</v>
      </c>
      <c r="D28" s="507"/>
      <c r="E28" s="526" t="s">
        <v>3483</v>
      </c>
      <c r="F28" s="505"/>
      <c r="G28" s="504" t="s">
        <v>3477</v>
      </c>
      <c r="H28" s="505"/>
      <c r="I28" s="526" t="s">
        <v>3477</v>
      </c>
      <c r="J28" s="505"/>
      <c r="K28" s="481"/>
      <c r="L28" s="1750"/>
      <c r="M28" s="1741"/>
      <c r="N28" s="1741"/>
      <c r="O28" s="1749"/>
      <c r="P28" s="3630"/>
      <c r="Q28" s="1307"/>
      <c r="R28" s="1308"/>
      <c r="S28" s="1309"/>
      <c r="T28" s="1308"/>
      <c r="U28" s="1309"/>
      <c r="V28" s="1308"/>
      <c r="W28" s="1309"/>
      <c r="X28" s="1303"/>
      <c r="Y28" s="3630"/>
      <c r="Z28" s="1310"/>
      <c r="AA28" s="1310">
        <v>1</v>
      </c>
      <c r="AB28" s="1310">
        <v>1</v>
      </c>
      <c r="AC28" s="1310">
        <v>1</v>
      </c>
    </row>
    <row r="29" spans="1:29" s="1060" customFormat="1" ht="41.4">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104</v>
      </c>
      <c r="I29" s="514"/>
      <c r="J29" s="509">
        <f>SUMIF(101:101,I30,102:102)-SUMIF(101:101,C30,102:102)+100</f>
        <v>104</v>
      </c>
      <c r="K29" s="485">
        <v>2</v>
      </c>
      <c r="L29" s="1744"/>
      <c r="M29" s="1741"/>
      <c r="N29" s="1741"/>
      <c r="O29" s="1745"/>
      <c r="P29" s="3630"/>
      <c r="Q29" s="818" t="str">
        <f t="shared" si="8"/>
        <v>公共配套设施</v>
      </c>
      <c r="R29" s="1304" t="s">
        <v>5</v>
      </c>
      <c r="S29" s="1305">
        <f>F29</f>
        <v>100</v>
      </c>
      <c r="T29" s="1304" t="s">
        <v>5</v>
      </c>
      <c r="U29" s="1305">
        <f>H29</f>
        <v>104</v>
      </c>
      <c r="V29" s="1304" t="s">
        <v>5</v>
      </c>
      <c r="W29" s="1305">
        <f>J29</f>
        <v>104</v>
      </c>
      <c r="X29" s="1306"/>
      <c r="Y29" s="3630"/>
      <c r="Z29" s="997" t="str">
        <f>Q29</f>
        <v>公共配套设施</v>
      </c>
      <c r="AA29" s="1310">
        <f>D29/F29</f>
        <v>1</v>
      </c>
      <c r="AB29" s="1310">
        <f>D29/H29</f>
        <v>0.96153846153846156</v>
      </c>
      <c r="AC29" s="1310">
        <f>D29/J29</f>
        <v>0.96153846153846156</v>
      </c>
    </row>
    <row r="30" spans="1:29" s="1060" customFormat="1" ht="21">
      <c r="A30" s="527"/>
      <c r="B30" s="516"/>
      <c r="C30" s="529" t="s">
        <v>3482</v>
      </c>
      <c r="D30" s="507"/>
      <c r="E30" s="529" t="s">
        <v>3482</v>
      </c>
      <c r="F30" s="505"/>
      <c r="G30" s="504" t="s">
        <v>3477</v>
      </c>
      <c r="H30" s="505"/>
      <c r="I30" s="526" t="s">
        <v>3477</v>
      </c>
      <c r="J30" s="505"/>
      <c r="K30" s="481"/>
      <c r="L30" s="1744"/>
      <c r="M30" s="1741"/>
      <c r="N30" s="1741"/>
      <c r="O30" s="1745"/>
      <c r="P30" s="3630"/>
      <c r="Q30" s="818"/>
      <c r="R30" s="1304"/>
      <c r="S30" s="1305"/>
      <c r="T30" s="1304"/>
      <c r="U30" s="1305"/>
      <c r="V30" s="1304"/>
      <c r="W30" s="1305"/>
      <c r="X30" s="1306"/>
      <c r="Y30" s="3630"/>
      <c r="Z30" s="997"/>
      <c r="AA30" s="1310">
        <v>1</v>
      </c>
      <c r="AB30" s="1310">
        <v>1</v>
      </c>
      <c r="AC30" s="1310">
        <v>1</v>
      </c>
    </row>
    <row r="31" spans="1:29" s="1060" customFormat="1" ht="27.6">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30"/>
      <c r="Q31" s="818" t="str">
        <f>B31</f>
        <v>基础设施水平</v>
      </c>
      <c r="R31" s="1304" t="s">
        <v>5</v>
      </c>
      <c r="S31" s="1305">
        <f>F31</f>
        <v>100</v>
      </c>
      <c r="T31" s="1304" t="s">
        <v>5</v>
      </c>
      <c r="U31" s="1305">
        <f>H31</f>
        <v>100</v>
      </c>
      <c r="V31" s="1304" t="s">
        <v>5</v>
      </c>
      <c r="W31" s="1305">
        <f>J31</f>
        <v>100</v>
      </c>
      <c r="X31" s="1306"/>
      <c r="Y31" s="3630"/>
      <c r="Z31" s="997" t="str">
        <f>Q31</f>
        <v>基础设施水平</v>
      </c>
      <c r="AA31" s="1310">
        <f>D31/F31</f>
        <v>1</v>
      </c>
      <c r="AB31" s="1310">
        <f>D31/H31</f>
        <v>1</v>
      </c>
      <c r="AC31" s="1310">
        <f>D31/J31</f>
        <v>1</v>
      </c>
    </row>
    <row r="32" spans="1:29" s="1060" customFormat="1" ht="21">
      <c r="A32" s="527"/>
      <c r="B32" s="516"/>
      <c r="C32" s="529"/>
      <c r="D32" s="507"/>
      <c r="E32" s="2052"/>
      <c r="F32" s="505"/>
      <c r="G32" s="529"/>
      <c r="H32" s="505"/>
      <c r="I32" s="529"/>
      <c r="J32" s="505"/>
      <c r="K32" s="481"/>
      <c r="L32" s="1744"/>
      <c r="M32" s="1741"/>
      <c r="N32" s="1741"/>
      <c r="O32" s="1745"/>
      <c r="P32" s="3630"/>
      <c r="Q32" s="818"/>
      <c r="R32" s="1304"/>
      <c r="S32" s="1305"/>
      <c r="T32" s="1304"/>
      <c r="U32" s="1305"/>
      <c r="V32" s="1304"/>
      <c r="W32" s="1305"/>
      <c r="X32" s="1306"/>
      <c r="Y32" s="3630"/>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0"/>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0"/>
      <c r="Z33" s="1310" t="str">
        <f t="shared" ref="Z33:Z47" si="12">Q33</f>
        <v>临街状况</v>
      </c>
      <c r="AA33" s="1310">
        <f t="shared" si="3"/>
        <v>1</v>
      </c>
      <c r="AB33" s="1310">
        <f t="shared" si="4"/>
        <v>1</v>
      </c>
      <c r="AC33" s="1310">
        <f t="shared" si="5"/>
        <v>1</v>
      </c>
    </row>
    <row r="34" spans="1:29" ht="28.8">
      <c r="A34" s="482"/>
      <c r="B34" s="528" t="s">
        <v>497</v>
      </c>
      <c r="C34" s="3412" t="s">
        <v>3500</v>
      </c>
      <c r="D34" s="513">
        <v>100</v>
      </c>
      <c r="E34" s="3412" t="s">
        <v>3492</v>
      </c>
      <c r="F34" s="509">
        <f>SUMIF(107:107,E35,108:108)-SUMIF(107:107,C35,108:108)+100</f>
        <v>104</v>
      </c>
      <c r="G34" s="3412" t="s">
        <v>3484</v>
      </c>
      <c r="H34" s="509">
        <f>SUMIF(107:107,G35,108:108)-SUMIF(107:107,C35,108:108)+100</f>
        <v>104</v>
      </c>
      <c r="I34" s="3413" t="s">
        <v>3485</v>
      </c>
      <c r="J34" s="509">
        <f>SUMIF(107:107,I35,108:108)-SUMIF(107:107,C35,108:108)+100</f>
        <v>100</v>
      </c>
      <c r="K34" s="485">
        <v>2</v>
      </c>
      <c r="L34" s="1750"/>
      <c r="M34" s="1741"/>
      <c r="N34" s="1741"/>
      <c r="O34" s="1749"/>
      <c r="P34" s="3630"/>
      <c r="Q34" s="1307" t="str">
        <f t="shared" si="8"/>
        <v>毗邻道路的类型与等级</v>
      </c>
      <c r="R34" s="1308" t="s">
        <v>5</v>
      </c>
      <c r="S34" s="1309">
        <f t="shared" si="9"/>
        <v>104</v>
      </c>
      <c r="T34" s="1308" t="s">
        <v>5</v>
      </c>
      <c r="U34" s="1309">
        <f t="shared" si="10"/>
        <v>104</v>
      </c>
      <c r="V34" s="1308" t="s">
        <v>5</v>
      </c>
      <c r="W34" s="1309">
        <f t="shared" si="11"/>
        <v>100</v>
      </c>
      <c r="X34" s="1303"/>
      <c r="Y34" s="3630"/>
      <c r="Z34" s="1310" t="str">
        <f t="shared" si="12"/>
        <v>毗邻道路的类型与等级</v>
      </c>
      <c r="AA34" s="1310">
        <f t="shared" si="3"/>
        <v>0.96153846153846156</v>
      </c>
      <c r="AB34" s="1310">
        <f t="shared" si="4"/>
        <v>0.96153846153846156</v>
      </c>
      <c r="AC34" s="1310">
        <f t="shared" si="5"/>
        <v>1</v>
      </c>
    </row>
    <row r="35" spans="1:29" ht="21">
      <c r="A35" s="482"/>
      <c r="B35" s="516"/>
      <c r="C35" s="504" t="s">
        <v>3490</v>
      </c>
      <c r="D35" s="507"/>
      <c r="E35" s="526" t="s">
        <v>3487</v>
      </c>
      <c r="F35" s="505"/>
      <c r="G35" s="504" t="s">
        <v>3487</v>
      </c>
      <c r="H35" s="505"/>
      <c r="I35" s="526" t="s">
        <v>3490</v>
      </c>
      <c r="J35" s="505"/>
      <c r="K35" s="531"/>
      <c r="L35" s="1750"/>
      <c r="M35" s="1741"/>
      <c r="N35" s="1741"/>
      <c r="O35" s="1749"/>
      <c r="P35" s="3630"/>
      <c r="Q35" s="1307"/>
      <c r="R35" s="1308"/>
      <c r="S35" s="1309"/>
      <c r="T35" s="1308"/>
      <c r="U35" s="1309"/>
      <c r="V35" s="1308"/>
      <c r="W35" s="1309"/>
      <c r="X35" s="1303"/>
      <c r="Y35" s="3630"/>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0"/>
      <c r="Q36" s="1307" t="str">
        <f t="shared" si="8"/>
        <v>土地级别</v>
      </c>
      <c r="R36" s="1308" t="s">
        <v>5</v>
      </c>
      <c r="S36" s="1309">
        <f t="shared" si="9"/>
        <v>100</v>
      </c>
      <c r="T36" s="1308" t="s">
        <v>5</v>
      </c>
      <c r="U36" s="1309">
        <f t="shared" si="10"/>
        <v>100</v>
      </c>
      <c r="V36" s="1308" t="s">
        <v>5</v>
      </c>
      <c r="W36" s="1309">
        <f t="shared" si="11"/>
        <v>100</v>
      </c>
      <c r="X36" s="1303"/>
      <c r="Y36" s="3630"/>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0"/>
      <c r="Q37" s="1307">
        <f t="shared" si="8"/>
        <v>111</v>
      </c>
      <c r="R37" s="1308" t="s">
        <v>5</v>
      </c>
      <c r="S37" s="1309">
        <f t="shared" si="9"/>
        <v>100</v>
      </c>
      <c r="T37" s="1308" t="s">
        <v>5</v>
      </c>
      <c r="U37" s="1309">
        <f t="shared" si="10"/>
        <v>100</v>
      </c>
      <c r="V37" s="1308" t="s">
        <v>5</v>
      </c>
      <c r="W37" s="1309">
        <f t="shared" si="11"/>
        <v>100</v>
      </c>
      <c r="X37" s="1303"/>
      <c r="Y37" s="3630"/>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1" t="s">
        <v>499</v>
      </c>
      <c r="Q38" s="1307">
        <f t="shared" si="8"/>
        <v>111</v>
      </c>
      <c r="R38" s="1308" t="s">
        <v>5</v>
      </c>
      <c r="S38" s="1309">
        <f t="shared" si="9"/>
        <v>100</v>
      </c>
      <c r="T38" s="1308" t="s">
        <v>5</v>
      </c>
      <c r="U38" s="1309">
        <f t="shared" si="10"/>
        <v>100</v>
      </c>
      <c r="V38" s="1308" t="s">
        <v>5</v>
      </c>
      <c r="W38" s="1309">
        <f t="shared" si="11"/>
        <v>100</v>
      </c>
      <c r="X38" s="1303"/>
      <c r="Y38" s="3632"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2"/>
      <c r="Q39" s="1307">
        <f t="shared" si="8"/>
        <v>111</v>
      </c>
      <c r="R39" s="1311" t="s">
        <v>5</v>
      </c>
      <c r="S39" s="1312">
        <f t="shared" si="9"/>
        <v>100</v>
      </c>
      <c r="T39" s="1311" t="s">
        <v>5</v>
      </c>
      <c r="U39" s="1312">
        <f t="shared" si="10"/>
        <v>100</v>
      </c>
      <c r="V39" s="1311" t="s">
        <v>5</v>
      </c>
      <c r="W39" s="1312">
        <f t="shared" si="11"/>
        <v>100</v>
      </c>
      <c r="X39" s="1313"/>
      <c r="Y39" s="3632"/>
      <c r="Z39" s="1314">
        <f t="shared" si="12"/>
        <v>111</v>
      </c>
      <c r="AA39" s="1310">
        <f t="shared" si="3"/>
        <v>1</v>
      </c>
      <c r="AB39" s="1310">
        <f t="shared" si="4"/>
        <v>1</v>
      </c>
      <c r="AC39" s="1310">
        <f t="shared" si="5"/>
        <v>1</v>
      </c>
    </row>
    <row r="40" spans="1:29" ht="21">
      <c r="A40" s="2205" t="s">
        <v>2037</v>
      </c>
      <c r="B40" s="544" t="s">
        <v>501</v>
      </c>
      <c r="C40" s="3420">
        <v>42082</v>
      </c>
      <c r="D40" s="546">
        <v>100</v>
      </c>
      <c r="E40" s="545">
        <f>'信息+土地案例'!I26</f>
        <v>25910</v>
      </c>
      <c r="F40" s="546">
        <f>LOOKUP(E40,118:118,119:119)-LOOKUP(C40,118:118,119:119)+100</f>
        <v>100</v>
      </c>
      <c r="G40" s="545">
        <f>'信息+土地案例'!I27</f>
        <v>46214</v>
      </c>
      <c r="H40" s="546">
        <f>LOOKUP(G40,118:118,119:119)-LOOKUP(C40,118:118,119:119)+100</f>
        <v>100</v>
      </c>
      <c r="I40" s="547">
        <f>'信息+土地案例'!I28</f>
        <v>208984</v>
      </c>
      <c r="J40" s="546">
        <f>LOOKUP(I40,118:118,119:119)-LOOKUP(C40,118:118,119:119)+100</f>
        <v>95</v>
      </c>
      <c r="K40" s="531"/>
      <c r="L40" s="1750"/>
      <c r="M40" s="1741"/>
      <c r="N40" s="1741"/>
      <c r="O40" s="1749"/>
      <c r="P40" s="3632"/>
      <c r="Q40" s="1307" t="str">
        <f>B40</f>
        <v>宗地面积</v>
      </c>
      <c r="R40" s="1308" t="s">
        <v>5</v>
      </c>
      <c r="S40" s="1309">
        <f t="shared" si="9"/>
        <v>100</v>
      </c>
      <c r="T40" s="1308" t="s">
        <v>5</v>
      </c>
      <c r="U40" s="1309">
        <f t="shared" si="10"/>
        <v>100</v>
      </c>
      <c r="V40" s="1308" t="s">
        <v>5</v>
      </c>
      <c r="W40" s="1309">
        <f t="shared" si="11"/>
        <v>95</v>
      </c>
      <c r="X40" s="1303"/>
      <c r="Y40" s="3632"/>
      <c r="Z40" s="1310" t="str">
        <f t="shared" si="12"/>
        <v>宗地面积</v>
      </c>
      <c r="AA40" s="1310">
        <f t="shared" si="3"/>
        <v>1</v>
      </c>
      <c r="AB40" s="1310">
        <f t="shared" si="4"/>
        <v>1</v>
      </c>
      <c r="AC40" s="1310">
        <f t="shared" si="5"/>
        <v>1.0526315789473684</v>
      </c>
    </row>
    <row r="41" spans="1:29" ht="21">
      <c r="A41" s="543"/>
      <c r="B41" s="477" t="s">
        <v>502</v>
      </c>
      <c r="C41" s="548" t="s">
        <v>3472</v>
      </c>
      <c r="D41" s="490">
        <v>100</v>
      </c>
      <c r="E41" s="548" t="s">
        <v>3472</v>
      </c>
      <c r="F41" s="490">
        <f>SUMIF(120:120,E41,121:121)-SUMIF(120:120,C41,121:121)+100</f>
        <v>100</v>
      </c>
      <c r="G41" s="548" t="s">
        <v>3474</v>
      </c>
      <c r="H41" s="490">
        <f>SUMIF(120:120,G41,121:121)-SUMIF(120:120,C41,121:121)+100</f>
        <v>98</v>
      </c>
      <c r="I41" s="548" t="s">
        <v>3472</v>
      </c>
      <c r="J41" s="490">
        <f>SUMIF(120:120,I41,121:121)-SUMIF(120:120,C41,121:121)+100</f>
        <v>100</v>
      </c>
      <c r="K41" s="533">
        <v>2</v>
      </c>
      <c r="L41" s="1750"/>
      <c r="M41" s="1741"/>
      <c r="N41" s="1741"/>
      <c r="O41" s="1749"/>
      <c r="P41" s="3632"/>
      <c r="Q41" s="1307" t="str">
        <f t="shared" ref="Q41:Q47" si="13">B41</f>
        <v>宗地形状</v>
      </c>
      <c r="R41" s="1308" t="s">
        <v>5</v>
      </c>
      <c r="S41" s="1309">
        <f t="shared" si="9"/>
        <v>100</v>
      </c>
      <c r="T41" s="1308" t="s">
        <v>5</v>
      </c>
      <c r="U41" s="1309">
        <f t="shared" si="10"/>
        <v>98</v>
      </c>
      <c r="V41" s="1308" t="s">
        <v>5</v>
      </c>
      <c r="W41" s="1309">
        <f t="shared" si="11"/>
        <v>100</v>
      </c>
      <c r="X41" s="1303"/>
      <c r="Y41" s="3632"/>
      <c r="Z41" s="1310" t="str">
        <f t="shared" si="12"/>
        <v>宗地形状</v>
      </c>
      <c r="AA41" s="1310">
        <f t="shared" si="3"/>
        <v>1</v>
      </c>
      <c r="AB41" s="1310">
        <f t="shared" si="4"/>
        <v>1.0204081632653061</v>
      </c>
      <c r="AC41" s="1310">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2"/>
      <c r="Q42" s="1307" t="str">
        <f t="shared" si="13"/>
        <v>临街宽度及深度</v>
      </c>
      <c r="R42" s="1308" t="s">
        <v>5</v>
      </c>
      <c r="S42" s="1309">
        <f t="shared" si="9"/>
        <v>100</v>
      </c>
      <c r="T42" s="1308" t="s">
        <v>5</v>
      </c>
      <c r="U42" s="1309">
        <f t="shared" si="10"/>
        <v>100</v>
      </c>
      <c r="V42" s="1308" t="s">
        <v>5</v>
      </c>
      <c r="W42" s="1309">
        <f t="shared" si="11"/>
        <v>100</v>
      </c>
      <c r="X42" s="1303"/>
      <c r="Y42" s="3632"/>
      <c r="Z42" s="1310" t="str">
        <f t="shared" si="12"/>
        <v>临街宽度及深度</v>
      </c>
      <c r="AA42" s="1310">
        <f t="shared" si="3"/>
        <v>1</v>
      </c>
      <c r="AB42" s="1310">
        <f t="shared" si="4"/>
        <v>1</v>
      </c>
      <c r="AC42" s="1310">
        <f t="shared" si="5"/>
        <v>1</v>
      </c>
    </row>
    <row r="43" spans="1:29" s="1060" customFormat="1" ht="21">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4"/>
      <c r="M43" s="1741"/>
      <c r="N43" s="1741"/>
      <c r="O43" s="1745"/>
      <c r="P43" s="3632"/>
      <c r="Q43" s="1307" t="str">
        <f t="shared" si="13"/>
        <v>宗地开发程度</v>
      </c>
      <c r="R43" s="1304" t="s">
        <v>5</v>
      </c>
      <c r="S43" s="1305">
        <f t="shared" si="9"/>
        <v>100</v>
      </c>
      <c r="T43" s="1304" t="s">
        <v>5</v>
      </c>
      <c r="U43" s="1305">
        <f t="shared" si="10"/>
        <v>100</v>
      </c>
      <c r="V43" s="1304" t="s">
        <v>5</v>
      </c>
      <c r="W43" s="1305">
        <f t="shared" si="11"/>
        <v>100</v>
      </c>
      <c r="X43" s="1306"/>
      <c r="Y43" s="3632"/>
      <c r="Z43" s="997" t="str">
        <f t="shared" si="12"/>
        <v>宗地开发程度</v>
      </c>
      <c r="AA43" s="997">
        <f t="shared" si="3"/>
        <v>1</v>
      </c>
      <c r="AB43" s="997">
        <f t="shared" si="4"/>
        <v>1</v>
      </c>
      <c r="AC43" s="997">
        <f t="shared" si="5"/>
        <v>1</v>
      </c>
    </row>
    <row r="44" spans="1:29" ht="21">
      <c r="A44" s="543"/>
      <c r="B44" s="477" t="s">
        <v>504</v>
      </c>
      <c r="C44" s="548" t="s">
        <v>3477</v>
      </c>
      <c r="D44" s="490">
        <v>100</v>
      </c>
      <c r="E44" s="548" t="s">
        <v>3477</v>
      </c>
      <c r="F44" s="490">
        <f>SUMIF(126:126,E44,127:127)-SUMIF(126:126,C44,127:127)+100</f>
        <v>100</v>
      </c>
      <c r="G44" s="548" t="s">
        <v>3477</v>
      </c>
      <c r="H44" s="490">
        <f>SUMIF(126:126,G44,127:127)-SUMIF(126:126,C44,127:127)+100</f>
        <v>100</v>
      </c>
      <c r="I44" s="548" t="s">
        <v>3477</v>
      </c>
      <c r="J44" s="490">
        <f>SUMIF(126:126,I44,127:127)-SUMIF(126:126,C44,127:127)+100</f>
        <v>100</v>
      </c>
      <c r="K44" s="533">
        <v>2</v>
      </c>
      <c r="L44" s="1750"/>
      <c r="M44" s="1741"/>
      <c r="N44" s="1741"/>
      <c r="O44" s="1749"/>
      <c r="P44" s="3632" t="s">
        <v>499</v>
      </c>
      <c r="Q44" s="1307" t="str">
        <f t="shared" si="13"/>
        <v>工程地质条件</v>
      </c>
      <c r="R44" s="1308" t="s">
        <v>5</v>
      </c>
      <c r="S44" s="1309">
        <f t="shared" si="9"/>
        <v>100</v>
      </c>
      <c r="T44" s="1308" t="s">
        <v>5</v>
      </c>
      <c r="U44" s="1309">
        <f t="shared" si="10"/>
        <v>100</v>
      </c>
      <c r="V44" s="1308" t="s">
        <v>5</v>
      </c>
      <c r="W44" s="1309">
        <f t="shared" si="11"/>
        <v>100</v>
      </c>
      <c r="X44" s="1303"/>
      <c r="Y44" s="3632"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2"/>
      <c r="Q45" s="1307">
        <f t="shared" si="13"/>
        <v>111</v>
      </c>
      <c r="R45" s="1308" t="s">
        <v>5</v>
      </c>
      <c r="S45" s="1309">
        <f t="shared" si="9"/>
        <v>100</v>
      </c>
      <c r="T45" s="1308" t="s">
        <v>5</v>
      </c>
      <c r="U45" s="1309">
        <f t="shared" si="10"/>
        <v>100</v>
      </c>
      <c r="V45" s="1308" t="s">
        <v>5</v>
      </c>
      <c r="W45" s="1309">
        <f t="shared" si="11"/>
        <v>100</v>
      </c>
      <c r="X45" s="1303"/>
      <c r="Y45" s="3632"/>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2"/>
      <c r="Q46" s="1307">
        <f t="shared" si="13"/>
        <v>111</v>
      </c>
      <c r="R46" s="1308" t="s">
        <v>5</v>
      </c>
      <c r="S46" s="1309">
        <f t="shared" si="9"/>
        <v>100</v>
      </c>
      <c r="T46" s="1308" t="s">
        <v>5</v>
      </c>
      <c r="U46" s="1309">
        <f t="shared" si="10"/>
        <v>100</v>
      </c>
      <c r="V46" s="1308" t="s">
        <v>5</v>
      </c>
      <c r="W46" s="1309">
        <f t="shared" si="11"/>
        <v>100</v>
      </c>
      <c r="X46" s="1303"/>
      <c r="Y46" s="3632"/>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2"/>
      <c r="Q47" s="1307">
        <f t="shared" si="13"/>
        <v>111</v>
      </c>
      <c r="R47" s="1311" t="s">
        <v>5</v>
      </c>
      <c r="S47" s="1312">
        <f t="shared" si="9"/>
        <v>100</v>
      </c>
      <c r="T47" s="1311" t="s">
        <v>5</v>
      </c>
      <c r="U47" s="1312">
        <f t="shared" si="10"/>
        <v>100</v>
      </c>
      <c r="V47" s="1311" t="s">
        <v>5</v>
      </c>
      <c r="W47" s="1312">
        <f t="shared" si="11"/>
        <v>100</v>
      </c>
      <c r="X47" s="1313"/>
      <c r="Y47" s="3632"/>
      <c r="Z47" s="1314">
        <f t="shared" si="12"/>
        <v>111</v>
      </c>
      <c r="AA47" s="1310">
        <f t="shared" si="3"/>
        <v>1</v>
      </c>
      <c r="AB47" s="1310">
        <f t="shared" si="4"/>
        <v>1</v>
      </c>
      <c r="AC47" s="1310">
        <f t="shared" si="5"/>
        <v>1</v>
      </c>
    </row>
    <row r="48" spans="1:29" ht="21">
      <c r="A48" s="556" t="s">
        <v>505</v>
      </c>
      <c r="B48" s="557" t="s">
        <v>3465</v>
      </c>
      <c r="C48" s="558" t="s">
        <v>0</v>
      </c>
      <c r="D48" s="559"/>
      <c r="E48" s="560">
        <f>'信息+土地案例'!AW26</f>
        <v>5723</v>
      </c>
      <c r="F48" s="561"/>
      <c r="G48" s="562">
        <f>'信息+土地案例'!AW27</f>
        <v>6059</v>
      </c>
      <c r="H48" s="563"/>
      <c r="I48" s="560">
        <f>'信息+土地案例'!AW28</f>
        <v>5873</v>
      </c>
      <c r="J48" s="563"/>
      <c r="K48" s="1135"/>
      <c r="L48" s="1752"/>
      <c r="M48" s="1741"/>
      <c r="N48" s="1741"/>
      <c r="O48" s="1743"/>
      <c r="P48" s="3596" t="str">
        <f>A48</f>
        <v>成交单价</v>
      </c>
      <c r="Q48" s="3596"/>
      <c r="R48" s="3597">
        <f>E48</f>
        <v>5723</v>
      </c>
      <c r="S48" s="3597"/>
      <c r="T48" s="3597">
        <f>G48</f>
        <v>6059</v>
      </c>
      <c r="U48" s="3597"/>
      <c r="V48" s="3597">
        <f>I48</f>
        <v>5873</v>
      </c>
      <c r="W48" s="3597"/>
      <c r="X48" s="799"/>
      <c r="Y48" s="1315"/>
      <c r="Z48" s="799"/>
      <c r="AA48" s="799"/>
      <c r="AB48" s="799"/>
      <c r="AC48" s="799"/>
    </row>
    <row r="49" spans="1:29" ht="21.6" thickBot="1">
      <c r="A49" s="564" t="s">
        <v>1975</v>
      </c>
      <c r="B49" s="565"/>
      <c r="C49" s="566">
        <f>R50</f>
        <v>5777</v>
      </c>
      <c r="D49" s="2550" t="s">
        <v>2261</v>
      </c>
      <c r="E49" s="566">
        <f>R49</f>
        <v>5503</v>
      </c>
      <c r="F49" s="2551"/>
      <c r="G49" s="567">
        <f>T49</f>
        <v>5646</v>
      </c>
      <c r="H49" s="2551"/>
      <c r="I49" s="566">
        <f>V49</f>
        <v>6181</v>
      </c>
      <c r="J49" s="2551"/>
      <c r="K49" s="2552">
        <f>F49+H49+J49</f>
        <v>0</v>
      </c>
      <c r="L49" s="1752"/>
      <c r="M49" s="1741"/>
      <c r="N49" s="1741"/>
      <c r="O49" s="1743"/>
      <c r="P49" s="3596" t="str">
        <f>A49</f>
        <v>比较价格（元/平方米）</v>
      </c>
      <c r="Q49" s="3596"/>
      <c r="R49" s="3598">
        <f>ROUND(PRODUCT(R48,AA9:AA47),0)</f>
        <v>5503</v>
      </c>
      <c r="S49" s="3598"/>
      <c r="T49" s="3598">
        <f>ROUND(PRODUCT(T48,AB9:AB47),0)</f>
        <v>5646</v>
      </c>
      <c r="U49" s="3598"/>
      <c r="V49" s="3598">
        <f>ROUND(PRODUCT(V48,AC9:AC47),0)</f>
        <v>6181</v>
      </c>
      <c r="W49" s="3598"/>
      <c r="X49" s="799"/>
      <c r="Y49" s="799"/>
      <c r="Z49" s="799"/>
      <c r="AA49" s="799"/>
      <c r="AB49" s="799"/>
      <c r="AC49" s="799"/>
    </row>
    <row r="50" spans="1:29" ht="21.6" thickBot="1">
      <c r="A50" s="568" t="s">
        <v>2198</v>
      </c>
      <c r="B50" s="569"/>
      <c r="C50" s="570">
        <f>R50</f>
        <v>5777</v>
      </c>
      <c r="D50" s="570"/>
      <c r="E50" s="570"/>
      <c r="F50" s="570"/>
      <c r="G50" s="570"/>
      <c r="H50" s="570"/>
      <c r="I50" s="570"/>
      <c r="J50" s="570"/>
      <c r="K50" s="1136"/>
      <c r="L50" s="1752"/>
      <c r="M50" s="1741"/>
      <c r="N50" s="1741"/>
      <c r="O50" s="1743"/>
      <c r="P50" s="3633" t="str">
        <f>A50</f>
        <v>估价对象XX用房的比较价格（楼面单价，元/平方米）</v>
      </c>
      <c r="Q50" s="3634"/>
      <c r="R50" s="3595">
        <f>ROUND(IF(D49="简单平均",AVERAGE(R49:W49),R49*F49+T49*H49+V49*J49),0)</f>
        <v>5777</v>
      </c>
      <c r="S50" s="3595"/>
      <c r="T50" s="3595"/>
      <c r="U50" s="3595"/>
      <c r="V50" s="3595"/>
      <c r="W50" s="3595"/>
      <c r="X50" s="799"/>
      <c r="Y50" s="799"/>
      <c r="Z50" s="799"/>
      <c r="AA50" s="799"/>
      <c r="AB50" s="799"/>
      <c r="AC50" s="799"/>
    </row>
    <row r="51" spans="1:29" ht="21">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1">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f>IF(E48&lt;E49,E49/E48-1,E48/E49-1)</f>
        <v>3.9978193712520538E-2</v>
      </c>
      <c r="F53" s="574" t="str">
        <f>IF(OR(E53&gt;=0.3,E53&lt;=-0.3),"超过30%","")</f>
        <v/>
      </c>
      <c r="G53" s="573">
        <f>IF(G48&lt;G49,G49/G48-1,G48/G49-1)</f>
        <v>7.3149132128940808E-2</v>
      </c>
      <c r="H53" s="574" t="str">
        <f>IF(OR(G53&gt;=0.3,G53&lt;=-0.3),"超过30%","")</f>
        <v/>
      </c>
      <c r="I53" s="573">
        <f>IF(I48&lt;I49,I49/I48-1,I48/I49-1)</f>
        <v>5.2443384982121533E-2</v>
      </c>
      <c r="J53" s="574" t="str">
        <f>IF(OR(I53&gt;=0.3,I53&lt;=-0.3),"超过30%","")</f>
        <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f>IF(E49&lt;G49,G49/E49-1,E49/G49-1)</f>
        <v>2.598582591313825E-2</v>
      </c>
      <c r="F54" s="574" t="str">
        <f>IF(OR(E54&gt;=0.2,E54&lt;=-0.2),"超过20%","")</f>
        <v/>
      </c>
      <c r="G54" s="573">
        <f>IF(G49&lt;I49,I49/G49-1,G49/I49-1)</f>
        <v>9.4757350336521329E-2</v>
      </c>
      <c r="H54" s="574" t="str">
        <f>IF(OR(G54&gt;=0.2,G54&lt;=-0.2),"超过20%","")</f>
        <v/>
      </c>
      <c r="I54" s="573">
        <f>IF(I49&lt;E49,E49/I49-1,I49/E49-1)</f>
        <v>0.12320552425949471</v>
      </c>
      <c r="J54" s="574" t="str">
        <f>IF(OR(I54&gt;=0.2,I54&lt;=-0.2),"超过20%","")</f>
        <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2" t="s">
        <v>1639</v>
      </c>
      <c r="H57" s="3623"/>
      <c r="I57" s="1298" t="s">
        <v>1251</v>
      </c>
      <c r="J57" s="1298" t="str">
        <f>项目基本情况!F41</f>
        <v>江苏省淮安市淮安区</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5777</v>
      </c>
      <c r="C58" s="582">
        <v>1</v>
      </c>
      <c r="D58" s="1823">
        <v>1</v>
      </c>
      <c r="E58" s="582">
        <f>'数据-汇总表'!E8+'数据-汇总表'!E9</f>
        <v>92580.400000000009</v>
      </c>
      <c r="F58" s="583">
        <f t="shared" ref="F58:F66" si="14">ROUND(B58*E58/10000,0)</f>
        <v>53484</v>
      </c>
      <c r="G58" s="3624"/>
      <c r="H58" s="3625"/>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0</v>
      </c>
      <c r="C59" s="348">
        <f t="shared" ref="C59:C66" si="15">IF($C$57="北京市系数",I59,J59)</f>
        <v>0</v>
      </c>
      <c r="D59" s="1824">
        <v>0.25</v>
      </c>
      <c r="E59" s="586">
        <v>0</v>
      </c>
      <c r="F59" s="583">
        <f t="shared" si="14"/>
        <v>0</v>
      </c>
      <c r="G59" s="3028" t="s">
        <v>1640</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0</v>
      </c>
      <c r="C60" s="348">
        <f t="shared" si="15"/>
        <v>0</v>
      </c>
      <c r="D60" s="1824">
        <v>0.25</v>
      </c>
      <c r="E60" s="586">
        <v>0</v>
      </c>
      <c r="F60" s="583">
        <f t="shared" si="14"/>
        <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0</v>
      </c>
      <c r="C61" s="348">
        <f t="shared" si="15"/>
        <v>0</v>
      </c>
      <c r="D61" s="1824">
        <v>0.25</v>
      </c>
      <c r="E61" s="586">
        <v>0</v>
      </c>
      <c r="F61" s="583">
        <f t="shared" si="14"/>
        <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0</v>
      </c>
      <c r="C65" s="348">
        <f t="shared" si="15"/>
        <v>0</v>
      </c>
      <c r="D65" s="1824">
        <v>0.25</v>
      </c>
      <c r="E65" s="588">
        <f>'数据-汇总表'!E14</f>
        <v>0</v>
      </c>
      <c r="F65" s="583">
        <f t="shared" si="14"/>
        <v>0</v>
      </c>
      <c r="G65" s="1605" t="s">
        <v>1640</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11</v>
      </c>
      <c r="D67" s="590" t="s">
        <v>1651</v>
      </c>
      <c r="E67" s="590">
        <f>IF(B48="楼面地价",SUM(E58:E66),'数据-汇总表'!D3)</f>
        <v>92580.400000000009</v>
      </c>
      <c r="F67" s="591">
        <f>IF(B48="楼面地价",SUM(F58:F66),ROUND(C50*E67/10000,0))</f>
        <v>53484</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2025-3-1</v>
      </c>
      <c r="D69" s="2112">
        <f>EDATE(C69,-3)</f>
        <v>45627</v>
      </c>
      <c r="E69" s="2112">
        <f t="shared" ref="E69:N69" si="17">EDATE(D69,-3)</f>
        <v>45536</v>
      </c>
      <c r="F69" s="2112">
        <f t="shared" si="17"/>
        <v>45444</v>
      </c>
      <c r="G69" s="2112">
        <f t="shared" si="17"/>
        <v>45352</v>
      </c>
      <c r="H69" s="2112">
        <f t="shared" si="17"/>
        <v>45261</v>
      </c>
      <c r="I69" s="2112">
        <f t="shared" si="17"/>
        <v>45170</v>
      </c>
      <c r="J69" s="2112">
        <f t="shared" si="17"/>
        <v>45078</v>
      </c>
      <c r="K69" s="2112">
        <f t="shared" si="17"/>
        <v>44986</v>
      </c>
      <c r="L69" s="2112">
        <f t="shared" si="17"/>
        <v>44896</v>
      </c>
      <c r="M69" s="2112">
        <f t="shared" si="17"/>
        <v>44805</v>
      </c>
      <c r="N69" s="2112">
        <f t="shared" si="17"/>
        <v>44713</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06" t="s">
        <v>3460</v>
      </c>
      <c r="D76" s="3406" t="s">
        <v>3461</v>
      </c>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90</v>
      </c>
      <c r="D77" s="613">
        <v>100</v>
      </c>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1</v>
      </c>
      <c r="E81" s="491">
        <v>2</v>
      </c>
      <c r="F81" s="491">
        <v>3</v>
      </c>
      <c r="G81" s="491">
        <v>4</v>
      </c>
      <c r="H81" s="491">
        <v>5</v>
      </c>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28.8" thickTop="1">
      <c r="A85" s="629"/>
      <c r="B85" s="615" t="str">
        <f>B15</f>
        <v>商业面积占比</v>
      </c>
      <c r="C85" s="630" t="s">
        <v>3502</v>
      </c>
      <c r="D85" s="630" t="s">
        <v>3503</v>
      </c>
      <c r="E85" s="630" t="s">
        <v>3504</v>
      </c>
      <c r="F85" s="630" t="s">
        <v>3513</v>
      </c>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v>100</v>
      </c>
      <c r="D86" s="634">
        <f>C86-5</f>
        <v>95</v>
      </c>
      <c r="E86" s="634">
        <f t="shared" ref="E86:G86" si="21">D86-5</f>
        <v>90</v>
      </c>
      <c r="F86" s="634">
        <f t="shared" si="21"/>
        <v>85</v>
      </c>
      <c r="G86" s="634">
        <f t="shared" si="21"/>
        <v>80</v>
      </c>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97</v>
      </c>
      <c r="E90" s="621">
        <f>D90-$K17</f>
        <v>94</v>
      </c>
      <c r="F90" s="621">
        <f>E90-$K17</f>
        <v>91</v>
      </c>
      <c r="G90" s="621">
        <f>F90-$K17</f>
        <v>88</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1832</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3414" t="s">
        <v>3486</v>
      </c>
      <c r="D107" s="3409" t="s">
        <v>3488</v>
      </c>
      <c r="E107" s="3409" t="s">
        <v>3489</v>
      </c>
      <c r="F107" s="3409" t="s">
        <v>3491</v>
      </c>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3">C108-$K34</f>
        <v>98</v>
      </c>
      <c r="E108" s="621">
        <f t="shared" si="23"/>
        <v>96</v>
      </c>
      <c r="F108" s="621">
        <f t="shared" si="23"/>
        <v>94</v>
      </c>
      <c r="G108" s="621">
        <f t="shared" si="23"/>
        <v>92</v>
      </c>
      <c r="H108" s="621">
        <f t="shared" si="23"/>
        <v>90</v>
      </c>
      <c r="I108" s="621">
        <f t="shared" si="23"/>
        <v>88</v>
      </c>
      <c r="J108" s="621">
        <f t="shared" si="23"/>
        <v>86</v>
      </c>
      <c r="K108" s="621">
        <f t="shared" si="23"/>
        <v>84</v>
      </c>
      <c r="L108" s="621">
        <f t="shared" si="23"/>
        <v>82</v>
      </c>
      <c r="M108" s="621">
        <f t="shared" si="23"/>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5">C118&amp;"(含)"&amp;"-"&amp;D118</f>
        <v>0(含)-50000</v>
      </c>
      <c r="D117" s="645" t="str">
        <f t="shared" si="25"/>
        <v>50000(含)-70000</v>
      </c>
      <c r="E117" s="645" t="str">
        <f t="shared" si="25"/>
        <v>70000(含)-100000</v>
      </c>
      <c r="F117" s="645" t="str">
        <f t="shared" si="25"/>
        <v>100000(含)-150000</v>
      </c>
      <c r="G117" s="645" t="str">
        <f t="shared" si="25"/>
        <v>150000(含)-200000</v>
      </c>
      <c r="H117" s="645" t="str">
        <f t="shared" si="25"/>
        <v>200000(含)-250000</v>
      </c>
      <c r="I117" s="645" t="str">
        <f t="shared" si="25"/>
        <v>250000(含)-</v>
      </c>
      <c r="J117" s="2348" t="str">
        <f t="shared" si="25"/>
        <v>(含)-</v>
      </c>
      <c r="K117" s="2348" t="str">
        <f t="shared" si="25"/>
        <v>(含)-</v>
      </c>
      <c r="L117" s="2349" t="str">
        <f t="shared" si="25"/>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50000</v>
      </c>
      <c r="E118" s="79">
        <v>70000</v>
      </c>
      <c r="F118" s="79">
        <v>100000</v>
      </c>
      <c r="G118" s="79">
        <v>150000</v>
      </c>
      <c r="H118" s="79">
        <v>200000</v>
      </c>
      <c r="I118" s="79">
        <v>250000</v>
      </c>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09" t="s">
        <v>3471</v>
      </c>
      <c r="D120" s="3409" t="s">
        <v>3473</v>
      </c>
      <c r="E120" s="3409" t="s">
        <v>3475</v>
      </c>
      <c r="F120" s="3410" t="s">
        <v>3476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7">C121-$K41</f>
        <v>98</v>
      </c>
      <c r="E121" s="621">
        <f t="shared" si="27"/>
        <v>96</v>
      </c>
      <c r="F121" s="621">
        <f t="shared" si="27"/>
        <v>94</v>
      </c>
      <c r="G121" s="621">
        <f t="shared" si="27"/>
        <v>92</v>
      </c>
      <c r="H121" s="621">
        <f t="shared" si="27"/>
        <v>90</v>
      </c>
      <c r="I121" s="621">
        <f t="shared" si="27"/>
        <v>88</v>
      </c>
      <c r="J121" s="621">
        <f t="shared" si="27"/>
        <v>86</v>
      </c>
      <c r="K121" s="621">
        <f t="shared" si="27"/>
        <v>84</v>
      </c>
      <c r="L121" s="621">
        <f t="shared" si="27"/>
        <v>82</v>
      </c>
      <c r="M121" s="622">
        <f t="shared" si="27"/>
        <v>80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3409"/>
      <c r="D122" s="3409"/>
      <c r="E122" s="3409"/>
      <c r="F122" s="3410"/>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3408" t="s">
        <v>3466</v>
      </c>
      <c r="D124" s="3408" t="s">
        <v>3467</v>
      </c>
      <c r="E124" s="3408" t="s">
        <v>3468</v>
      </c>
      <c r="F124" s="3408" t="s">
        <v>3469</v>
      </c>
      <c r="G124" s="3408" t="s">
        <v>3470</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3409" t="s">
        <v>3478</v>
      </c>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4"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D59:D66" xr:uid="{F32A8F9B-F379-4ACB-B79D-3EC6442FC1F9}">
      <formula1>"25%,1"</formula1>
    </dataValidation>
    <dataValidation type="list" allowBlank="1" showInputMessage="1" showErrorMessage="1" sqref="D49" xr:uid="{EC5A32EF-B756-4954-92E3-E310E20584CD}">
      <formula1>"简单平均,加权平均"</formula1>
    </dataValidation>
    <dataValidation type="list" allowBlank="1" showInputMessage="1" showErrorMessage="1" sqref="A72" xr:uid="{EC802BBF-5D11-4D6F-A60E-874317C15F8B}">
      <formula1>"综合,商业,办公,住宅"</formula1>
    </dataValidation>
    <dataValidation type="list" allowBlank="1" showInputMessage="1" showErrorMessage="1" sqref="C32 E32 G32 I32" xr:uid="{2D12F118-1B8C-4B26-A71B-B16A505A4ADC}">
      <formula1>基础设施水平</formula1>
    </dataValidation>
    <dataValidation type="list" allowBlank="1" showInputMessage="1" showErrorMessage="1" sqref="G63" xr:uid="{E9B9CF97-12C3-4106-9A25-42874A462A91}">
      <formula1>"商业,办公,住宅,工业"</formula1>
    </dataValidation>
    <dataValidation type="list" allowBlank="1" showInputMessage="1" showErrorMessage="1" sqref="G64" xr:uid="{8B43F523-4329-420D-AB1C-7EE2507F5362}">
      <formula1>"住宅,工业"</formula1>
    </dataValidation>
    <dataValidation type="list" allowBlank="1" showInputMessage="1" showErrorMessage="1" sqref="C57" xr:uid="{57DB16CD-E671-491C-B237-25EEC96CBC67}">
      <formula1>"北京市系数,其他省市系数"</formula1>
    </dataValidation>
    <dataValidation type="list" allowBlank="1" showInputMessage="1" showErrorMessage="1" sqref="E26 G26 I26 C26" xr:uid="{557C93A2-24D6-47C1-B1A2-B9A1D9C0325A}">
      <formula1>区域土地利用方向</formula1>
    </dataValidation>
    <dataValidation type="list" allowBlank="1" showInputMessage="1" showErrorMessage="1" sqref="C33 E33 G33 I33" xr:uid="{CF119370-B3E0-4263-958F-9E5D6888F1BC}">
      <formula1>临街状况</formula1>
    </dataValidation>
    <dataValidation type="list" allowBlank="1" showInputMessage="1" showErrorMessage="1" sqref="C44 E44 G44 I44" xr:uid="{FBEB19AA-DF44-467D-B73E-6C5F5B3F343E}">
      <formula1>套综工程地质条件</formula1>
    </dataValidation>
    <dataValidation type="list" allowBlank="1" showInputMessage="1" showErrorMessage="1" sqref="C43 E43 G43 I43" xr:uid="{F545C846-785A-4BFD-A9A4-7ADB51F72E69}">
      <formula1>套综宗地内开发程度</formula1>
    </dataValidation>
    <dataValidation type="list" allowBlank="1" showInputMessage="1" showErrorMessage="1" sqref="C42 E42 G42 I42" xr:uid="{8333DD39-0698-4259-A641-B3423C40181E}">
      <formula1>套综临街宽度及深度</formula1>
    </dataValidation>
    <dataValidation type="list" allowBlank="1" showInputMessage="1" showErrorMessage="1" sqref="C41 E41 G41 I41" xr:uid="{46C8FA6F-A879-4051-A624-61ED2E2F2255}">
      <formula1>套综宗地形状</formula1>
    </dataValidation>
    <dataValidation type="list" allowBlank="1" showInputMessage="1" showErrorMessage="1" sqref="C36 E36 G36 I36" xr:uid="{246570D8-87FB-4105-B916-52D8A7620EB5}">
      <formula1>套综土地级别</formula1>
    </dataValidation>
    <dataValidation type="list" allowBlank="1" showInputMessage="1" showErrorMessage="1" sqref="C35 E35 G35 I35" xr:uid="{311C120E-D357-467E-B7D2-038E6DFB7BB2}">
      <formula1>套综道路等级</formula1>
    </dataValidation>
    <dataValidation type="list" allowBlank="1" showInputMessage="1" showErrorMessage="1" sqref="E22 C22 G22 I22" xr:uid="{58701690-2686-41F7-A89D-F93BFCEDED61}">
      <formula1>办公集聚程度</formula1>
    </dataValidation>
    <dataValidation type="list" allowBlank="1" showInputMessage="1" showErrorMessage="1" sqref="E20 C20 G20 I20" xr:uid="{AE79DF30-5C73-4AB3-AB2C-E14500948F77}">
      <formula1>商业繁华度</formula1>
    </dataValidation>
    <dataValidation type="list" allowBlank="1" showInputMessage="1" showErrorMessage="1" sqref="C11 E11 G11 I11" xr:uid="{C72457D2-8773-4BDE-B687-46D2B1D8D6D8}">
      <formula1>套综用途</formula1>
    </dataValidation>
    <dataValidation type="list" allowBlank="1" showInputMessage="1" showErrorMessage="1" sqref="C10 E10 G10 I10" xr:uid="{F535E246-3345-470A-9298-42B86EA62F91}">
      <formula1>套综交易情况</formula1>
    </dataValidation>
    <dataValidation type="list" allowBlank="1" showInputMessage="1" showErrorMessage="1" sqref="B48" xr:uid="{F51D8A5A-A48F-46DC-ACD0-9AD0F540FEAA}">
      <formula1>单价内涵</formula1>
    </dataValidation>
    <dataValidation type="list" allowBlank="1" showInputMessage="1" showErrorMessage="1" sqref="C28 E28 G28 I28" xr:uid="{FBE49593-A807-4CDD-ADDF-24E76643CF97}">
      <formula1>环境</formula1>
    </dataValidation>
    <dataValidation type="list" allowBlank="1" showInputMessage="1" showErrorMessage="1" sqref="E18 G18 I18 C18" xr:uid="{9C6394A9-878D-475A-A06B-B5A44B24839C}">
      <formula1>居住社区成熟度</formula1>
    </dataValidation>
    <dataValidation type="list" allowBlank="1" showInputMessage="1" showErrorMessage="1" sqref="E24 C24 G24 I24" xr:uid="{81C2C062-21D0-41B9-9534-5EACAEC750D4}">
      <formula1>交通便捷度</formula1>
    </dataValidation>
    <dataValidation type="list" allowBlank="1" showInputMessage="1" showErrorMessage="1" sqref="E30 C30 I30 G30" xr:uid="{9E5C173F-486F-43E2-9726-0D301349A493}">
      <formula1>公共配套设施</formula1>
    </dataValidation>
    <dataValidation type="list" allowBlank="1" showInputMessage="1" showErrorMessage="1" sqref="C27" xr:uid="{DA132FDB-DDFE-4806-8A4A-E715F489376D}">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C76E1-5CE2-4413-9CF7-26BDCBF4E01E}">
  <sheetPr>
    <tabColor rgb="FF92D050"/>
    <pageSetUpPr fitToPage="1"/>
  </sheetPr>
  <dimension ref="A1:AE490"/>
  <sheetViews>
    <sheetView view="pageBreakPreview" topLeftCell="A19" zoomScale="80" zoomScaleNormal="80" zoomScaleSheetLayoutView="80" workbookViewId="0">
      <selection activeCell="H21" sqref="H21"/>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t="s">
        <v>851</v>
      </c>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31" s="1655" customFormat="1" ht="18" customHeight="1">
      <c r="A2" s="1710" t="s">
        <v>427</v>
      </c>
      <c r="B2" s="1714">
        <f ca="1">C36</f>
        <v>56920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6148</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13526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902</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80332</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4.4">
      <c r="A7" s="2139" t="s">
        <v>430</v>
      </c>
      <c r="B7" s="2140" t="s">
        <v>431</v>
      </c>
      <c r="C7" s="406" t="s">
        <v>851</v>
      </c>
      <c r="D7" s="406"/>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'不动产比较法-住宅'!C49</f>
        <v>8677</v>
      </c>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 纯住宅'!C7,'数据-汇总表'!$E19:$E33)</f>
        <v>92580.400000000009</v>
      </c>
      <c r="D9" s="411">
        <f>SUMIF('数据-汇总表'!$C19:$C33,'剩余法-待开发 纯住宅'!D7,'数据-汇总表'!$E19:$E33)</f>
        <v>0</v>
      </c>
      <c r="E9" s="411">
        <f>SUMIF('数据-汇总表'!$C19:$C33,'剩余法-待开发 纯住宅'!E7,'数据-汇总表'!$E19:$E33)</f>
        <v>0</v>
      </c>
      <c r="F9" s="411">
        <f>SUMIF('数据-汇总表'!$C19:$C33,'剩余法-待开发 纯住宅'!F7,'数据-汇总表'!$E19:$E33)</f>
        <v>0</v>
      </c>
      <c r="G9" s="411">
        <f>SUMIF('数据-汇总表'!$C19:$C33,'剩余法-待开发 纯住宅'!G7,'数据-汇总表'!$E19:$E33)</f>
        <v>0</v>
      </c>
      <c r="H9" s="411">
        <f>SUMIF('数据-汇总表'!$C19:$C33,'剩余法-待开发 纯住宅'!H7,'数据-汇总表'!$E19:$E33)</f>
        <v>0</v>
      </c>
      <c r="I9" s="411">
        <f>SUMIF('数据-汇总表'!$C19:$C33,'剩余法-待开发 纯住宅'!I7,'数据-汇总表'!$E19:$E33)</f>
        <v>0</v>
      </c>
      <c r="J9" s="411">
        <f>SUMIF('数据-汇总表'!$C19:$C33,'剩余法-待开发 纯住宅'!J7,'数据-汇总表'!$E19:$E33)</f>
        <v>0</v>
      </c>
      <c r="K9" s="412">
        <f>SUMIF('数据-汇总表'!$C19:$C33,'剩余法-待开发 纯住宅'!K7,'数据-汇总表'!$E19:$E33)</f>
        <v>0</v>
      </c>
      <c r="AA9" s="1723"/>
      <c r="AB9" s="1723"/>
      <c r="AC9" s="1723"/>
      <c r="AD9" s="1723"/>
      <c r="AE9" s="1723"/>
    </row>
    <row r="10" spans="1:31" s="1724" customFormat="1" ht="13.5" customHeight="1" thickBot="1">
      <c r="A10" s="2143" t="s">
        <v>1376</v>
      </c>
      <c r="B10" s="2129" t="s">
        <v>434</v>
      </c>
      <c r="C10" s="2315">
        <f>ROUND(C8*C9/10000,0)</f>
        <v>80332</v>
      </c>
      <c r="D10" s="2315"/>
      <c r="E10" s="2315"/>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0.1</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1852</v>
      </c>
      <c r="D16" s="2151">
        <f ca="1">IF(B1="",'数据-汇总表'!E3,INDIRECT("'数据-取费表'!K"&amp;$K$1)+INDIRECT("'数据-取费表'!S"&amp;$K$1))</f>
        <v>92580.400000000009</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1852</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92580.400000000009</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4" t="s">
        <v>3527</v>
      </c>
      <c r="H20" s="2121">
        <f ca="1">C21</f>
        <v>972</v>
      </c>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972</v>
      </c>
      <c r="D21" s="2151">
        <f ca="1">IF(B1="",'数据-汇总表'!E5,IF(INDIRECT("'数据-取费表'!c"&amp;$K$1)="住宅",INDIRECT("'数据-取费表'!k"&amp;$K$1),0))</f>
        <v>92580.400000000009</v>
      </c>
      <c r="E21" s="49">
        <f>'数据-取费表'!B27</f>
        <v>105</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105</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19" t="s">
        <v>2109</v>
      </c>
      <c r="C23" s="2158">
        <f ca="1">ROUND((C18+C19+C20)*F23,0)</f>
        <v>37</v>
      </c>
      <c r="D23" s="437"/>
      <c r="E23" s="437"/>
      <c r="F23" s="2162">
        <f>'数据-取费表'!B37</f>
        <v>0.02</v>
      </c>
      <c r="G23" s="2123" t="s">
        <v>1782</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1388</v>
      </c>
      <c r="B24" s="2319" t="s">
        <v>2112</v>
      </c>
      <c r="C24" s="2158">
        <f>ROUND(C6*F24,0)</f>
        <v>2410</v>
      </c>
      <c r="D24" s="444"/>
      <c r="E24" s="442"/>
      <c r="F24" s="2162">
        <f>'数据-取费表'!B38</f>
        <v>0.03</v>
      </c>
      <c r="G24" s="2128" t="s">
        <v>459</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1389</v>
      </c>
      <c r="B25" s="2319" t="s">
        <v>2110</v>
      </c>
      <c r="C25" s="436">
        <f>ROUND(F25/(1+'数据-取费表'!C42),4)</f>
        <v>2.9000000000000001E-2</v>
      </c>
      <c r="D25" s="431" t="s">
        <v>455</v>
      </c>
      <c r="E25" s="438"/>
      <c r="F25" s="2162">
        <f>IF(项目基本情况!B8="出让",0,'数据-取费表'!B48+'数据-取费表'!B49)</f>
        <v>3.0499999999999999E-2</v>
      </c>
      <c r="G25" s="2127" t="s">
        <v>1647</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1390</v>
      </c>
      <c r="B26" s="2320" t="s">
        <v>2111</v>
      </c>
      <c r="C26" s="2163">
        <f ca="1">C28</f>
        <v>133</v>
      </c>
      <c r="D26" s="436">
        <f ca="1">C27</f>
        <v>6.4799999999999996E-2</v>
      </c>
      <c r="E26" s="438" t="s">
        <v>455</v>
      </c>
      <c r="F26" s="440">
        <f ca="1">'数据-取费表'!B40</f>
        <v>3.1E-2</v>
      </c>
      <c r="G26" s="2046"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1385</v>
      </c>
      <c r="B27" s="2164" t="s">
        <v>456</v>
      </c>
      <c r="C27" s="2165">
        <f ca="1">ROUND(IF('数据-取费表'!B22&lt;=1,(1+C25)*F26*'数据-取费表'!B24,(1+C25)*(POWER((1+F26),'数据-取费表'!B24)-1)),4)</f>
        <v>6.4799999999999996E-2</v>
      </c>
      <c r="D27" s="441"/>
      <c r="E27" s="442"/>
      <c r="F27" s="443"/>
      <c r="G27" s="2046"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1386</v>
      </c>
      <c r="B28" s="2164" t="s">
        <v>2113</v>
      </c>
      <c r="C28" s="2166">
        <f ca="1">ROUND(IF('数据-取费表'!B22&lt;=1,(C18+C19+C20+C23+C24)*F26*'数据-取费表'!B24/2,(C18+C19+C20+C23+C24)*(POWER((1+F26),'数据-取费表'!B24/2)-1)),0)</f>
        <v>133</v>
      </c>
      <c r="D28" s="441"/>
      <c r="E28" s="442"/>
      <c r="F28" s="443"/>
      <c r="G28" s="2046"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1391</v>
      </c>
      <c r="B29" s="2157" t="s">
        <v>457</v>
      </c>
      <c r="C29" s="2158">
        <f>ROUND(C6*F29/(1+'数据-取费表'!C42),0)</f>
        <v>4208</v>
      </c>
      <c r="D29" s="437"/>
      <c r="E29" s="437"/>
      <c r="F29" s="2321">
        <f>'数据-取费表'!B41</f>
        <v>5.5000000000000007E-2</v>
      </c>
      <c r="G29" s="2128" t="s">
        <v>458</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1392</v>
      </c>
      <c r="B30" s="2168" t="s">
        <v>460</v>
      </c>
      <c r="C30" s="2163">
        <f ca="1">C31</f>
        <v>8640</v>
      </c>
      <c r="D30" s="446">
        <f ca="1">C32</f>
        <v>9.3799999999999994E-2</v>
      </c>
      <c r="E30" s="438" t="s">
        <v>455</v>
      </c>
      <c r="F30" s="440"/>
      <c r="G30" s="2127" t="s">
        <v>2230</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1385</v>
      </c>
      <c r="B31" s="2164"/>
      <c r="C31" s="419">
        <f ca="1">C18+C19+C20+C23+C24+C26+C29</f>
        <v>8640</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1386</v>
      </c>
      <c r="B32" s="2164"/>
      <c r="C32" s="49">
        <f ca="1">ROUND(C25+D26,4)</f>
        <v>9.3799999999999994E-2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8" t="s">
        <v>2108</v>
      </c>
      <c r="B33" s="2316" t="s">
        <v>2106</v>
      </c>
      <c r="C33" s="447">
        <f ca="1">C35</f>
        <v>645</v>
      </c>
      <c r="D33" s="436">
        <f ca="1">C34</f>
        <v>0.15440000000000001</v>
      </c>
      <c r="E33" s="438" t="s">
        <v>455</v>
      </c>
      <c r="F33" s="448">
        <f ca="1">IF(B1="",'数据-取费表'!Q16,INDIRECT("'数据-取费表'!q"&amp;$K$1))</f>
        <v>0.15</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1385</v>
      </c>
      <c r="B34" s="2169" t="s">
        <v>461</v>
      </c>
      <c r="C34" s="441">
        <f ca="1">ROUND((1+C25)*F33,4)</f>
        <v>0.15440000000000001</v>
      </c>
      <c r="D34" s="441"/>
      <c r="E34" s="442"/>
      <c r="F34" s="449"/>
      <c r="G34" s="241" t="s">
        <v>1648</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1386</v>
      </c>
      <c r="B35" s="2317" t="s">
        <v>2114</v>
      </c>
      <c r="C35" s="1351">
        <f ca="1">ROUND((C18+C19+C20+C23+C24)*F33,0)</f>
        <v>645</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1373</v>
      </c>
      <c r="B36" s="2133"/>
      <c r="C36" s="2171">
        <f ca="1">ROUND((C6-C30-C33)/(1+D30+D33),0)</f>
        <v>56920</v>
      </c>
      <c r="D36" s="2133"/>
      <c r="E36" s="2133"/>
      <c r="F36" s="2133"/>
      <c r="G36" s="2132" t="s">
        <v>2115</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224" type="noConversion"/>
  <dataValidations count="2">
    <dataValidation type="list" allowBlank="1" showInputMessage="1" showErrorMessage="1" sqref="G20" xr:uid="{4C91FD22-9A41-4423-8385-7B85FA270061}">
      <formula1>"已全部缴纳,已部分缴纳"</formula1>
    </dataValidation>
    <dataValidation type="list" allowBlank="1" showInputMessage="1" showErrorMessage="1" sqref="C7:K7 B1" xr:uid="{C792744F-752A-4BBC-BCA6-F48D4CC87026}">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2" zoomScale="60" zoomScaleNormal="60" workbookViewId="0">
      <selection activeCell="I33" sqref="I3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9" t="s">
        <v>666</v>
      </c>
      <c r="C1" s="2080" t="s">
        <v>667</v>
      </c>
      <c r="D1" s="2081" t="s">
        <v>851</v>
      </c>
      <c r="E1" s="1736"/>
      <c r="F1" s="2119" t="s">
        <v>3495</v>
      </c>
      <c r="G1" s="1329"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427</v>
      </c>
      <c r="B2" s="2078">
        <f>ROUND(B3*D3/10000,0)</f>
        <v>80332</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8677</v>
      </c>
      <c r="C3" s="786" t="s">
        <v>669</v>
      </c>
      <c r="D3" s="785">
        <f>SUMIF('数据-汇总表'!$C19:$C33,D1,'数据-汇总表'!$E19:$E33)</f>
        <v>92580.400000000009</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4.4">
      <c r="A4" s="463" t="s">
        <v>470</v>
      </c>
      <c r="B4" s="464"/>
      <c r="C4" s="3602" t="s">
        <v>471</v>
      </c>
      <c r="D4" s="3603"/>
      <c r="E4" s="3637" t="s">
        <v>472</v>
      </c>
      <c r="F4" s="3638"/>
      <c r="G4" s="3602" t="s">
        <v>473</v>
      </c>
      <c r="H4" s="3603"/>
      <c r="I4" s="3602" t="s">
        <v>474</v>
      </c>
      <c r="J4" s="3603"/>
      <c r="K4" s="787" t="s">
        <v>475</v>
      </c>
      <c r="L4" s="1742"/>
      <c r="M4" s="1743"/>
      <c r="N4" s="1743"/>
      <c r="O4" s="1743"/>
      <c r="P4" s="3604" t="s">
        <v>476</v>
      </c>
      <c r="Q4" s="3605"/>
      <c r="R4" s="3610" t="s">
        <v>472</v>
      </c>
      <c r="S4" s="3611"/>
      <c r="T4" s="3610" t="s">
        <v>473</v>
      </c>
      <c r="U4" s="3611"/>
      <c r="V4" s="3597" t="s">
        <v>474</v>
      </c>
      <c r="W4" s="3597"/>
      <c r="X4" s="1303"/>
      <c r="Y4" s="3610" t="s">
        <v>476</v>
      </c>
      <c r="Z4" s="3611"/>
      <c r="AA4" s="3599" t="s">
        <v>472</v>
      </c>
      <c r="AB4" s="3599" t="s">
        <v>473</v>
      </c>
      <c r="AC4" s="3599" t="s">
        <v>474</v>
      </c>
    </row>
    <row r="5" spans="1:29">
      <c r="A5" s="466"/>
      <c r="B5" s="467"/>
      <c r="C5" s="3618" t="s">
        <v>2192</v>
      </c>
      <c r="D5" s="3619"/>
      <c r="E5" s="3722" t="s">
        <v>3498</v>
      </c>
      <c r="F5" s="3640"/>
      <c r="G5" s="3721" t="s">
        <v>3497</v>
      </c>
      <c r="H5" s="3619"/>
      <c r="I5" s="3721" t="s">
        <v>3499</v>
      </c>
      <c r="J5" s="3619"/>
      <c r="K5" s="788"/>
      <c r="L5" s="1742"/>
      <c r="M5" s="1743"/>
      <c r="N5" s="1743"/>
      <c r="O5" s="1743"/>
      <c r="P5" s="3606"/>
      <c r="Q5" s="3607"/>
      <c r="R5" s="3612"/>
      <c r="S5" s="3613"/>
      <c r="T5" s="3612"/>
      <c r="U5" s="3613"/>
      <c r="V5" s="3597"/>
      <c r="W5" s="3597"/>
      <c r="X5" s="1303"/>
      <c r="Y5" s="3612"/>
      <c r="Z5" s="3613"/>
      <c r="AA5" s="3600"/>
      <c r="AB5" s="3600"/>
      <c r="AC5" s="3600"/>
    </row>
    <row r="6" spans="1:29" ht="15" thickBot="1">
      <c r="A6" s="468"/>
      <c r="B6" s="469"/>
      <c r="C6" s="3616" t="s">
        <v>2196</v>
      </c>
      <c r="D6" s="3617"/>
      <c r="E6" s="3635" t="s">
        <v>2196</v>
      </c>
      <c r="F6" s="3636"/>
      <c r="G6" s="3616" t="s">
        <v>2196</v>
      </c>
      <c r="H6" s="3617"/>
      <c r="I6" s="3616" t="s">
        <v>2196</v>
      </c>
      <c r="J6" s="3617"/>
      <c r="K6" s="788" t="s">
        <v>477</v>
      </c>
      <c r="L6" s="1742"/>
      <c r="M6" s="1743"/>
      <c r="N6" s="1743"/>
      <c r="O6" s="1743"/>
      <c r="P6" s="3608"/>
      <c r="Q6" s="3609"/>
      <c r="R6" s="3612"/>
      <c r="S6" s="3613"/>
      <c r="T6" s="3614"/>
      <c r="U6" s="3615"/>
      <c r="V6" s="3597"/>
      <c r="W6" s="3597"/>
      <c r="X6" s="1303"/>
      <c r="Y6" s="3614"/>
      <c r="Z6" s="3615"/>
      <c r="AA6" s="3601"/>
      <c r="AB6" s="3601"/>
      <c r="AC6" s="3601"/>
    </row>
    <row r="7" spans="1:29" s="1060" customFormat="1" ht="15" thickBot="1">
      <c r="A7" s="2209"/>
      <c r="B7" s="2216" t="s">
        <v>478</v>
      </c>
      <c r="C7" s="470">
        <f>'数据-取费表'!B2</f>
        <v>45730</v>
      </c>
      <c r="D7" s="471">
        <v>100</v>
      </c>
      <c r="E7" s="472">
        <v>45597</v>
      </c>
      <c r="F7" s="473">
        <f>SUMIF(58:58,YEAR(E7)&amp;"-"&amp;MONTH(E7),59:59)</f>
        <v>100</v>
      </c>
      <c r="G7" s="474">
        <v>45597</v>
      </c>
      <c r="H7" s="471">
        <f>SUMIF(58:58,YEAR(G7)&amp;"-"&amp;MONTH(G7),59:59)</f>
        <v>100</v>
      </c>
      <c r="I7" s="474">
        <v>45547</v>
      </c>
      <c r="J7" s="471">
        <f>SUMIF(58:58,YEAR(I7)&amp;"-"&amp;MONTH(I7),59:59)</f>
        <v>100</v>
      </c>
      <c r="K7" s="789"/>
      <c r="L7" s="1744"/>
      <c r="M7" s="1641"/>
      <c r="N7" s="1641"/>
      <c r="O7" s="1641"/>
      <c r="P7" s="3626" t="s">
        <v>479</v>
      </c>
      <c r="Q7" s="3628"/>
      <c r="R7" s="1304" t="s">
        <v>10</v>
      </c>
      <c r="S7" s="1305">
        <f t="shared" ref="S7:S15" si="0">F7</f>
        <v>100</v>
      </c>
      <c r="T7" s="1304" t="s">
        <v>10</v>
      </c>
      <c r="U7" s="1305">
        <f t="shared" ref="U7:U15" si="1">H7</f>
        <v>100</v>
      </c>
      <c r="V7" s="1304" t="s">
        <v>10</v>
      </c>
      <c r="W7" s="1305">
        <f t="shared" ref="W7:W15" si="2">J7</f>
        <v>100</v>
      </c>
      <c r="X7" s="1306"/>
      <c r="Y7" s="3626" t="s">
        <v>479</v>
      </c>
      <c r="Z7" s="3627"/>
      <c r="AA7" s="997">
        <f>D7/F7</f>
        <v>1</v>
      </c>
      <c r="AB7" s="997">
        <f>D7/H7</f>
        <v>1</v>
      </c>
      <c r="AC7" s="997">
        <f>D7/J7</f>
        <v>1</v>
      </c>
    </row>
    <row r="8" spans="1:29" s="1060" customFormat="1" ht="15" thickBot="1">
      <c r="A8" s="2210"/>
      <c r="B8" s="2217" t="s">
        <v>480</v>
      </c>
      <c r="C8" s="475" t="s">
        <v>524</v>
      </c>
      <c r="D8" s="471">
        <v>100</v>
      </c>
      <c r="E8" s="790" t="s">
        <v>3458</v>
      </c>
      <c r="F8" s="473">
        <f>SUMIF(61:61,E8,62:62)-SUMIF(61:61,C8,62:62)+100</f>
        <v>100</v>
      </c>
      <c r="G8" s="475" t="s">
        <v>3458</v>
      </c>
      <c r="H8" s="471">
        <f>SUMIF(61:61,G8,62:62)-SUMIF(61:61,C8,62:62)+100</f>
        <v>100</v>
      </c>
      <c r="I8" s="790" t="s">
        <v>3458</v>
      </c>
      <c r="J8" s="471">
        <f>SUMIF(61:61,I8,62:62)-SUMIF(61:61,C8,62:62)+100</f>
        <v>100</v>
      </c>
      <c r="K8" s="789"/>
      <c r="L8" s="1744"/>
      <c r="M8" s="1641"/>
      <c r="N8" s="1641"/>
      <c r="O8" s="1641"/>
      <c r="P8" s="3626" t="s">
        <v>482</v>
      </c>
      <c r="Q8" s="3627"/>
      <c r="R8" s="1304" t="s">
        <v>10</v>
      </c>
      <c r="S8" s="1305">
        <f t="shared" si="0"/>
        <v>100</v>
      </c>
      <c r="T8" s="1304" t="s">
        <v>10</v>
      </c>
      <c r="U8" s="1305">
        <f t="shared" si="1"/>
        <v>100</v>
      </c>
      <c r="V8" s="1304" t="s">
        <v>10</v>
      </c>
      <c r="W8" s="1305">
        <f t="shared" si="2"/>
        <v>100</v>
      </c>
      <c r="X8" s="1306"/>
      <c r="Y8" s="3626" t="s">
        <v>482</v>
      </c>
      <c r="Z8" s="3627"/>
      <c r="AA8" s="997">
        <f t="shared" ref="AA8:AA46" si="3">D8/F8</f>
        <v>1</v>
      </c>
      <c r="AB8" s="997">
        <f t="shared" ref="AB8:AB46" si="4">D8/H8</f>
        <v>1</v>
      </c>
      <c r="AC8" s="997">
        <f t="shared" ref="AC8:AC46" si="5">D8/J8</f>
        <v>1</v>
      </c>
    </row>
    <row r="9" spans="1:29" s="1060" customFormat="1" ht="14.4">
      <c r="A9" s="2211"/>
      <c r="B9" s="2218" t="s">
        <v>2038</v>
      </c>
      <c r="C9" s="3415" t="s">
        <v>3496</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596" t="s">
        <v>484</v>
      </c>
      <c r="Q9" s="818" t="str">
        <f t="shared" ref="Q9:Q15" si="6">B9</f>
        <v>用途</v>
      </c>
      <c r="R9" s="1304" t="s">
        <v>5</v>
      </c>
      <c r="S9" s="1305">
        <f t="shared" si="0"/>
        <v>100</v>
      </c>
      <c r="T9" s="1304" t="s">
        <v>5</v>
      </c>
      <c r="U9" s="1305">
        <f t="shared" si="1"/>
        <v>100</v>
      </c>
      <c r="V9" s="1304" t="s">
        <v>5</v>
      </c>
      <c r="W9" s="1305">
        <f t="shared" si="2"/>
        <v>100</v>
      </c>
      <c r="X9" s="1306"/>
      <c r="Y9" s="3540" t="s">
        <v>485</v>
      </c>
      <c r="Z9" s="997" t="str">
        <f t="shared" ref="Z9:Z15" si="7">Q9</f>
        <v>用途</v>
      </c>
      <c r="AA9" s="997">
        <f t="shared" si="3"/>
        <v>1</v>
      </c>
      <c r="AB9" s="997">
        <f t="shared" si="4"/>
        <v>1</v>
      </c>
      <c r="AC9" s="997">
        <f t="shared" si="5"/>
        <v>1</v>
      </c>
    </row>
    <row r="10" spans="1:29" s="1133" customFormat="1" ht="28.8">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3"/>
      <c r="B11" s="2217" t="s">
        <v>2040</v>
      </c>
      <c r="C11" s="483">
        <v>2.2000000000000002</v>
      </c>
      <c r="D11" s="235">
        <v>100</v>
      </c>
      <c r="E11" s="484">
        <v>3</v>
      </c>
      <c r="F11" s="477">
        <f>LOOKUP(E11,68:68,69:69)-LOOKUP(C11,68:68,69:69)+100</f>
        <v>98</v>
      </c>
      <c r="G11" s="483">
        <v>2.6</v>
      </c>
      <c r="H11" s="235">
        <f>LOOKUP(G11,68:68,69:69)-LOOKUP(C11,68:68,69:69)+100</f>
        <v>100</v>
      </c>
      <c r="I11" s="483">
        <v>2.4</v>
      </c>
      <c r="J11" s="235">
        <f>LOOKUP(I11,68:68,69:69)-LOOKUP(C11,68:68,69:69)+100</f>
        <v>100</v>
      </c>
      <c r="K11" s="794">
        <v>2</v>
      </c>
      <c r="L11" s="1748"/>
      <c r="M11" s="1743"/>
      <c r="N11" s="1743"/>
      <c r="O11" s="1749"/>
      <c r="P11" s="3596"/>
      <c r="Q11" s="818" t="str">
        <f t="shared" si="6"/>
        <v>容积率</v>
      </c>
      <c r="R11" s="1304" t="s">
        <v>8</v>
      </c>
      <c r="S11" s="1305">
        <f t="shared" si="0"/>
        <v>98</v>
      </c>
      <c r="T11" s="1304" t="s">
        <v>8</v>
      </c>
      <c r="U11" s="1305">
        <f t="shared" si="1"/>
        <v>100</v>
      </c>
      <c r="V11" s="1304" t="s">
        <v>8</v>
      </c>
      <c r="W11" s="1305">
        <f t="shared" si="2"/>
        <v>100</v>
      </c>
      <c r="X11" s="1306"/>
      <c r="Y11" s="3540"/>
      <c r="Z11" s="997" t="str">
        <f t="shared" si="7"/>
        <v>容积率</v>
      </c>
      <c r="AA11" s="997">
        <f t="shared" si="3"/>
        <v>1.0204081632653061</v>
      </c>
      <c r="AB11" s="997">
        <f t="shared" si="4"/>
        <v>1</v>
      </c>
      <c r="AC11" s="997">
        <f t="shared" si="5"/>
        <v>1</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96"/>
      <c r="Q12" s="818">
        <f t="shared" si="6"/>
        <v>111</v>
      </c>
      <c r="R12" s="1304" t="s">
        <v>8</v>
      </c>
      <c r="S12" s="1305">
        <f t="shared" si="0"/>
        <v>100</v>
      </c>
      <c r="T12" s="1304" t="s">
        <v>8</v>
      </c>
      <c r="U12" s="1305">
        <f t="shared" si="1"/>
        <v>100</v>
      </c>
      <c r="V12" s="1304" t="s">
        <v>8</v>
      </c>
      <c r="W12" s="1305">
        <f t="shared" si="2"/>
        <v>100</v>
      </c>
      <c r="X12" s="1306"/>
      <c r="Y12" s="3540"/>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96"/>
      <c r="Q13" s="818">
        <f t="shared" si="6"/>
        <v>111</v>
      </c>
      <c r="R13" s="1304" t="s">
        <v>8</v>
      </c>
      <c r="S13" s="1305">
        <f t="shared" si="0"/>
        <v>100</v>
      </c>
      <c r="T13" s="1304" t="s">
        <v>8</v>
      </c>
      <c r="U13" s="1305">
        <f t="shared" si="1"/>
        <v>100</v>
      </c>
      <c r="V13" s="1304" t="s">
        <v>8</v>
      </c>
      <c r="W13" s="1305">
        <f t="shared" si="2"/>
        <v>100</v>
      </c>
      <c r="X13" s="1306"/>
      <c r="Y13" s="3540"/>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96"/>
      <c r="Q14" s="818">
        <f t="shared" si="6"/>
        <v>111</v>
      </c>
      <c r="R14" s="1304" t="s">
        <v>8</v>
      </c>
      <c r="S14" s="1305">
        <f t="shared" si="0"/>
        <v>100</v>
      </c>
      <c r="T14" s="1304" t="s">
        <v>8</v>
      </c>
      <c r="U14" s="1305">
        <f t="shared" si="1"/>
        <v>100</v>
      </c>
      <c r="V14" s="1304" t="s">
        <v>8</v>
      </c>
      <c r="W14" s="1305">
        <f t="shared" si="2"/>
        <v>100</v>
      </c>
      <c r="X14" s="1306"/>
      <c r="Y14" s="3540"/>
      <c r="Z14" s="997">
        <f t="shared" si="7"/>
        <v>111</v>
      </c>
      <c r="AA14" s="997">
        <f t="shared" si="3"/>
        <v>1</v>
      </c>
      <c r="AB14" s="997">
        <f t="shared" si="4"/>
        <v>1</v>
      </c>
      <c r="AC14" s="997">
        <f t="shared" si="5"/>
        <v>1</v>
      </c>
    </row>
    <row r="15" spans="1:29" ht="96.6">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106</v>
      </c>
      <c r="G15" s="502"/>
      <c r="H15" s="499">
        <f>SUMIF(76:76,G16,77:77)-SUMIF(76:76,C16,77:77)+100</f>
        <v>106</v>
      </c>
      <c r="I15" s="500"/>
      <c r="J15" s="499">
        <f>SUMIF(76:76,I16,77:77)-SUMIF(76:76,C16,77:77)+100</f>
        <v>106</v>
      </c>
      <c r="K15" s="798">
        <v>3</v>
      </c>
      <c r="L15" s="1750"/>
      <c r="M15" s="1743"/>
      <c r="N15" s="1743"/>
      <c r="O15" s="1749"/>
      <c r="P15" s="3629" t="s">
        <v>489</v>
      </c>
      <c r="Q15" s="1307" t="str">
        <f t="shared" si="6"/>
        <v>居住社区成熟度</v>
      </c>
      <c r="R15" s="1308" t="s">
        <v>8</v>
      </c>
      <c r="S15" s="1309">
        <f t="shared" si="0"/>
        <v>106</v>
      </c>
      <c r="T15" s="1308" t="s">
        <v>8</v>
      </c>
      <c r="U15" s="1309">
        <f t="shared" si="1"/>
        <v>106</v>
      </c>
      <c r="V15" s="1308" t="s">
        <v>8</v>
      </c>
      <c r="W15" s="1309">
        <f t="shared" si="2"/>
        <v>106</v>
      </c>
      <c r="X15" s="1303"/>
      <c r="Y15" s="3629" t="s">
        <v>489</v>
      </c>
      <c r="Z15" s="1310" t="str">
        <f t="shared" si="7"/>
        <v>居住社区成熟度</v>
      </c>
      <c r="AA15" s="1310">
        <f t="shared" si="3"/>
        <v>0.94339622641509435</v>
      </c>
      <c r="AB15" s="1310">
        <f t="shared" si="4"/>
        <v>0.94339622641509435</v>
      </c>
      <c r="AC15" s="1310">
        <f t="shared" si="5"/>
        <v>0.94339622641509435</v>
      </c>
    </row>
    <row r="16" spans="1:29" ht="15">
      <c r="A16" s="482"/>
      <c r="B16" s="799"/>
      <c r="C16" s="526" t="s">
        <v>3482</v>
      </c>
      <c r="D16" s="505"/>
      <c r="E16" s="506" t="s">
        <v>3477</v>
      </c>
      <c r="F16" s="507"/>
      <c r="G16" s="506" t="s">
        <v>3477</v>
      </c>
      <c r="H16" s="509"/>
      <c r="I16" s="506" t="s">
        <v>3477</v>
      </c>
      <c r="J16" s="505"/>
      <c r="K16" s="800"/>
      <c r="L16" s="1750"/>
      <c r="M16" s="1743"/>
      <c r="N16" s="1743"/>
      <c r="O16" s="1749"/>
      <c r="P16" s="3630"/>
      <c r="Q16" s="1307"/>
      <c r="R16" s="1308"/>
      <c r="S16" s="1309"/>
      <c r="T16" s="1308"/>
      <c r="U16" s="1309"/>
      <c r="V16" s="1308"/>
      <c r="W16" s="1309"/>
      <c r="X16" s="1303"/>
      <c r="Y16" s="3630"/>
      <c r="Z16" s="1310"/>
      <c r="AA16" s="1310">
        <v>1</v>
      </c>
      <c r="AB16" s="1310">
        <v>1</v>
      </c>
      <c r="AC16" s="1310">
        <v>1</v>
      </c>
    </row>
    <row r="17" spans="1:29" ht="82.8">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30"/>
      <c r="Q17" s="1307" t="str">
        <f>B17</f>
        <v>交通便捷度</v>
      </c>
      <c r="R17" s="1308" t="s">
        <v>8</v>
      </c>
      <c r="S17" s="1309">
        <f>F17</f>
        <v>100</v>
      </c>
      <c r="T17" s="1308" t="s">
        <v>8</v>
      </c>
      <c r="U17" s="1309">
        <f>H17</f>
        <v>100</v>
      </c>
      <c r="V17" s="1308" t="s">
        <v>8</v>
      </c>
      <c r="W17" s="1309">
        <f>J17</f>
        <v>100</v>
      </c>
      <c r="X17" s="1303"/>
      <c r="Y17" s="363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30"/>
      <c r="Q18" s="1307"/>
      <c r="R18" s="1308"/>
      <c r="S18" s="1309"/>
      <c r="T18" s="1308"/>
      <c r="U18" s="1309"/>
      <c r="V18" s="1308"/>
      <c r="W18" s="1309"/>
      <c r="X18" s="1303"/>
      <c r="Y18" s="3630"/>
      <c r="Z18" s="1310"/>
      <c r="AA18" s="1310">
        <v>1</v>
      </c>
      <c r="AB18" s="1310">
        <v>1</v>
      </c>
      <c r="AC18" s="1310">
        <v>1</v>
      </c>
    </row>
    <row r="19" spans="1:29" ht="41.4">
      <c r="A19" s="482"/>
      <c r="B19" s="2060" t="s">
        <v>1829</v>
      </c>
      <c r="C19" s="801" t="str">
        <f>估价对象房地状况!C7</f>
        <v>估价对象所在区域公共配套设施齐备情况</v>
      </c>
      <c r="D19" s="515">
        <v>100</v>
      </c>
      <c r="E19" s="520"/>
      <c r="F19" s="521">
        <f>SUMIF(80:80,E20,81:81)-SUMIF(80:80,C20,81:81)+100</f>
        <v>104</v>
      </c>
      <c r="G19" s="522"/>
      <c r="H19" s="509">
        <f>SUMIF(80:80,G20,81:81)-SUMIF(80:80,C20,81:81)+100</f>
        <v>104</v>
      </c>
      <c r="I19" s="520"/>
      <c r="J19" s="509">
        <f>SUMIF(80:80,I20,81:81)-SUMIF(80:80,C20,81:81)+100</f>
        <v>104</v>
      </c>
      <c r="K19" s="798">
        <v>2</v>
      </c>
      <c r="L19" s="1750"/>
      <c r="M19" s="1743"/>
      <c r="N19" s="1743"/>
      <c r="O19" s="1749"/>
      <c r="P19" s="3630"/>
      <c r="Q19" s="1307" t="str">
        <f>B19</f>
        <v>公共配套设施</v>
      </c>
      <c r="R19" s="1308" t="s">
        <v>8</v>
      </c>
      <c r="S19" s="1309">
        <f>F19</f>
        <v>104</v>
      </c>
      <c r="T19" s="1308" t="s">
        <v>8</v>
      </c>
      <c r="U19" s="1309">
        <f>H19</f>
        <v>104</v>
      </c>
      <c r="V19" s="1308" t="s">
        <v>8</v>
      </c>
      <c r="W19" s="1309">
        <f>J19</f>
        <v>104</v>
      </c>
      <c r="X19" s="1303"/>
      <c r="Y19" s="3630"/>
      <c r="Z19" s="1310" t="str">
        <f>Q19</f>
        <v>公共配套设施</v>
      </c>
      <c r="AA19" s="1310">
        <f t="shared" si="3"/>
        <v>0.96153846153846156</v>
      </c>
      <c r="AB19" s="1310">
        <f t="shared" si="4"/>
        <v>0.96153846153846156</v>
      </c>
      <c r="AC19" s="1310">
        <f t="shared" si="5"/>
        <v>0.96153846153846156</v>
      </c>
    </row>
    <row r="20" spans="1:29" ht="15">
      <c r="A20" s="482"/>
      <c r="B20" s="544"/>
      <c r="C20" s="526" t="s">
        <v>3482</v>
      </c>
      <c r="D20" s="505"/>
      <c r="E20" s="506" t="s">
        <v>3477</v>
      </c>
      <c r="F20" s="507"/>
      <c r="G20" s="506" t="s">
        <v>3477</v>
      </c>
      <c r="H20" s="505"/>
      <c r="I20" s="506" t="s">
        <v>3477</v>
      </c>
      <c r="J20" s="505"/>
      <c r="K20" s="800"/>
      <c r="L20" s="1750"/>
      <c r="M20" s="1743"/>
      <c r="N20" s="1743"/>
      <c r="O20" s="1749"/>
      <c r="P20" s="3630"/>
      <c r="Q20" s="1307"/>
      <c r="R20" s="1308"/>
      <c r="S20" s="1309"/>
      <c r="T20" s="1308"/>
      <c r="U20" s="1309"/>
      <c r="V20" s="1308"/>
      <c r="W20" s="1309"/>
      <c r="X20" s="1303"/>
      <c r="Y20" s="3630"/>
      <c r="Z20" s="1310"/>
      <c r="AA20" s="1310">
        <v>1</v>
      </c>
      <c r="AB20" s="1310">
        <v>1</v>
      </c>
      <c r="AC20" s="1310">
        <v>1</v>
      </c>
    </row>
    <row r="21" spans="1:29" ht="27.6">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30"/>
      <c r="Q21" s="1307" t="str">
        <f>B21</f>
        <v>基础设施水平</v>
      </c>
      <c r="R21" s="1308" t="s">
        <v>8</v>
      </c>
      <c r="S21" s="1309">
        <f>F21</f>
        <v>100</v>
      </c>
      <c r="T21" s="1308" t="s">
        <v>8</v>
      </c>
      <c r="U21" s="1309">
        <f>H21</f>
        <v>100</v>
      </c>
      <c r="V21" s="1308" t="s">
        <v>8</v>
      </c>
      <c r="W21" s="1309">
        <f>J21</f>
        <v>100</v>
      </c>
      <c r="X21" s="1303"/>
      <c r="Y21" s="363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30"/>
      <c r="Q22" s="1307"/>
      <c r="R22" s="1308"/>
      <c r="S22" s="1309"/>
      <c r="T22" s="1308"/>
      <c r="U22" s="1309"/>
      <c r="V22" s="1308"/>
      <c r="W22" s="1309"/>
      <c r="X22" s="1303"/>
      <c r="Y22" s="3630"/>
      <c r="Z22" s="1310"/>
      <c r="AA22" s="1310">
        <v>1</v>
      </c>
      <c r="AB22" s="1310">
        <v>1</v>
      </c>
      <c r="AC22" s="1310">
        <v>1</v>
      </c>
    </row>
    <row r="23" spans="1:29" ht="55.2">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30"/>
      <c r="Q23" s="1307" t="str">
        <f>B23</f>
        <v>自然及人文环境</v>
      </c>
      <c r="R23" s="1308" t="s">
        <v>8</v>
      </c>
      <c r="S23" s="1309">
        <f>F23</f>
        <v>100</v>
      </c>
      <c r="T23" s="1308" t="s">
        <v>8</v>
      </c>
      <c r="U23" s="1309">
        <f>H23</f>
        <v>100</v>
      </c>
      <c r="V23" s="1308" t="s">
        <v>8</v>
      </c>
      <c r="W23" s="1309">
        <f>J23</f>
        <v>100</v>
      </c>
      <c r="X23" s="1303"/>
      <c r="Y23" s="363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30"/>
      <c r="Q24" s="1307"/>
      <c r="R24" s="1308"/>
      <c r="S24" s="1309"/>
      <c r="T24" s="1308"/>
      <c r="U24" s="1309"/>
      <c r="V24" s="1308"/>
      <c r="W24" s="1309"/>
      <c r="X24" s="1303"/>
      <c r="Y24" s="3630"/>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0"/>
      <c r="Q25" s="1307" t="str">
        <f t="shared" ref="Q25:Q46" si="8">B25</f>
        <v>楼层-1</v>
      </c>
      <c r="R25" s="1308" t="s">
        <v>8</v>
      </c>
      <c r="S25" s="1309">
        <f>F25</f>
        <v>100</v>
      </c>
      <c r="T25" s="1308" t="s">
        <v>8</v>
      </c>
      <c r="U25" s="1309">
        <f>H25</f>
        <v>100</v>
      </c>
      <c r="V25" s="1308" t="s">
        <v>8</v>
      </c>
      <c r="W25" s="1309">
        <f>J25</f>
        <v>100</v>
      </c>
      <c r="X25" s="1303"/>
      <c r="Y25" s="3630"/>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0"/>
      <c r="Q26" s="1307" t="str">
        <f t="shared" si="8"/>
        <v>朝向</v>
      </c>
      <c r="R26" s="1308" t="s">
        <v>8</v>
      </c>
      <c r="S26" s="1309">
        <f>F26</f>
        <v>100</v>
      </c>
      <c r="T26" s="1308" t="s">
        <v>8</v>
      </c>
      <c r="U26" s="1309">
        <f>H26</f>
        <v>100</v>
      </c>
      <c r="V26" s="1308" t="s">
        <v>8</v>
      </c>
      <c r="W26" s="1309">
        <f>J26</f>
        <v>100</v>
      </c>
      <c r="X26" s="1303"/>
      <c r="Y26" s="3630"/>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0"/>
      <c r="Q27" s="818" t="str">
        <f t="shared" si="8"/>
        <v>道路级别</v>
      </c>
      <c r="R27" s="1304" t="s">
        <v>8</v>
      </c>
      <c r="S27" s="1305">
        <f>F27</f>
        <v>100</v>
      </c>
      <c r="T27" s="1304" t="s">
        <v>8</v>
      </c>
      <c r="U27" s="1305">
        <f>H27</f>
        <v>100</v>
      </c>
      <c r="V27" s="1304" t="s">
        <v>8</v>
      </c>
      <c r="W27" s="1305">
        <f>J27</f>
        <v>100</v>
      </c>
      <c r="X27" s="1306"/>
      <c r="Y27" s="3630"/>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0"/>
      <c r="Q28" s="1307">
        <f t="shared" si="8"/>
        <v>111</v>
      </c>
      <c r="R28" s="1308" t="s">
        <v>8</v>
      </c>
      <c r="S28" s="1309">
        <f t="shared" ref="S28:S46" si="9">F28</f>
        <v>100</v>
      </c>
      <c r="T28" s="1308" t="s">
        <v>8</v>
      </c>
      <c r="U28" s="1309">
        <f t="shared" ref="U28:U46" si="10">H28</f>
        <v>100</v>
      </c>
      <c r="V28" s="1308" t="s">
        <v>8</v>
      </c>
      <c r="W28" s="1309">
        <f t="shared" ref="W28:W46" si="11">J28</f>
        <v>100</v>
      </c>
      <c r="X28" s="1303"/>
      <c r="Y28" s="3630"/>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0"/>
      <c r="Q29" s="1307">
        <f t="shared" si="8"/>
        <v>111</v>
      </c>
      <c r="R29" s="1308" t="s">
        <v>8</v>
      </c>
      <c r="S29" s="1309">
        <f t="shared" si="9"/>
        <v>100</v>
      </c>
      <c r="T29" s="1308" t="s">
        <v>8</v>
      </c>
      <c r="U29" s="1309">
        <f t="shared" si="10"/>
        <v>100</v>
      </c>
      <c r="V29" s="1308" t="s">
        <v>8</v>
      </c>
      <c r="W29" s="1309">
        <f t="shared" si="11"/>
        <v>100</v>
      </c>
      <c r="X29" s="1303"/>
      <c r="Y29" s="363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0"/>
      <c r="Q30" s="1307">
        <f t="shared" si="8"/>
        <v>111</v>
      </c>
      <c r="R30" s="1308" t="s">
        <v>8</v>
      </c>
      <c r="S30" s="1309">
        <f t="shared" si="9"/>
        <v>100</v>
      </c>
      <c r="T30" s="1308" t="s">
        <v>8</v>
      </c>
      <c r="U30" s="1309">
        <f t="shared" si="10"/>
        <v>100</v>
      </c>
      <c r="V30" s="1308" t="s">
        <v>8</v>
      </c>
      <c r="W30" s="1309">
        <f t="shared" si="11"/>
        <v>100</v>
      </c>
      <c r="X30" s="1303"/>
      <c r="Y30" s="3630"/>
      <c r="Z30" s="1310">
        <f t="shared" si="12"/>
        <v>111</v>
      </c>
      <c r="AA30" s="1310">
        <f t="shared" si="3"/>
        <v>1</v>
      </c>
      <c r="AB30" s="1310">
        <f t="shared" si="4"/>
        <v>1</v>
      </c>
      <c r="AC30" s="1310">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0"/>
      <c r="Q31" s="1307">
        <f t="shared" si="8"/>
        <v>111</v>
      </c>
      <c r="R31" s="1308" t="s">
        <v>8</v>
      </c>
      <c r="S31" s="1309">
        <f t="shared" si="9"/>
        <v>100</v>
      </c>
      <c r="T31" s="1308" t="s">
        <v>8</v>
      </c>
      <c r="U31" s="1309">
        <f t="shared" si="10"/>
        <v>100</v>
      </c>
      <c r="V31" s="1308" t="s">
        <v>8</v>
      </c>
      <c r="W31" s="1309">
        <f t="shared" si="11"/>
        <v>100</v>
      </c>
      <c r="X31" s="1303"/>
      <c r="Y31" s="3630"/>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31" t="s">
        <v>499</v>
      </c>
      <c r="Q32" s="1307" t="str">
        <f t="shared" si="8"/>
        <v>建筑类型</v>
      </c>
      <c r="R32" s="1308" t="s">
        <v>8</v>
      </c>
      <c r="S32" s="1309">
        <f t="shared" si="9"/>
        <v>100</v>
      </c>
      <c r="T32" s="1308" t="s">
        <v>8</v>
      </c>
      <c r="U32" s="1309">
        <f t="shared" si="10"/>
        <v>100</v>
      </c>
      <c r="V32" s="1308" t="s">
        <v>8</v>
      </c>
      <c r="W32" s="1309">
        <f t="shared" si="11"/>
        <v>100</v>
      </c>
      <c r="X32" s="1303"/>
      <c r="Y32" s="3632"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32"/>
      <c r="Q33" s="819" t="str">
        <f t="shared" si="8"/>
        <v>项目建筑规模</v>
      </c>
      <c r="R33" s="1311" t="s">
        <v>8</v>
      </c>
      <c r="S33" s="1312">
        <f t="shared" si="9"/>
        <v>100</v>
      </c>
      <c r="T33" s="1311" t="s">
        <v>8</v>
      </c>
      <c r="U33" s="1312">
        <f t="shared" si="10"/>
        <v>100</v>
      </c>
      <c r="V33" s="1311" t="s">
        <v>8</v>
      </c>
      <c r="W33" s="1312">
        <f t="shared" si="11"/>
        <v>100</v>
      </c>
      <c r="X33" s="1313"/>
      <c r="Y33" s="3632"/>
      <c r="Z33" s="1314" t="str">
        <f t="shared" si="12"/>
        <v>项目建筑规模</v>
      </c>
      <c r="AA33" s="1310">
        <f t="shared" si="3"/>
        <v>1</v>
      </c>
      <c r="AB33" s="1310">
        <f t="shared" si="4"/>
        <v>1</v>
      </c>
      <c r="AC33" s="1310">
        <f t="shared" si="5"/>
        <v>1</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32"/>
      <c r="Q34" s="1307" t="str">
        <f t="shared" si="8"/>
        <v>建筑结构</v>
      </c>
      <c r="R34" s="1308" t="s">
        <v>8</v>
      </c>
      <c r="S34" s="1309">
        <f t="shared" si="9"/>
        <v>100</v>
      </c>
      <c r="T34" s="1308" t="s">
        <v>8</v>
      </c>
      <c r="U34" s="1309">
        <f t="shared" si="10"/>
        <v>100</v>
      </c>
      <c r="V34" s="1308" t="s">
        <v>8</v>
      </c>
      <c r="W34" s="1309">
        <f t="shared" si="11"/>
        <v>100</v>
      </c>
      <c r="X34" s="1303"/>
      <c r="Y34" s="3632"/>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32"/>
      <c r="Q35" s="1307" t="str">
        <f t="shared" si="8"/>
        <v>建筑品质</v>
      </c>
      <c r="R35" s="1308" t="s">
        <v>8</v>
      </c>
      <c r="S35" s="1309">
        <f t="shared" si="9"/>
        <v>100</v>
      </c>
      <c r="T35" s="1308" t="s">
        <v>8</v>
      </c>
      <c r="U35" s="1309">
        <f t="shared" si="10"/>
        <v>100</v>
      </c>
      <c r="V35" s="1308" t="s">
        <v>8</v>
      </c>
      <c r="W35" s="1309">
        <f t="shared" si="11"/>
        <v>100</v>
      </c>
      <c r="X35" s="1303"/>
      <c r="Y35" s="3632"/>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32"/>
      <c r="Q36" s="1307" t="str">
        <f t="shared" si="8"/>
        <v>公共部分装修</v>
      </c>
      <c r="R36" s="1308" t="s">
        <v>8</v>
      </c>
      <c r="S36" s="1309">
        <f t="shared" si="9"/>
        <v>100</v>
      </c>
      <c r="T36" s="1308" t="s">
        <v>8</v>
      </c>
      <c r="U36" s="1309">
        <f t="shared" si="10"/>
        <v>100</v>
      </c>
      <c r="V36" s="1308" t="s">
        <v>8</v>
      </c>
      <c r="W36" s="1309">
        <f t="shared" si="11"/>
        <v>100</v>
      </c>
      <c r="X36" s="1303"/>
      <c r="Y36" s="3632"/>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f>I37</f>
        <v>0.98</v>
      </c>
      <c r="F37" s="477">
        <f>LOOKUP(E37,112:112,113:113)-LOOKUP(C37,112:112,113:113)+100</f>
        <v>100</v>
      </c>
      <c r="G37" s="810">
        <f>I37</f>
        <v>0.98</v>
      </c>
      <c r="H37" s="235">
        <f>LOOKUP(G37,112:112,113:113)-LOOKUP(C37,112:112,113:113)+100</f>
        <v>100</v>
      </c>
      <c r="I37" s="809">
        <f>ROUND(1-(1-0)*(2025-I46)/60,2)</f>
        <v>0.98</v>
      </c>
      <c r="J37" s="235">
        <f>LOOKUP(I37,112:112,113:113)-LOOKUP(C37,112:112,113:113)+100</f>
        <v>100</v>
      </c>
      <c r="K37" s="794">
        <v>1</v>
      </c>
      <c r="L37" s="1744"/>
      <c r="M37" s="1641"/>
      <c r="N37" s="1641"/>
      <c r="O37" s="1745"/>
      <c r="P37" s="3632"/>
      <c r="Q37" s="818" t="str">
        <f t="shared" si="8"/>
        <v>成新度</v>
      </c>
      <c r="R37" s="1304" t="s">
        <v>8</v>
      </c>
      <c r="S37" s="1305">
        <f t="shared" si="9"/>
        <v>100</v>
      </c>
      <c r="T37" s="1304" t="s">
        <v>8</v>
      </c>
      <c r="U37" s="1305">
        <f t="shared" si="10"/>
        <v>100</v>
      </c>
      <c r="V37" s="1304" t="s">
        <v>8</v>
      </c>
      <c r="W37" s="1305">
        <f t="shared" si="11"/>
        <v>100</v>
      </c>
      <c r="X37" s="1306"/>
      <c r="Y37" s="3632"/>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32" t="s">
        <v>499</v>
      </c>
      <c r="Q38" s="1307" t="str">
        <f t="shared" si="8"/>
        <v>物业管理</v>
      </c>
      <c r="R38" s="1308" t="s">
        <v>8</v>
      </c>
      <c r="S38" s="1309">
        <f t="shared" si="9"/>
        <v>100</v>
      </c>
      <c r="T38" s="1308" t="s">
        <v>8</v>
      </c>
      <c r="U38" s="1309">
        <f t="shared" si="10"/>
        <v>100</v>
      </c>
      <c r="V38" s="1308" t="s">
        <v>8</v>
      </c>
      <c r="W38" s="1309">
        <f t="shared" si="11"/>
        <v>100</v>
      </c>
      <c r="X38" s="1303"/>
      <c r="Y38" s="3632"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32"/>
      <c r="Q39" s="1307" t="str">
        <f t="shared" si="8"/>
        <v>市政基础设施</v>
      </c>
      <c r="R39" s="1308" t="s">
        <v>8</v>
      </c>
      <c r="S39" s="1309">
        <f t="shared" si="9"/>
        <v>100</v>
      </c>
      <c r="T39" s="1308" t="s">
        <v>8</v>
      </c>
      <c r="U39" s="1309">
        <f t="shared" si="10"/>
        <v>100</v>
      </c>
      <c r="V39" s="1308" t="s">
        <v>8</v>
      </c>
      <c r="W39" s="1309">
        <f t="shared" si="11"/>
        <v>100</v>
      </c>
      <c r="X39" s="1303"/>
      <c r="Y39" s="3632"/>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2"/>
      <c r="Q40" s="1307" t="str">
        <f t="shared" si="8"/>
        <v>房型</v>
      </c>
      <c r="R40" s="1308" t="s">
        <v>8</v>
      </c>
      <c r="S40" s="1309">
        <f t="shared" si="9"/>
        <v>100</v>
      </c>
      <c r="T40" s="1308" t="s">
        <v>8</v>
      </c>
      <c r="U40" s="1309">
        <f t="shared" si="10"/>
        <v>100</v>
      </c>
      <c r="V40" s="1308" t="s">
        <v>8</v>
      </c>
      <c r="W40" s="1309">
        <f t="shared" si="11"/>
        <v>100</v>
      </c>
      <c r="X40" s="1303"/>
      <c r="Y40" s="3632"/>
      <c r="Z40" s="1310" t="str">
        <f t="shared" si="12"/>
        <v>房型</v>
      </c>
      <c r="AA40" s="1310">
        <f t="shared" si="3"/>
        <v>1</v>
      </c>
      <c r="AB40" s="1310">
        <f t="shared" si="4"/>
        <v>1</v>
      </c>
      <c r="AC40" s="1310">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2"/>
      <c r="Q41" s="819" t="str">
        <f t="shared" si="8"/>
        <v>单套/主力户型建筑面积</v>
      </c>
      <c r="R41" s="1311" t="s">
        <v>8</v>
      </c>
      <c r="S41" s="1312">
        <f t="shared" si="9"/>
        <v>100</v>
      </c>
      <c r="T41" s="1311" t="s">
        <v>8</v>
      </c>
      <c r="U41" s="1312">
        <f t="shared" si="10"/>
        <v>100</v>
      </c>
      <c r="V41" s="1311" t="s">
        <v>8</v>
      </c>
      <c r="W41" s="1312">
        <f t="shared" si="11"/>
        <v>100</v>
      </c>
      <c r="X41" s="1313"/>
      <c r="Y41" s="3632"/>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32"/>
      <c r="Q42" s="1307" t="str">
        <f t="shared" si="8"/>
        <v>内部装修</v>
      </c>
      <c r="R42" s="1308" t="s">
        <v>8</v>
      </c>
      <c r="S42" s="1309">
        <f t="shared" si="9"/>
        <v>100</v>
      </c>
      <c r="T42" s="1308" t="s">
        <v>8</v>
      </c>
      <c r="U42" s="1309">
        <f t="shared" si="10"/>
        <v>100</v>
      </c>
      <c r="V42" s="1308" t="s">
        <v>8</v>
      </c>
      <c r="W42" s="1309">
        <f t="shared" si="11"/>
        <v>100</v>
      </c>
      <c r="X42" s="1303"/>
      <c r="Y42" s="3632"/>
      <c r="Z42" s="1310" t="str">
        <f t="shared" si="12"/>
        <v>内部装修</v>
      </c>
      <c r="AA42" s="1310">
        <f t="shared" si="3"/>
        <v>1</v>
      </c>
      <c r="AB42" s="1310">
        <f t="shared" si="4"/>
        <v>1</v>
      </c>
      <c r="AC42" s="1310">
        <f t="shared" si="5"/>
        <v>1</v>
      </c>
    </row>
    <row r="43" spans="1:29" ht="28.8">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32"/>
      <c r="Q43" s="1307" t="str">
        <f t="shared" si="8"/>
        <v>内部装修维护情况</v>
      </c>
      <c r="R43" s="1308" t="s">
        <v>8</v>
      </c>
      <c r="S43" s="1309">
        <f t="shared" si="9"/>
        <v>100</v>
      </c>
      <c r="T43" s="1308" t="s">
        <v>8</v>
      </c>
      <c r="U43" s="1309">
        <f t="shared" si="10"/>
        <v>100</v>
      </c>
      <c r="V43" s="1308" t="s">
        <v>8</v>
      </c>
      <c r="W43" s="1309">
        <f t="shared" si="11"/>
        <v>100</v>
      </c>
      <c r="X43" s="1303"/>
      <c r="Y43" s="363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2"/>
      <c r="Q44" s="818">
        <f t="shared" si="8"/>
        <v>111</v>
      </c>
      <c r="R44" s="1304" t="s">
        <v>8</v>
      </c>
      <c r="S44" s="1305">
        <f t="shared" si="9"/>
        <v>100</v>
      </c>
      <c r="T44" s="1304" t="s">
        <v>8</v>
      </c>
      <c r="U44" s="1305">
        <f t="shared" si="10"/>
        <v>100</v>
      </c>
      <c r="V44" s="1304" t="s">
        <v>8</v>
      </c>
      <c r="W44" s="1305">
        <f t="shared" si="11"/>
        <v>100</v>
      </c>
      <c r="X44" s="1306"/>
      <c r="Y44" s="363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2"/>
      <c r="Q45" s="1307">
        <f t="shared" si="8"/>
        <v>111</v>
      </c>
      <c r="R45" s="1308" t="s">
        <v>8</v>
      </c>
      <c r="S45" s="1309">
        <f t="shared" si="9"/>
        <v>100</v>
      </c>
      <c r="T45" s="1308" t="s">
        <v>8</v>
      </c>
      <c r="U45" s="1309">
        <f t="shared" si="10"/>
        <v>100</v>
      </c>
      <c r="V45" s="1308" t="s">
        <v>8</v>
      </c>
      <c r="W45" s="1309">
        <f t="shared" si="11"/>
        <v>100</v>
      </c>
      <c r="X45" s="1303"/>
      <c r="Y45" s="3632"/>
      <c r="Z45" s="1310">
        <f t="shared" si="12"/>
        <v>111</v>
      </c>
      <c r="AA45" s="1310">
        <f t="shared" si="3"/>
        <v>1</v>
      </c>
      <c r="AB45" s="1310">
        <f t="shared" si="4"/>
        <v>1</v>
      </c>
      <c r="AC45" s="1310">
        <f t="shared" si="5"/>
        <v>1</v>
      </c>
    </row>
    <row r="46" spans="1:29" ht="15.6" thickBot="1">
      <c r="A46" s="811"/>
      <c r="B46" s="494">
        <v>111</v>
      </c>
      <c r="C46" s="495"/>
      <c r="D46" s="496">
        <v>100</v>
      </c>
      <c r="E46" s="495">
        <v>2024</v>
      </c>
      <c r="F46" s="796">
        <f>SUMIF(130:130,E46,131:131)-SUMIF(130:130,C46,131:131)+100</f>
        <v>100</v>
      </c>
      <c r="G46" s="495">
        <v>2024</v>
      </c>
      <c r="H46" s="496">
        <f>SUMIF(130:130,G46,131:131)-SUMIF(130:130,C46,131:131)+100</f>
        <v>100</v>
      </c>
      <c r="I46" s="495">
        <v>2024</v>
      </c>
      <c r="J46" s="496">
        <f>SUMIF(130:130,I46,131:131)-SUMIF(130:130,C46,131:131)+100</f>
        <v>100</v>
      </c>
      <c r="K46" s="795"/>
      <c r="L46" s="1750"/>
      <c r="M46" s="1743"/>
      <c r="N46" s="1743"/>
      <c r="O46" s="1749"/>
      <c r="P46" s="3720"/>
      <c r="Q46" s="1307">
        <f t="shared" si="8"/>
        <v>111</v>
      </c>
      <c r="R46" s="1308" t="s">
        <v>7</v>
      </c>
      <c r="S46" s="1309">
        <f t="shared" si="9"/>
        <v>100</v>
      </c>
      <c r="T46" s="1308" t="s">
        <v>7</v>
      </c>
      <c r="U46" s="1309">
        <f t="shared" si="10"/>
        <v>100</v>
      </c>
      <c r="V46" s="1308" t="s">
        <v>7</v>
      </c>
      <c r="W46" s="1309">
        <f t="shared" si="11"/>
        <v>100</v>
      </c>
      <c r="X46" s="1303"/>
      <c r="Y46" s="3720"/>
      <c r="Z46" s="1310">
        <f t="shared" si="12"/>
        <v>111</v>
      </c>
      <c r="AA46" s="1310">
        <f t="shared" si="3"/>
        <v>1</v>
      </c>
      <c r="AB46" s="1310">
        <f t="shared" si="4"/>
        <v>1</v>
      </c>
      <c r="AC46" s="1310">
        <f t="shared" si="5"/>
        <v>1</v>
      </c>
    </row>
    <row r="47" spans="1:29" ht="14.4">
      <c r="A47" s="556" t="s">
        <v>683</v>
      </c>
      <c r="B47" s="812"/>
      <c r="C47" s="2082" t="s">
        <v>6</v>
      </c>
      <c r="D47" s="559"/>
      <c r="E47" s="560">
        <v>9504</v>
      </c>
      <c r="F47" s="561"/>
      <c r="G47" s="562">
        <v>9782</v>
      </c>
      <c r="H47" s="563"/>
      <c r="I47" s="560">
        <v>9218</v>
      </c>
      <c r="J47" s="563"/>
      <c r="K47" s="1332"/>
      <c r="L47" s="1752"/>
      <c r="M47" s="1743"/>
      <c r="N47" s="1743"/>
      <c r="O47" s="1743"/>
      <c r="P47" s="3596" t="str">
        <f>A47</f>
        <v>成交单价（元/平方米）</v>
      </c>
      <c r="Q47" s="3596"/>
      <c r="R47" s="3597">
        <f>E47</f>
        <v>9504</v>
      </c>
      <c r="S47" s="3597"/>
      <c r="T47" s="3597">
        <f>G47</f>
        <v>9782</v>
      </c>
      <c r="U47" s="3597"/>
      <c r="V47" s="3597">
        <f>I47</f>
        <v>9218</v>
      </c>
      <c r="W47" s="3597"/>
      <c r="X47" s="799"/>
      <c r="Y47" s="1315"/>
      <c r="Z47" s="799"/>
      <c r="AA47" s="799"/>
      <c r="AB47" s="799"/>
      <c r="AC47" s="799"/>
    </row>
    <row r="48" spans="1:29" ht="15" thickBot="1">
      <c r="A48" s="564" t="s">
        <v>2042</v>
      </c>
      <c r="B48" s="813"/>
      <c r="C48" s="2083">
        <f>R49</f>
        <v>8677</v>
      </c>
      <c r="D48" s="2550" t="s">
        <v>2261</v>
      </c>
      <c r="E48" s="2084">
        <f>R48</f>
        <v>8797</v>
      </c>
      <c r="F48" s="2551"/>
      <c r="G48" s="2083">
        <f>T48</f>
        <v>8873</v>
      </c>
      <c r="H48" s="2551"/>
      <c r="I48" s="2084">
        <f>V48</f>
        <v>8362</v>
      </c>
      <c r="J48" s="2551"/>
      <c r="K48" s="2558">
        <f>F48+H48+J48</f>
        <v>0</v>
      </c>
      <c r="L48" s="1752"/>
      <c r="M48" s="1743"/>
      <c r="N48" s="1743"/>
      <c r="O48" s="1743"/>
      <c r="P48" s="3596" t="str">
        <f>A48</f>
        <v>比较价格（元/平方米）</v>
      </c>
      <c r="Q48" s="3596"/>
      <c r="R48" s="3597">
        <f>IF(F1="售价",ROUND(PRODUCT(R47,AA7:AA46),0),ROUND(PRODUCT(R47,AA7:AA46),1))</f>
        <v>8797</v>
      </c>
      <c r="S48" s="3597"/>
      <c r="T48" s="3597">
        <f>IF(F1="售价",ROUND(PRODUCT(T47,AB7:AB46),0),ROUND(PRODUCT(T47,AB7:AB46),1))</f>
        <v>8873</v>
      </c>
      <c r="U48" s="3597"/>
      <c r="V48" s="3597">
        <f>IF(F1="售价",ROUND(PRODUCT(V47,AC7:AC46),0),ROUND(PRODUCT(V47,AC7:AC46),1))</f>
        <v>8362</v>
      </c>
      <c r="W48" s="3597"/>
      <c r="X48" s="799"/>
      <c r="Y48" s="799"/>
      <c r="Z48" s="799"/>
      <c r="AA48" s="799"/>
      <c r="AB48" s="799"/>
      <c r="AC48" s="799"/>
    </row>
    <row r="49" spans="1:29" ht="15" thickBot="1">
      <c r="A49" s="568" t="s">
        <v>2198</v>
      </c>
      <c r="B49" s="569"/>
      <c r="C49" s="469">
        <f>R49</f>
        <v>8677</v>
      </c>
      <c r="D49" s="469"/>
      <c r="E49" s="469"/>
      <c r="F49" s="469"/>
      <c r="G49" s="469"/>
      <c r="H49" s="469"/>
      <c r="I49" s="469"/>
      <c r="J49" s="469"/>
      <c r="K49" s="1333"/>
      <c r="L49" s="1752"/>
      <c r="M49" s="1743"/>
      <c r="N49" s="1743"/>
      <c r="O49" s="1743"/>
      <c r="P49" s="3633" t="str">
        <f>A49</f>
        <v>估价对象XX用房的比较价格（楼面单价，元/平方米）</v>
      </c>
      <c r="Q49" s="3634"/>
      <c r="R49" s="3719">
        <f>IF(F1="售价",ROUND(IF(D48="简单平均",AVERAGE(R48:V48),R48*F48+T48*H48+V48*J48),0),ROUND(IF(D48="简单平均",AVERAGE(R48:V48),R48*F48+T48*H48+V48*J48),1))</f>
        <v>8677</v>
      </c>
      <c r="S49" s="3719"/>
      <c r="T49" s="3719"/>
      <c r="U49" s="3719"/>
      <c r="V49" s="3719"/>
      <c r="W49" s="3719"/>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f>IF(E47&lt;E48,E48/E47-1,E47/E48-1)</f>
        <v>8.0368307377514991E-2</v>
      </c>
      <c r="F52" s="574" t="str">
        <f>IF(OR(E52&gt;=0.3,E52&lt;=-0.3),"超过30%","")</f>
        <v/>
      </c>
      <c r="G52" s="573">
        <f>IF(G47&lt;G48,G48/G47-1,G47/G48-1)</f>
        <v>0.10244562154851788</v>
      </c>
      <c r="H52" s="574" t="str">
        <f>IF(OR(G52&gt;=0.3,G52&lt;=-0.3),"超过30%","")</f>
        <v/>
      </c>
      <c r="I52" s="573">
        <f>IF(I47&lt;I48,I48/I47-1,I47/I48-1)</f>
        <v>0.102367854580244</v>
      </c>
      <c r="J52" s="574" t="str">
        <f>IF(OR(I52&gt;=0.3,I52&lt;=-0.3),"超过30%","")</f>
        <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f>IF(E48&lt;G48,G48/E48-1,E48/G48-1)</f>
        <v>8.6393088552916275E-3</v>
      </c>
      <c r="F53" s="574" t="str">
        <f>IF(OR(E53&gt;=0.2,E53&lt;=-0.2),"超过20%","")</f>
        <v/>
      </c>
      <c r="G53" s="573">
        <f>IF(G48&lt;I48,I48/G48-1,G48/I48-1)</f>
        <v>6.1109782348720332E-2</v>
      </c>
      <c r="H53" s="574" t="str">
        <f>IF(OR(G53&gt;=0.2,G53&lt;=-0.2),"超过20%","")</f>
        <v/>
      </c>
      <c r="I53" s="573">
        <f>IF(I48&lt;E48,E48/I48-1,I48/E48-1)</f>
        <v>5.2021047596268799E-2</v>
      </c>
      <c r="J53" s="574" t="str">
        <f>IF(OR(I53&gt;=0.2,I53&lt;=-0.2),"超过20%","")</f>
        <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f>IF(E47&lt;G47,G47/E47-1,E47/G47-1)</f>
        <v>2.9250841750841694E-2</v>
      </c>
      <c r="F54" s="574" t="str">
        <f>IF(OR(E54&gt;=0.3,E54&lt;=-0.3),"超过30%","")</f>
        <v/>
      </c>
      <c r="G54" s="573">
        <f>IF(G47&lt;I47,I47/G47-1,G47/I47-1)</f>
        <v>6.1184638750271247E-2</v>
      </c>
      <c r="H54" s="574" t="str">
        <f>IF(OR(G54&gt;=0.3,G54&lt;=-0.3),"超过30%","")</f>
        <v/>
      </c>
      <c r="I54" s="573">
        <f>IF(I47&lt;E47,E47/I47-1,I47/E47-1)</f>
        <v>3.1026252983293645E-2</v>
      </c>
      <c r="J54" s="574" t="str">
        <f>IF(OR(I54&gt;=0.3,I54&lt;=-0.3),"超过30%","")</f>
        <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6" t="str">
        <f>YEAR(C7)&amp;"-"&amp;MONTH(C7)</f>
        <v>2025-3</v>
      </c>
      <c r="D58" s="2116">
        <f>EDATE(C58,-1)</f>
        <v>45689</v>
      </c>
      <c r="E58" s="2116">
        <f t="shared" ref="E58:O58" si="13">EDATE(D58,-1)</f>
        <v>45658</v>
      </c>
      <c r="F58" s="2116">
        <f t="shared" si="13"/>
        <v>45627</v>
      </c>
      <c r="G58" s="2116">
        <f t="shared" si="13"/>
        <v>45597</v>
      </c>
      <c r="H58" s="2116">
        <f t="shared" si="13"/>
        <v>45566</v>
      </c>
      <c r="I58" s="2116">
        <f t="shared" si="13"/>
        <v>45536</v>
      </c>
      <c r="J58" s="2116">
        <f t="shared" si="13"/>
        <v>45505</v>
      </c>
      <c r="K58" s="2116">
        <f t="shared" si="13"/>
        <v>45474</v>
      </c>
      <c r="L58" s="2116">
        <f t="shared" si="13"/>
        <v>45444</v>
      </c>
      <c r="M58" s="2116">
        <f t="shared" si="13"/>
        <v>45413</v>
      </c>
      <c r="N58" s="2116">
        <f t="shared" si="13"/>
        <v>45383</v>
      </c>
      <c r="O58" s="2116">
        <f t="shared" si="13"/>
        <v>45352</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v>100</v>
      </c>
      <c r="E59" s="596">
        <v>100</v>
      </c>
      <c r="F59" s="596">
        <v>100</v>
      </c>
      <c r="G59" s="596">
        <v>100</v>
      </c>
      <c r="H59" s="596">
        <v>100</v>
      </c>
      <c r="I59" s="596">
        <v>100</v>
      </c>
      <c r="J59" s="596">
        <v>100</v>
      </c>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ht="14.4">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v>0</v>
      </c>
      <c r="D68" s="491">
        <v>1</v>
      </c>
      <c r="E68" s="491">
        <v>2</v>
      </c>
      <c r="F68" s="491">
        <v>3</v>
      </c>
      <c r="G68" s="491">
        <v>4</v>
      </c>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98</v>
      </c>
      <c r="E81" s="621">
        <f>D81-$K19</f>
        <v>96</v>
      </c>
      <c r="F81" s="621">
        <f>E81-$K19</f>
        <v>94</v>
      </c>
      <c r="G81" s="621">
        <f>F81-$K19</f>
        <v>92</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4.4"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0(含)-100</v>
      </c>
      <c r="D102" s="649" t="str">
        <f t="shared" ref="D102:L102" si="19">D103&amp;"(含)"&amp;"-"&amp;E103</f>
        <v>100(含)-120</v>
      </c>
      <c r="E102" s="649" t="str">
        <f t="shared" si="19"/>
        <v>120(含)-150</v>
      </c>
      <c r="F102" s="649" t="str">
        <f t="shared" si="19"/>
        <v>150(含)-200</v>
      </c>
      <c r="G102" s="649" t="str">
        <f t="shared" si="19"/>
        <v>200(含)-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100</v>
      </c>
      <c r="E103" s="79">
        <v>120</v>
      </c>
      <c r="F103" s="79">
        <v>150</v>
      </c>
      <c r="G103" s="79">
        <v>200</v>
      </c>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9.4"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ht="15.6">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ht="15.6">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6">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6">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6">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6">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6.2"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ht="14.4">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ht="14.4">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2" t="s">
        <v>1429</v>
      </c>
    </row>
    <row r="6" spans="1:4" ht="87">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92580.4平方米。</v>
      </c>
    </row>
    <row r="7" spans="1:4" ht="52.2">
      <c r="A7" s="1493" t="s">
        <v>2029</v>
      </c>
    </row>
    <row r="8" spans="1:4" ht="17.399999999999999">
      <c r="A8" s="1492" t="s">
        <v>1430</v>
      </c>
    </row>
    <row r="9" spans="1:4" ht="87">
      <c r="A9" s="1489"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2025年3月14日</v>
      </c>
    </row>
    <row r="12" spans="1:4" ht="17.399999999999999">
      <c r="A12" s="1494" t="s">
        <v>1543</v>
      </c>
    </row>
    <row r="13" spans="1:4" ht="17.399999999999999">
      <c r="A13" s="1489" t="s">
        <v>2204</v>
      </c>
    </row>
    <row r="14" spans="1:4" ht="34.799999999999997">
      <c r="A14" s="1489" t="str">
        <f>"根据"&amp;项目基本情况!F12&amp;"，本次评估估价对象证载（地类）用途为"&amp;项目基本情况!B12&amp;"。"</f>
        <v>根据《国有土地使用证》[]，本次评估估价对象证载（地类）用途为住宅用地。</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根据《国有土地使用证》[]，估价对象（分摊）出让国有建设用地使用权面积为42082平方米。根据《建设工程规划许可证》[]、《出让合同》[]，估价对象规划建筑面积为92580.4平方米。</v>
      </c>
    </row>
    <row r="21" spans="1:1" ht="17.399999999999999">
      <c r="A21" s="1489" t="s">
        <v>1592</v>
      </c>
    </row>
    <row r="22" spans="1:1" ht="87">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7.399999999999999">
      <c r="A23" s="1489" t="str">
        <f>IF(项目基本情况!A17="出让","本次评估设定估价对象剩余土地使用年限为"&amp;项目基本情况!D20&amp;"。","")</f>
        <v>本次评估设定估价对象剩余土地使用年限为。</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26" spans="1:1" ht="52.2">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9" t="str">
        <f>IF(项目基本情况!B9="市场价格","——",IF(项目基本情况!E9="——","",定义!C57))</f>
        <v/>
      </c>
    </row>
    <row r="29" spans="1:1" ht="17.399999999999999">
      <c r="A29" s="1494" t="s">
        <v>1545</v>
      </c>
    </row>
    <row r="30" spans="1:1" ht="87">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DB56A-83FF-41DD-B6C7-40C5D8FDF15B}">
  <sheetPr>
    <tabColor rgb="FF7030A0"/>
  </sheetPr>
  <dimension ref="A2:BM75"/>
  <sheetViews>
    <sheetView workbookViewId="0">
      <selection activeCell="F10" sqref="F10"/>
    </sheetView>
  </sheetViews>
  <sheetFormatPr defaultRowHeight="14.4"/>
  <cols>
    <col min="1" max="1" width="15.44140625" customWidth="1"/>
    <col min="3" max="4" width="4.109375" customWidth="1"/>
    <col min="6" max="6" width="13.77734375" customWidth="1"/>
    <col min="8" max="9" width="10.5546875" bestFit="1" customWidth="1"/>
    <col min="12" max="15" width="0" hidden="1" customWidth="1"/>
    <col min="24" max="24" width="8.109375" customWidth="1"/>
    <col min="25" max="32" width="0" hidden="1" customWidth="1"/>
    <col min="40" max="42" width="0" hidden="1" customWidth="1"/>
    <col min="44" max="44" width="0" hidden="1" customWidth="1"/>
    <col min="46" max="46" width="0" hidden="1" customWidth="1"/>
    <col min="48" max="48" width="0" hidden="1" customWidth="1"/>
    <col min="50" max="50" width="0" hidden="1" customWidth="1"/>
  </cols>
  <sheetData>
    <row r="2" spans="1:2">
      <c r="A2" s="2749" t="s">
        <v>2213</v>
      </c>
      <c r="B2">
        <v>34335</v>
      </c>
    </row>
    <row r="3" spans="1:2">
      <c r="A3" s="2749" t="s">
        <v>3324</v>
      </c>
      <c r="B3">
        <v>2.8</v>
      </c>
    </row>
    <row r="4" spans="1:2">
      <c r="A4" s="2749" t="s">
        <v>3325</v>
      </c>
      <c r="B4">
        <f>B2*B3</f>
        <v>96138</v>
      </c>
    </row>
    <row r="5" spans="1:2">
      <c r="A5" s="2749" t="s">
        <v>3326</v>
      </c>
      <c r="B5" s="3401">
        <v>0.3</v>
      </c>
    </row>
    <row r="6" spans="1:2">
      <c r="A6" s="2749" t="s">
        <v>3327</v>
      </c>
      <c r="B6">
        <f>B4*B5</f>
        <v>28841.399999999998</v>
      </c>
    </row>
    <row r="7" spans="1:2">
      <c r="A7" s="2749" t="s">
        <v>3328</v>
      </c>
      <c r="B7">
        <f>B4-B6</f>
        <v>67296.600000000006</v>
      </c>
    </row>
    <row r="8" spans="1:2">
      <c r="A8" s="2749" t="s">
        <v>3330</v>
      </c>
      <c r="B8" s="3401">
        <v>0.3</v>
      </c>
    </row>
    <row r="9" spans="1:2">
      <c r="A9" s="2749" t="s">
        <v>3331</v>
      </c>
      <c r="B9" s="3401">
        <v>0.3</v>
      </c>
    </row>
    <row r="10" spans="1:2">
      <c r="A10" s="2749" t="s">
        <v>3332</v>
      </c>
      <c r="B10" s="2749" t="s">
        <v>3333</v>
      </c>
    </row>
    <row r="13" spans="1:2">
      <c r="A13" s="3738" t="s">
        <v>3519</v>
      </c>
      <c r="B13" s="3739">
        <v>42082</v>
      </c>
    </row>
    <row r="14" spans="1:2">
      <c r="A14" s="3738" t="s">
        <v>3520</v>
      </c>
      <c r="B14" s="3739">
        <v>2.2000000000000002</v>
      </c>
    </row>
    <row r="15" spans="1:2">
      <c r="A15" s="3738" t="s">
        <v>3521</v>
      </c>
      <c r="B15" s="3739">
        <f>B13*B14</f>
        <v>92580.400000000009</v>
      </c>
    </row>
    <row r="16" spans="1:2">
      <c r="A16" s="3738" t="s">
        <v>3330</v>
      </c>
      <c r="B16" s="3740">
        <v>0.22</v>
      </c>
    </row>
    <row r="17" spans="1:65">
      <c r="A17" s="3738" t="s">
        <v>3331</v>
      </c>
      <c r="B17" s="3740">
        <v>0.35</v>
      </c>
    </row>
    <row r="18" spans="1:65">
      <c r="A18" s="3738" t="s">
        <v>3332</v>
      </c>
      <c r="B18" s="3738" t="s">
        <v>3522</v>
      </c>
    </row>
    <row r="25" spans="1:65" s="2235" customFormat="1">
      <c r="A25" s="2235" t="s">
        <v>3340</v>
      </c>
      <c r="B25" s="2235" t="s">
        <v>3341</v>
      </c>
      <c r="C25" s="2235" t="s">
        <v>3342</v>
      </c>
      <c r="D25" s="2235" t="s">
        <v>3343</v>
      </c>
      <c r="E25" s="2235" t="s">
        <v>3344</v>
      </c>
      <c r="F25" s="2235" t="s">
        <v>3345</v>
      </c>
      <c r="G25" s="2235" t="s">
        <v>3346</v>
      </c>
      <c r="H25" s="2235" t="s">
        <v>3347</v>
      </c>
      <c r="I25" s="2235" t="s">
        <v>3348</v>
      </c>
      <c r="J25" s="2235" t="s">
        <v>3349</v>
      </c>
      <c r="K25" s="2235" t="s">
        <v>3350</v>
      </c>
      <c r="L25" s="2235" t="s">
        <v>3351</v>
      </c>
      <c r="M25" s="2235" t="s">
        <v>3352</v>
      </c>
      <c r="N25" s="2235" t="s">
        <v>3353</v>
      </c>
      <c r="O25" s="2235" t="s">
        <v>3354</v>
      </c>
      <c r="P25" s="2235" t="s">
        <v>3355</v>
      </c>
      <c r="Q25" s="2235" t="s">
        <v>3356</v>
      </c>
      <c r="R25" s="2235" t="s">
        <v>3357</v>
      </c>
      <c r="S25" s="2235" t="s">
        <v>3358</v>
      </c>
      <c r="T25" s="2235" t="s">
        <v>1550</v>
      </c>
      <c r="U25" s="2235" t="s">
        <v>3359</v>
      </c>
      <c r="V25" s="2235" t="s">
        <v>3329</v>
      </c>
      <c r="W25" s="2235" t="s">
        <v>3360</v>
      </c>
      <c r="X25" s="2235" t="s">
        <v>3361</v>
      </c>
      <c r="Y25" s="2235" t="s">
        <v>3362</v>
      </c>
      <c r="Z25" s="2235" t="s">
        <v>3363</v>
      </c>
      <c r="AA25" s="2235" t="s">
        <v>3364</v>
      </c>
      <c r="AB25" s="2235" t="s">
        <v>3365</v>
      </c>
      <c r="AC25" s="2235" t="s">
        <v>3366</v>
      </c>
      <c r="AD25" s="2235" t="s">
        <v>3367</v>
      </c>
      <c r="AE25" s="2235" t="s">
        <v>3368</v>
      </c>
      <c r="AF25" s="2235" t="s">
        <v>3369</v>
      </c>
      <c r="AG25" s="2235" t="s">
        <v>3370</v>
      </c>
      <c r="AH25" s="2235" t="s">
        <v>3371</v>
      </c>
      <c r="AI25" s="2235" t="s">
        <v>3372</v>
      </c>
      <c r="AJ25" s="2235" t="s">
        <v>3373</v>
      </c>
      <c r="AK25" s="2235" t="s">
        <v>3374</v>
      </c>
      <c r="AL25" s="2235" t="s">
        <v>3375</v>
      </c>
      <c r="AM25" s="2235" t="s">
        <v>3376</v>
      </c>
      <c r="AN25" s="2235" t="s">
        <v>3377</v>
      </c>
      <c r="AO25" s="2235" t="s">
        <v>3378</v>
      </c>
      <c r="AP25" s="2235" t="s">
        <v>3379</v>
      </c>
      <c r="AQ25" s="2235" t="s">
        <v>3380</v>
      </c>
      <c r="AR25" s="2235" t="s">
        <v>3381</v>
      </c>
      <c r="AS25" s="2235" t="s">
        <v>3382</v>
      </c>
      <c r="AT25" s="2235" t="s">
        <v>3383</v>
      </c>
      <c r="AU25" s="2235" t="s">
        <v>3384</v>
      </c>
      <c r="AV25" s="2235" t="s">
        <v>3385</v>
      </c>
      <c r="AW25" s="2235" t="s">
        <v>3386</v>
      </c>
      <c r="AX25" s="2235" t="s">
        <v>3387</v>
      </c>
      <c r="AY25" s="2235" t="s">
        <v>3388</v>
      </c>
      <c r="AZ25" s="2235" t="s">
        <v>3389</v>
      </c>
      <c r="BA25" s="2235" t="s">
        <v>3390</v>
      </c>
      <c r="BB25" s="2235" t="s">
        <v>3391</v>
      </c>
      <c r="BC25" s="2235" t="s">
        <v>3392</v>
      </c>
      <c r="BD25" s="2235" t="s">
        <v>3393</v>
      </c>
      <c r="BE25" s="2235" t="s">
        <v>3394</v>
      </c>
      <c r="BF25" s="2235" t="s">
        <v>3395</v>
      </c>
      <c r="BG25" s="2235" t="s">
        <v>3396</v>
      </c>
      <c r="BH25" s="2235" t="s">
        <v>3397</v>
      </c>
      <c r="BI25" s="2235" t="s">
        <v>3398</v>
      </c>
      <c r="BJ25" s="2235" t="s">
        <v>3399</v>
      </c>
      <c r="BK25" s="2235" t="s">
        <v>3400</v>
      </c>
      <c r="BL25" s="2235" t="s">
        <v>3401</v>
      </c>
      <c r="BM25" s="2235" t="s">
        <v>3402</v>
      </c>
    </row>
    <row r="26" spans="1:65" s="3404" customFormat="1">
      <c r="A26" s="3404" t="s">
        <v>3403</v>
      </c>
      <c r="B26" s="2235" t="s">
        <v>3404</v>
      </c>
      <c r="C26" s="2235" t="s">
        <v>3405</v>
      </c>
      <c r="D26" s="3404" t="s">
        <v>3406</v>
      </c>
      <c r="E26" s="3404" t="s">
        <v>3407</v>
      </c>
      <c r="F26" s="3404" t="s">
        <v>3408</v>
      </c>
      <c r="G26" s="3411" t="s">
        <v>3479</v>
      </c>
      <c r="H26" s="3404" t="s">
        <v>3409</v>
      </c>
      <c r="I26" s="3404">
        <v>25910</v>
      </c>
      <c r="J26" s="3404">
        <v>75139</v>
      </c>
      <c r="K26" s="3404">
        <v>2.9</v>
      </c>
      <c r="L26" s="2235">
        <v>0</v>
      </c>
      <c r="M26" s="2235">
        <v>0</v>
      </c>
      <c r="N26" s="2235">
        <v>0</v>
      </c>
      <c r="O26" s="2235">
        <v>0</v>
      </c>
      <c r="P26" s="3404" t="s">
        <v>3410</v>
      </c>
      <c r="Q26" s="3404" t="s">
        <v>3411</v>
      </c>
      <c r="R26" s="3404" t="s">
        <v>3412</v>
      </c>
      <c r="S26" s="3404" t="s">
        <v>3413</v>
      </c>
      <c r="T26" s="3404" t="s">
        <v>3414</v>
      </c>
      <c r="U26" s="3404">
        <v>5</v>
      </c>
      <c r="V26" s="3404" t="s">
        <v>3415</v>
      </c>
      <c r="W26" s="3404" t="s">
        <v>3416</v>
      </c>
      <c r="X26" s="3404" t="s">
        <v>3417</v>
      </c>
      <c r="Y26" s="2235" t="s">
        <v>3418</v>
      </c>
      <c r="Z26" s="2235" t="s">
        <v>3418</v>
      </c>
      <c r="AA26" s="2235" t="s">
        <v>3418</v>
      </c>
      <c r="AB26" s="2235" t="s">
        <v>3418</v>
      </c>
      <c r="AC26" s="2235" t="s">
        <v>3418</v>
      </c>
      <c r="AD26" s="2235" t="s">
        <v>3419</v>
      </c>
      <c r="AE26" s="2235" t="s">
        <v>3420</v>
      </c>
      <c r="AF26" s="2235" t="s">
        <v>3421</v>
      </c>
      <c r="AG26" s="3404" t="s">
        <v>3421</v>
      </c>
      <c r="AH26" s="3404" t="s">
        <v>3422</v>
      </c>
      <c r="AI26" s="3404" t="s">
        <v>3423</v>
      </c>
      <c r="AJ26" s="3404" t="s">
        <v>3319</v>
      </c>
      <c r="AK26" s="3404" t="s">
        <v>3424</v>
      </c>
      <c r="AL26" s="3404" t="s">
        <v>3425</v>
      </c>
      <c r="AM26" s="3404" t="s">
        <v>3426</v>
      </c>
      <c r="AN26" s="2235">
        <v>43000</v>
      </c>
      <c r="AO26" s="2235">
        <v>8600</v>
      </c>
      <c r="AP26" s="2235" t="s">
        <v>3427</v>
      </c>
      <c r="AQ26" s="3404">
        <v>43000</v>
      </c>
      <c r="AR26" s="2235">
        <v>16595.900000000001</v>
      </c>
      <c r="AS26" s="3404">
        <v>16595.900000000001</v>
      </c>
      <c r="AT26" s="2235">
        <v>1106.3900000000001</v>
      </c>
      <c r="AU26" s="3404">
        <v>1106.3900000000001</v>
      </c>
      <c r="AV26" s="2235">
        <v>5723</v>
      </c>
      <c r="AW26" s="3404">
        <v>5723</v>
      </c>
      <c r="AX26" s="3404" t="s">
        <v>3418</v>
      </c>
      <c r="AY26" s="3404" t="s">
        <v>3418</v>
      </c>
      <c r="AZ26" s="3404">
        <v>0</v>
      </c>
      <c r="BA26" s="3404" t="s">
        <v>3418</v>
      </c>
      <c r="BB26" s="3404" t="s">
        <v>3418</v>
      </c>
      <c r="BC26" s="3404" t="s">
        <v>3418</v>
      </c>
      <c r="BD26" s="3404" t="s">
        <v>3418</v>
      </c>
      <c r="BE26" s="3404" t="s">
        <v>3418</v>
      </c>
      <c r="BF26" s="3404" t="s">
        <v>3418</v>
      </c>
      <c r="BG26" s="3404" t="s">
        <v>3418</v>
      </c>
      <c r="BH26" s="3404" t="s">
        <v>3418</v>
      </c>
      <c r="BI26" s="3404" t="s">
        <v>3418</v>
      </c>
      <c r="BJ26" s="3404" t="s">
        <v>3322</v>
      </c>
      <c r="BK26" s="3404" t="s">
        <v>3409</v>
      </c>
      <c r="BL26" s="3405">
        <v>45611.000497685185</v>
      </c>
      <c r="BM26" s="3404">
        <v>21500</v>
      </c>
    </row>
    <row r="27" spans="1:65" s="3404" customFormat="1">
      <c r="A27" s="3404" t="s">
        <v>3428</v>
      </c>
      <c r="B27" s="3404" t="s">
        <v>3404</v>
      </c>
      <c r="C27" s="3404" t="s">
        <v>3405</v>
      </c>
      <c r="D27" s="3404" t="s">
        <v>3406</v>
      </c>
      <c r="E27" s="3404" t="s">
        <v>3429</v>
      </c>
      <c r="F27" s="3404" t="s">
        <v>3430</v>
      </c>
      <c r="G27" s="3411" t="s">
        <v>3480</v>
      </c>
      <c r="H27" s="3404" t="s">
        <v>3431</v>
      </c>
      <c r="I27" s="3404">
        <v>46214</v>
      </c>
      <c r="J27" s="3404">
        <v>115535</v>
      </c>
      <c r="K27" s="3404">
        <v>2.5</v>
      </c>
      <c r="L27" s="3404">
        <v>0</v>
      </c>
      <c r="M27" s="3404">
        <v>0</v>
      </c>
      <c r="N27" s="3404">
        <v>0</v>
      </c>
      <c r="O27" s="3404">
        <v>0</v>
      </c>
      <c r="P27" s="3404" t="s">
        <v>3432</v>
      </c>
      <c r="Q27" s="3404" t="s">
        <v>3432</v>
      </c>
      <c r="R27" s="3404" t="s">
        <v>3412</v>
      </c>
      <c r="S27" s="3404" t="s">
        <v>3413</v>
      </c>
      <c r="T27" s="3404" t="s">
        <v>3433</v>
      </c>
      <c r="U27" s="3404">
        <v>5</v>
      </c>
      <c r="V27" s="3404" t="s">
        <v>3434</v>
      </c>
      <c r="W27" s="3404" t="s">
        <v>3435</v>
      </c>
      <c r="X27" s="3404" t="s">
        <v>3417</v>
      </c>
      <c r="Y27" s="3404" t="s">
        <v>3418</v>
      </c>
      <c r="Z27" s="3404" t="s">
        <v>3418</v>
      </c>
      <c r="AA27" s="3404" t="s">
        <v>3418</v>
      </c>
      <c r="AB27" s="3404" t="s">
        <v>3418</v>
      </c>
      <c r="AC27" s="3404" t="s">
        <v>3418</v>
      </c>
      <c r="AD27" s="3404" t="s">
        <v>3436</v>
      </c>
      <c r="AE27" s="3404" t="s">
        <v>3437</v>
      </c>
      <c r="AF27" s="3404" t="s">
        <v>3438</v>
      </c>
      <c r="AG27" s="3404" t="s">
        <v>3438</v>
      </c>
      <c r="AH27" s="3404" t="s">
        <v>3422</v>
      </c>
      <c r="AI27" s="3404" t="s">
        <v>3423</v>
      </c>
      <c r="AJ27" s="3404" t="s">
        <v>3439</v>
      </c>
      <c r="AK27" s="3404" t="s">
        <v>3440</v>
      </c>
      <c r="AL27" s="3404" t="s">
        <v>3425</v>
      </c>
      <c r="AM27" s="3404" t="s">
        <v>3426</v>
      </c>
      <c r="AN27" s="3404">
        <v>70000</v>
      </c>
      <c r="AO27" s="3404">
        <v>14000</v>
      </c>
      <c r="AP27" s="3404" t="s">
        <v>3441</v>
      </c>
      <c r="AQ27" s="3404">
        <v>70000</v>
      </c>
      <c r="AR27" s="3404">
        <v>15146.92</v>
      </c>
      <c r="AS27" s="3404">
        <v>15146.92</v>
      </c>
      <c r="AT27" s="3404">
        <v>1009.8</v>
      </c>
      <c r="AU27" s="3404">
        <v>1009.8</v>
      </c>
      <c r="AV27" s="3404">
        <v>6059</v>
      </c>
      <c r="AW27" s="3404">
        <v>6059</v>
      </c>
      <c r="AX27" s="3404" t="s">
        <v>3418</v>
      </c>
      <c r="AY27" s="3404" t="s">
        <v>3418</v>
      </c>
      <c r="AZ27" s="3404">
        <v>0</v>
      </c>
      <c r="BA27" s="3404" t="s">
        <v>3418</v>
      </c>
      <c r="BB27" s="3404" t="s">
        <v>3418</v>
      </c>
      <c r="BC27" s="3404" t="s">
        <v>3418</v>
      </c>
      <c r="BD27" s="3404" t="s">
        <v>3418</v>
      </c>
      <c r="BE27" s="3404" t="s">
        <v>3418</v>
      </c>
      <c r="BF27" s="3404" t="s">
        <v>3418</v>
      </c>
      <c r="BG27" s="3404" t="s">
        <v>3418</v>
      </c>
      <c r="BH27" s="3404" t="s">
        <v>3418</v>
      </c>
      <c r="BI27" s="3404" t="s">
        <v>3418</v>
      </c>
      <c r="BJ27" s="3404" t="s">
        <v>3442</v>
      </c>
      <c r="BK27" s="3404" t="s">
        <v>3418</v>
      </c>
      <c r="BL27" s="3405">
        <v>45562.000497685185</v>
      </c>
      <c r="BM27" s="3404">
        <v>35000</v>
      </c>
    </row>
    <row r="28" spans="1:65" s="3404" customFormat="1">
      <c r="A28" s="3404" t="s">
        <v>3443</v>
      </c>
      <c r="B28" s="2235" t="s">
        <v>3404</v>
      </c>
      <c r="C28" s="2235" t="s">
        <v>3405</v>
      </c>
      <c r="D28" s="3404" t="s">
        <v>3406</v>
      </c>
      <c r="E28" s="3404" t="s">
        <v>3444</v>
      </c>
      <c r="F28" s="3404" t="s">
        <v>3445</v>
      </c>
      <c r="G28" s="3411" t="s">
        <v>3481</v>
      </c>
      <c r="H28" s="3404" t="s">
        <v>3446</v>
      </c>
      <c r="I28" s="3404">
        <v>208984</v>
      </c>
      <c r="J28" s="3404">
        <v>459764.8</v>
      </c>
      <c r="K28" s="3404">
        <v>2.2000000000000002</v>
      </c>
      <c r="L28" s="2235" t="s">
        <v>3418</v>
      </c>
      <c r="M28" s="2235" t="s">
        <v>3418</v>
      </c>
      <c r="N28" s="2235">
        <v>0</v>
      </c>
      <c r="O28" s="2235">
        <v>0</v>
      </c>
      <c r="P28" s="3404" t="s">
        <v>3432</v>
      </c>
      <c r="Q28" s="3404" t="s">
        <v>3447</v>
      </c>
      <c r="R28" s="3404" t="s">
        <v>3412</v>
      </c>
      <c r="S28" s="3404" t="s">
        <v>3448</v>
      </c>
      <c r="T28" s="3404" t="s">
        <v>3449</v>
      </c>
      <c r="U28" s="3404">
        <v>20</v>
      </c>
      <c r="V28" s="3404" t="s">
        <v>3450</v>
      </c>
      <c r="W28" s="3404" t="s">
        <v>3451</v>
      </c>
      <c r="X28" s="3404" t="s">
        <v>3417</v>
      </c>
      <c r="Y28" s="2235" t="s">
        <v>3418</v>
      </c>
      <c r="Z28" s="2235" t="s">
        <v>3418</v>
      </c>
      <c r="AA28" s="2235" t="s">
        <v>3418</v>
      </c>
      <c r="AB28" s="2235" t="s">
        <v>3418</v>
      </c>
      <c r="AC28" s="2235" t="s">
        <v>3418</v>
      </c>
      <c r="AD28" s="2235" t="s">
        <v>3452</v>
      </c>
      <c r="AE28" s="2235" t="s">
        <v>3453</v>
      </c>
      <c r="AF28" s="2235" t="s">
        <v>3454</v>
      </c>
      <c r="AG28" s="3404" t="s">
        <v>3454</v>
      </c>
      <c r="AH28" s="3404" t="s">
        <v>3422</v>
      </c>
      <c r="AI28" s="3404" t="s">
        <v>3423</v>
      </c>
      <c r="AJ28" s="3404" t="s">
        <v>3455</v>
      </c>
      <c r="AK28" s="3404" t="s">
        <v>3456</v>
      </c>
      <c r="AL28" s="3404" t="s">
        <v>3425</v>
      </c>
      <c r="AM28" s="3404" t="s">
        <v>3426</v>
      </c>
      <c r="AN28" s="2235">
        <v>270000</v>
      </c>
      <c r="AO28" s="2235">
        <v>54000</v>
      </c>
      <c r="AP28" s="2235" t="s">
        <v>3457</v>
      </c>
      <c r="AQ28" s="3404">
        <v>270000</v>
      </c>
      <c r="AR28" s="2235">
        <v>12919.64</v>
      </c>
      <c r="AS28" s="3404">
        <v>12919.64</v>
      </c>
      <c r="AT28" s="2235">
        <v>861.31</v>
      </c>
      <c r="AU28" s="3404">
        <v>861.31</v>
      </c>
      <c r="AV28" s="2235">
        <v>5873</v>
      </c>
      <c r="AW28" s="3404">
        <v>5873</v>
      </c>
      <c r="AX28" s="3404" t="s">
        <v>3418</v>
      </c>
      <c r="AY28" s="3404" t="s">
        <v>3418</v>
      </c>
      <c r="AZ28" s="3404">
        <v>0</v>
      </c>
      <c r="BA28" s="3404" t="s">
        <v>3418</v>
      </c>
      <c r="BB28" s="3404" t="s">
        <v>3418</v>
      </c>
      <c r="BC28" s="3404" t="s">
        <v>3418</v>
      </c>
      <c r="BD28" s="3404" t="s">
        <v>3418</v>
      </c>
      <c r="BE28" s="3404" t="s">
        <v>3418</v>
      </c>
      <c r="BF28" s="3404" t="s">
        <v>3418</v>
      </c>
      <c r="BG28" s="3404" t="s">
        <v>3418</v>
      </c>
      <c r="BH28" s="3404" t="s">
        <v>3418</v>
      </c>
      <c r="BI28" s="3404" t="s">
        <v>3418</v>
      </c>
      <c r="BJ28" s="3404" t="s">
        <v>3442</v>
      </c>
      <c r="BK28" s="3404" t="s">
        <v>3418</v>
      </c>
      <c r="BL28" s="3405">
        <v>45290.000497685185</v>
      </c>
      <c r="BM28" s="3404">
        <v>270000</v>
      </c>
    </row>
    <row r="51" spans="4:11">
      <c r="F51" s="2749"/>
      <c r="G51" s="2749"/>
    </row>
    <row r="52" spans="4:11">
      <c r="F52">
        <v>30000</v>
      </c>
      <c r="G52">
        <v>10000</v>
      </c>
      <c r="H52">
        <v>7500</v>
      </c>
      <c r="I52">
        <v>30000</v>
      </c>
      <c r="J52">
        <f>J55*F52/I55</f>
        <v>126.31578947368421</v>
      </c>
    </row>
    <row r="53" spans="4:11">
      <c r="H53">
        <v>2500</v>
      </c>
      <c r="I53">
        <v>5000</v>
      </c>
    </row>
    <row r="54" spans="4:11">
      <c r="I54">
        <f>H52*I52+H53*I53</f>
        <v>237500000</v>
      </c>
    </row>
    <row r="55" spans="4:11">
      <c r="I55">
        <f>I54/10000</f>
        <v>23750</v>
      </c>
      <c r="J55">
        <v>100</v>
      </c>
      <c r="K55">
        <f>J55*F52/I55</f>
        <v>126.31578947368421</v>
      </c>
    </row>
    <row r="60" spans="4:11">
      <c r="G60" t="s">
        <v>3512</v>
      </c>
      <c r="H60" s="2749" t="s">
        <v>3511</v>
      </c>
      <c r="I60" s="2749" t="s">
        <v>3518</v>
      </c>
    </row>
    <row r="61" spans="4:11">
      <c r="D61" s="2749"/>
      <c r="E61">
        <v>40000</v>
      </c>
      <c r="F61" s="2749" t="s">
        <v>3508</v>
      </c>
      <c r="G61">
        <v>40000</v>
      </c>
      <c r="H61">
        <v>7500</v>
      </c>
      <c r="I61">
        <f>G61*H61</f>
        <v>300000000</v>
      </c>
      <c r="J61">
        <f>J64*E61/I64</f>
        <v>114.28571428571429</v>
      </c>
    </row>
    <row r="62" spans="4:11">
      <c r="F62" s="2749" t="s">
        <v>3509</v>
      </c>
      <c r="G62">
        <v>20000</v>
      </c>
      <c r="H62">
        <v>2500</v>
      </c>
      <c r="I62">
        <f>G62*H62</f>
        <v>50000000</v>
      </c>
    </row>
    <row r="63" spans="4:11">
      <c r="H63">
        <f>SUM(H61:H62)</f>
        <v>10000</v>
      </c>
      <c r="I63">
        <f>I61+I62</f>
        <v>350000000</v>
      </c>
    </row>
    <row r="64" spans="4:11">
      <c r="I64">
        <f>I63/10000</f>
        <v>35000</v>
      </c>
      <c r="J64">
        <v>100</v>
      </c>
    </row>
    <row r="70" spans="6:17">
      <c r="F70" s="2749" t="s">
        <v>3507</v>
      </c>
      <c r="G70">
        <v>0</v>
      </c>
      <c r="H70" s="3401">
        <v>0.1</v>
      </c>
      <c r="I70" s="3401">
        <v>0.2</v>
      </c>
      <c r="J70" s="3401">
        <v>0.3</v>
      </c>
    </row>
    <row r="71" spans="6:17">
      <c r="F71" s="2749" t="s">
        <v>3508</v>
      </c>
      <c r="G71">
        <f>H63*G61/10000</f>
        <v>40000</v>
      </c>
      <c r="H71">
        <f>H63*(1-10%)*G61/10000</f>
        <v>36000</v>
      </c>
      <c r="I71">
        <f>H63*(1-I70)*G61/10000</f>
        <v>32000</v>
      </c>
      <c r="J71">
        <f>H63*(1-J70)*G61/10000</f>
        <v>28000</v>
      </c>
    </row>
    <row r="72" spans="6:17">
      <c r="F72" s="2749" t="s">
        <v>3509</v>
      </c>
      <c r="H72">
        <f>H63*H62*H70/10000</f>
        <v>250</v>
      </c>
      <c r="I72">
        <f>H62*I70*G62/10000</f>
        <v>1000</v>
      </c>
      <c r="J72">
        <f>H62*J70*G62/10000</f>
        <v>1500</v>
      </c>
    </row>
    <row r="73" spans="6:17">
      <c r="F73" s="2749" t="s">
        <v>3510</v>
      </c>
      <c r="G73">
        <f>SUM(G70:G72)</f>
        <v>40000</v>
      </c>
      <c r="H73">
        <f>SUM(H71:H72)</f>
        <v>36250</v>
      </c>
      <c r="I73">
        <f>SUM(I71:I72)</f>
        <v>33000</v>
      </c>
      <c r="J73">
        <f>SUM(J71:J72)</f>
        <v>29500</v>
      </c>
    </row>
    <row r="74" spans="6:17">
      <c r="G74">
        <v>100</v>
      </c>
      <c r="H74">
        <v>100</v>
      </c>
      <c r="I74">
        <v>100</v>
      </c>
      <c r="J74">
        <v>100</v>
      </c>
      <c r="Q74">
        <f>G73-H73</f>
        <v>3750</v>
      </c>
    </row>
    <row r="75" spans="6:17">
      <c r="G75">
        <f>G74*E61/G73</f>
        <v>100</v>
      </c>
      <c r="H75">
        <f>H74*H73/E61</f>
        <v>90.625</v>
      </c>
      <c r="I75">
        <f>I74*I73/E61</f>
        <v>82.5</v>
      </c>
      <c r="J75">
        <f>J74*J73/E61</f>
        <v>73.75</v>
      </c>
      <c r="Q75">
        <f>Q74/G73</f>
        <v>9.375E-2</v>
      </c>
    </row>
  </sheetData>
  <phoneticPr fontId="22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3CD8-3300-4F2F-8A63-3CB440EABB32}">
  <sheetPr>
    <tabColor rgb="FF7030A0"/>
  </sheetPr>
  <dimension ref="A1"/>
  <sheetViews>
    <sheetView topLeftCell="A7" workbookViewId="0">
      <selection activeCell="A65" sqref="A65"/>
    </sheetView>
  </sheetViews>
  <sheetFormatPr defaultRowHeight="14.4"/>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60" zoomScaleNormal="95" workbookViewId="0">
      <selection activeCell="C11" sqref="C11"/>
    </sheetView>
  </sheetViews>
  <sheetFormatPr defaultColWidth="9" defaultRowHeight="13.8"/>
  <cols>
    <col min="1" max="1" width="15.6640625" style="1132" customWidth="1"/>
    <col min="2" max="2" width="15.77734375" style="1132" customWidth="1"/>
    <col min="3" max="3" width="18" style="1132" customWidth="1"/>
    <col min="4" max="4" width="12.21875" style="1132" customWidth="1"/>
    <col min="5" max="5" width="16.109375" style="1132" customWidth="1"/>
    <col min="6" max="6" width="12.21875" style="1132" customWidth="1"/>
    <col min="7" max="7" width="15.6640625" style="1132" customWidth="1"/>
    <col min="8" max="8" width="12.21875" style="1132" customWidth="1"/>
    <col min="9" max="9" width="17.886718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9.21875" style="1132" customWidth="1"/>
    <col min="19"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f>F67</f>
        <v>44318</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4787</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469</v>
      </c>
      <c r="B4" s="397">
        <f>IF(B48="单位面积地价",C50,ROUND(B2*10000/'数据-汇总表'!D3,0))</f>
        <v>10531</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702</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02" t="s">
        <v>471</v>
      </c>
      <c r="D6" s="3603"/>
      <c r="E6" s="3602" t="s">
        <v>472</v>
      </c>
      <c r="F6" s="3603"/>
      <c r="G6" s="3602" t="s">
        <v>473</v>
      </c>
      <c r="H6" s="3603"/>
      <c r="I6" s="3602" t="s">
        <v>474</v>
      </c>
      <c r="J6" s="3603"/>
      <c r="K6" s="465" t="s">
        <v>475</v>
      </c>
      <c r="L6" s="1742"/>
      <c r="M6" s="1741"/>
      <c r="N6" s="1741"/>
      <c r="O6" s="1743"/>
      <c r="P6" s="3604" t="s">
        <v>476</v>
      </c>
      <c r="Q6" s="3605"/>
      <c r="R6" s="3610" t="s">
        <v>472</v>
      </c>
      <c r="S6" s="3611"/>
      <c r="T6" s="3610" t="s">
        <v>473</v>
      </c>
      <c r="U6" s="3611"/>
      <c r="V6" s="3597" t="s">
        <v>474</v>
      </c>
      <c r="W6" s="3597"/>
      <c r="X6" s="1303"/>
      <c r="Y6" s="3610" t="s">
        <v>476</v>
      </c>
      <c r="Z6" s="3611"/>
      <c r="AA6" s="3599" t="s">
        <v>472</v>
      </c>
      <c r="AB6" s="3600" t="s">
        <v>473</v>
      </c>
      <c r="AC6" s="3599" t="s">
        <v>474</v>
      </c>
    </row>
    <row r="7" spans="1:29" ht="21">
      <c r="A7" s="466"/>
      <c r="B7" s="467"/>
      <c r="C7" s="3618" t="s">
        <v>2192</v>
      </c>
      <c r="D7" s="3619"/>
      <c r="E7" s="3618" t="str">
        <f>'信息+土地案例'!A26</f>
        <v>生态文旅区G15地块</v>
      </c>
      <c r="F7" s="3619"/>
      <c r="G7" s="3618" t="str">
        <f>'信息+土地案例'!A27</f>
        <v>淮安区国际商城东侧地块</v>
      </c>
      <c r="H7" s="3619"/>
      <c r="I7" s="3618" t="str">
        <f>'信息+土地案例'!A28</f>
        <v>生态文旅区龙江路北侧地块</v>
      </c>
      <c r="J7" s="3619"/>
      <c r="K7" s="465"/>
      <c r="L7" s="1742"/>
      <c r="M7" s="1741"/>
      <c r="N7" s="1741"/>
      <c r="O7" s="1743"/>
      <c r="P7" s="3606"/>
      <c r="Q7" s="3607"/>
      <c r="R7" s="3612"/>
      <c r="S7" s="3613"/>
      <c r="T7" s="3612"/>
      <c r="U7" s="3613"/>
      <c r="V7" s="3597"/>
      <c r="W7" s="3597"/>
      <c r="X7" s="1303"/>
      <c r="Y7" s="3612"/>
      <c r="Z7" s="3613"/>
      <c r="AA7" s="3600"/>
      <c r="AB7" s="3600"/>
      <c r="AC7" s="3600"/>
    </row>
    <row r="8" spans="1:29" ht="21.6" thickBot="1">
      <c r="A8" s="466"/>
      <c r="B8" s="467"/>
      <c r="C8" s="3620" t="s">
        <v>2196</v>
      </c>
      <c r="D8" s="3621"/>
      <c r="E8" s="3620" t="str">
        <f>'信息+土地案例'!H26</f>
        <v>生态文旅区站前路东侧、淮兴路南侧</v>
      </c>
      <c r="F8" s="3621"/>
      <c r="G8" s="3616" t="str">
        <f>'信息+土地案例'!H27</f>
        <v>淮安区翔宇大道南侧、城西北路西侧</v>
      </c>
      <c r="H8" s="3617"/>
      <c r="I8" s="3616" t="str">
        <f>'信息+土地案例'!H28</f>
        <v>生态文旅区万瑞路西侧、龙江路北侧</v>
      </c>
      <c r="J8" s="3617"/>
      <c r="K8" s="465" t="s">
        <v>477</v>
      </c>
      <c r="L8" s="1742"/>
      <c r="M8" s="1741"/>
      <c r="N8" s="1741"/>
      <c r="O8" s="1743"/>
      <c r="P8" s="3608"/>
      <c r="Q8" s="3609"/>
      <c r="R8" s="3612"/>
      <c r="S8" s="3613"/>
      <c r="T8" s="3614"/>
      <c r="U8" s="3615"/>
      <c r="V8" s="3597"/>
      <c r="W8" s="3597"/>
      <c r="X8" s="1303"/>
      <c r="Y8" s="3614"/>
      <c r="Z8" s="3615"/>
      <c r="AA8" s="3601"/>
      <c r="AB8" s="3601"/>
      <c r="AC8" s="3601"/>
    </row>
    <row r="9" spans="1:29" s="1060" customFormat="1" ht="21.6" thickBot="1">
      <c r="A9" s="2209"/>
      <c r="B9" s="2216" t="s">
        <v>478</v>
      </c>
      <c r="C9" s="2208">
        <f>'数据-取费表'!B2</f>
        <v>45730</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4"/>
      <c r="M9" s="1741"/>
      <c r="N9" s="1741"/>
      <c r="O9" s="1641"/>
      <c r="P9" s="3626" t="s">
        <v>479</v>
      </c>
      <c r="Q9" s="3628"/>
      <c r="R9" s="1304" t="s">
        <v>5</v>
      </c>
      <c r="S9" s="1305">
        <f t="shared" ref="S9:S17" si="0">F9</f>
        <v>100</v>
      </c>
      <c r="T9" s="1304" t="s">
        <v>5</v>
      </c>
      <c r="U9" s="1305">
        <f t="shared" ref="U9:U17" si="1">H9</f>
        <v>100</v>
      </c>
      <c r="V9" s="1304" t="s">
        <v>5</v>
      </c>
      <c r="W9" s="1305">
        <f t="shared" ref="W9:W17" si="2">J9</f>
        <v>100</v>
      </c>
      <c r="X9" s="1306"/>
      <c r="Y9" s="3626" t="s">
        <v>479</v>
      </c>
      <c r="Z9" s="3627"/>
      <c r="AA9" s="997">
        <f>D9/F9</f>
        <v>1</v>
      </c>
      <c r="AB9" s="997">
        <f>D9/H9</f>
        <v>1</v>
      </c>
      <c r="AC9" s="997">
        <f>D9/J9</f>
        <v>1</v>
      </c>
    </row>
    <row r="10" spans="1:29" s="1060" customFormat="1" ht="21.6" thickBot="1">
      <c r="A10" s="2210"/>
      <c r="B10" s="2217" t="s">
        <v>480</v>
      </c>
      <c r="C10" s="790" t="s">
        <v>481</v>
      </c>
      <c r="D10" s="471">
        <v>100</v>
      </c>
      <c r="E10" s="475" t="s">
        <v>3458</v>
      </c>
      <c r="F10" s="473">
        <f>SUMIF(74:74,E10,75:75)-SUMIF(74:74,C10,75:75)+100</f>
        <v>100</v>
      </c>
      <c r="G10" s="475" t="s">
        <v>3458</v>
      </c>
      <c r="H10" s="471">
        <f>SUMIF(74:74,G10,75:75)-SUMIF(74:74,C10,75:75)+100</f>
        <v>100</v>
      </c>
      <c r="I10" s="475" t="s">
        <v>3458</v>
      </c>
      <c r="J10" s="471">
        <f>SUMIF(74:74,I10,75:75)-SUMIF(74:74,C10,75:75)+100</f>
        <v>100</v>
      </c>
      <c r="K10" s="88"/>
      <c r="L10" s="1744"/>
      <c r="M10" s="1741"/>
      <c r="N10" s="1741"/>
      <c r="O10" s="1641"/>
      <c r="P10" s="3626" t="s">
        <v>482</v>
      </c>
      <c r="Q10" s="3627"/>
      <c r="R10" s="1304" t="s">
        <v>5</v>
      </c>
      <c r="S10" s="1305">
        <f t="shared" si="0"/>
        <v>100</v>
      </c>
      <c r="T10" s="1304" t="s">
        <v>5</v>
      </c>
      <c r="U10" s="1305">
        <f t="shared" si="1"/>
        <v>100</v>
      </c>
      <c r="V10" s="1304" t="s">
        <v>5</v>
      </c>
      <c r="W10" s="1305">
        <f t="shared" si="2"/>
        <v>100</v>
      </c>
      <c r="X10" s="1306"/>
      <c r="Y10" s="3626" t="s">
        <v>482</v>
      </c>
      <c r="Z10" s="3627"/>
      <c r="AA10" s="997">
        <f t="shared" ref="AA10:AA47" si="3">D10/F10</f>
        <v>1</v>
      </c>
      <c r="AB10" s="997">
        <f t="shared" ref="AB10:AB47" si="4">D10/H10</f>
        <v>1</v>
      </c>
      <c r="AC10" s="997">
        <f t="shared" ref="AC10:AC47" si="5">D10/J10</f>
        <v>1</v>
      </c>
    </row>
    <row r="11" spans="1:29" s="1060" customFormat="1" ht="21">
      <c r="A11" s="2211"/>
      <c r="B11" s="2218" t="s">
        <v>2038</v>
      </c>
      <c r="C11" s="2206" t="s">
        <v>3459</v>
      </c>
      <c r="D11" s="154">
        <v>100</v>
      </c>
      <c r="E11" s="476" t="s">
        <v>851</v>
      </c>
      <c r="F11" s="154">
        <f>SUMIF(76:76,E11,77:77)-SUMIF(76:76,C11,77:77)+100</f>
        <v>110</v>
      </c>
      <c r="G11" s="476" t="s">
        <v>3459</v>
      </c>
      <c r="H11" s="154">
        <f>SUMIF(76:76,G11,77:77)-SUMIF(76:76,C11,77:77)+100</f>
        <v>100</v>
      </c>
      <c r="I11" s="476" t="s">
        <v>3459</v>
      </c>
      <c r="J11" s="154">
        <f>SUMIF(76:76,I11,77:77)-SUMIF(76:76,C11,77:77)+100</f>
        <v>100</v>
      </c>
      <c r="K11" s="88"/>
      <c r="L11" s="1744"/>
      <c r="M11" s="1741"/>
      <c r="N11" s="1741"/>
      <c r="O11" s="1745"/>
      <c r="P11" s="3596" t="s">
        <v>484</v>
      </c>
      <c r="Q11" s="818" t="str">
        <f t="shared" ref="Q11:Q17" si="6">B11</f>
        <v>用途</v>
      </c>
      <c r="R11" s="1304" t="s">
        <v>5</v>
      </c>
      <c r="S11" s="1305">
        <f t="shared" si="0"/>
        <v>110</v>
      </c>
      <c r="T11" s="1304" t="s">
        <v>5</v>
      </c>
      <c r="U11" s="1305">
        <f t="shared" si="1"/>
        <v>100</v>
      </c>
      <c r="V11" s="1304" t="s">
        <v>5</v>
      </c>
      <c r="W11" s="1305">
        <f t="shared" si="2"/>
        <v>100</v>
      </c>
      <c r="X11" s="1306"/>
      <c r="Y11" s="3540" t="s">
        <v>485</v>
      </c>
      <c r="Z11" s="997" t="str">
        <f t="shared" ref="Z11:Z17" si="7">Q11</f>
        <v>用途</v>
      </c>
      <c r="AA11" s="997">
        <f t="shared" si="3"/>
        <v>0.90909090909090906</v>
      </c>
      <c r="AB11" s="997">
        <f t="shared" si="4"/>
        <v>1</v>
      </c>
      <c r="AC11" s="997">
        <f t="shared" si="5"/>
        <v>1</v>
      </c>
    </row>
    <row r="12" spans="1:29" s="1133" customFormat="1" ht="28.8">
      <c r="A12" s="2212"/>
      <c r="B12" s="2217" t="s">
        <v>2039</v>
      </c>
      <c r="C12" s="833">
        <v>70</v>
      </c>
      <c r="D12" s="235">
        <v>100</v>
      </c>
      <c r="E12" s="479" t="s">
        <v>3462</v>
      </c>
      <c r="F12" s="235">
        <f>ROUND(100/'数据-取费表'!G16,0)</f>
        <v>100</v>
      </c>
      <c r="G12" s="480" t="s">
        <v>3462</v>
      </c>
      <c r="H12" s="235">
        <f>ROUND(100/'数据-取费表'!G16,0)</f>
        <v>100</v>
      </c>
      <c r="I12" s="480" t="s">
        <v>3462</v>
      </c>
      <c r="J12" s="235">
        <f>ROUND(100/'数据-取费表'!G16,0)</f>
        <v>100</v>
      </c>
      <c r="K12" s="481"/>
      <c r="L12" s="1746"/>
      <c r="M12" s="1741"/>
      <c r="N12" s="1741"/>
      <c r="O12" s="1747"/>
      <c r="P12" s="3596"/>
      <c r="Q12" s="818" t="str">
        <f t="shared" si="6"/>
        <v>土地使用年限（年）</v>
      </c>
      <c r="R12" s="1304" t="s">
        <v>5</v>
      </c>
      <c r="S12" s="1305">
        <f t="shared" si="0"/>
        <v>100</v>
      </c>
      <c r="T12" s="1304" t="s">
        <v>5</v>
      </c>
      <c r="U12" s="1305">
        <f t="shared" si="1"/>
        <v>100</v>
      </c>
      <c r="V12" s="1304" t="s">
        <v>5</v>
      </c>
      <c r="W12" s="1305">
        <f t="shared" si="2"/>
        <v>100</v>
      </c>
      <c r="X12" s="1306"/>
      <c r="Y12" s="3540"/>
      <c r="Z12" s="997" t="str">
        <f t="shared" si="7"/>
        <v>土地使用年限（年）</v>
      </c>
      <c r="AA12" s="997">
        <f t="shared" si="3"/>
        <v>1</v>
      </c>
      <c r="AB12" s="997">
        <f t="shared" si="4"/>
        <v>1</v>
      </c>
      <c r="AC12" s="997">
        <f t="shared" si="5"/>
        <v>1</v>
      </c>
    </row>
    <row r="13" spans="1:29" ht="21">
      <c r="A13" s="2213"/>
      <c r="B13" s="2217" t="s">
        <v>2040</v>
      </c>
      <c r="C13" s="484">
        <f>'数据-汇总表'!I3</f>
        <v>2.2000000000000002</v>
      </c>
      <c r="D13" s="235">
        <v>100</v>
      </c>
      <c r="E13" s="483">
        <f>'信息+土地案例'!K26</f>
        <v>2.9</v>
      </c>
      <c r="F13" s="235">
        <f>LOOKUP(E13,81:81,82:82)-LOOKUP(C13,81:81,82:82)+100</f>
        <v>100</v>
      </c>
      <c r="G13" s="484">
        <f>'信息+土地案例'!K27</f>
        <v>2.5</v>
      </c>
      <c r="H13" s="235">
        <f>LOOKUP(G13,81:81,82:82)-LOOKUP(C13,81:81,82:82)+100</f>
        <v>100</v>
      </c>
      <c r="I13" s="483">
        <f>'信息+土地案例'!K28</f>
        <v>2.2000000000000002</v>
      </c>
      <c r="J13" s="235">
        <f>LOOKUP(I13,81:81,82:82)-LOOKUP(C13,81:81,82:82)+100</f>
        <v>100</v>
      </c>
      <c r="K13" s="485">
        <v>2</v>
      </c>
      <c r="L13" s="1748"/>
      <c r="M13" s="1741"/>
      <c r="N13" s="1741"/>
      <c r="O13" s="1749"/>
      <c r="P13" s="3596"/>
      <c r="Q13" s="818" t="str">
        <f t="shared" si="6"/>
        <v>容积率</v>
      </c>
      <c r="R13" s="1304" t="s">
        <v>5</v>
      </c>
      <c r="S13" s="1305">
        <f t="shared" si="0"/>
        <v>100</v>
      </c>
      <c r="T13" s="1304" t="s">
        <v>5</v>
      </c>
      <c r="U13" s="1305">
        <f t="shared" si="1"/>
        <v>100</v>
      </c>
      <c r="V13" s="1304" t="s">
        <v>5</v>
      </c>
      <c r="W13" s="1305">
        <f t="shared" si="2"/>
        <v>100</v>
      </c>
      <c r="X13" s="1306"/>
      <c r="Y13" s="3540"/>
      <c r="Z13" s="997" t="str">
        <f t="shared" si="7"/>
        <v>容积率</v>
      </c>
      <c r="AA13" s="997">
        <f t="shared" si="3"/>
        <v>1</v>
      </c>
      <c r="AB13" s="997">
        <f t="shared" si="4"/>
        <v>1</v>
      </c>
      <c r="AC13" s="997">
        <f t="shared" si="5"/>
        <v>1</v>
      </c>
    </row>
    <row r="14" spans="1:29" s="1060" customFormat="1" ht="21">
      <c r="A14" s="2210"/>
      <c r="B14" s="2219" t="s">
        <v>2041</v>
      </c>
      <c r="C14" s="3407">
        <f>'信息+土地案例'!B5</f>
        <v>0.3</v>
      </c>
      <c r="D14" s="488">
        <v>100</v>
      </c>
      <c r="E14" s="1166" t="s">
        <v>3463</v>
      </c>
      <c r="F14" s="235">
        <f>SUMIF(83:83,E14,84:84)-SUMIF(83:83,C14,84:84)+100</f>
        <v>100</v>
      </c>
      <c r="G14" s="480" t="s">
        <v>3463</v>
      </c>
      <c r="H14" s="235">
        <f>SUMIF(83:83,G14,84:84)-SUMIF(83:83,C14,84:84)+100</f>
        <v>100</v>
      </c>
      <c r="I14" s="479" t="s">
        <v>3464</v>
      </c>
      <c r="J14" s="235">
        <f>SUMIF(83:83,I14,84:84)-SUMIF(83:83,C14,84:84)+100</f>
        <v>100</v>
      </c>
      <c r="K14" s="481"/>
      <c r="L14" s="1744"/>
      <c r="M14" s="1741"/>
      <c r="N14" s="1741"/>
      <c r="O14" s="1745"/>
      <c r="P14" s="3596"/>
      <c r="Q14" s="818" t="str">
        <f t="shared" si="6"/>
        <v>配建</v>
      </c>
      <c r="R14" s="1304" t="s">
        <v>5</v>
      </c>
      <c r="S14" s="1305">
        <f t="shared" si="0"/>
        <v>100</v>
      </c>
      <c r="T14" s="1304" t="s">
        <v>5</v>
      </c>
      <c r="U14" s="1305">
        <f t="shared" si="1"/>
        <v>100</v>
      </c>
      <c r="V14" s="1304" t="s">
        <v>5</v>
      </c>
      <c r="W14" s="1305">
        <f t="shared" si="2"/>
        <v>100</v>
      </c>
      <c r="X14" s="1306"/>
      <c r="Y14" s="3540"/>
      <c r="Z14" s="997" t="str">
        <f t="shared" si="7"/>
        <v>配建</v>
      </c>
      <c r="AA14" s="997">
        <f>D14/F14</f>
        <v>1</v>
      </c>
      <c r="AB14" s="997">
        <f>D14/H14</f>
        <v>1</v>
      </c>
      <c r="AC14" s="997">
        <f>D14/J14</f>
        <v>1</v>
      </c>
    </row>
    <row r="15" spans="1:29" ht="21">
      <c r="A15" s="2214"/>
      <c r="B15" s="3416" t="s">
        <v>3501</v>
      </c>
      <c r="C15" s="835" t="s">
        <v>3523</v>
      </c>
      <c r="D15" s="490">
        <v>100</v>
      </c>
      <c r="E15" s="835" t="s">
        <v>3515</v>
      </c>
      <c r="F15" s="235">
        <f>SUMIF(85:85,E15,86:86)-SUMIF(85:85,C15,86:86)+100</f>
        <v>115</v>
      </c>
      <c r="G15" s="835" t="s">
        <v>3515</v>
      </c>
      <c r="H15" s="490">
        <f>SUMIF(85:85,G15,86:86)-SUMIF(85:85,C15,86:86)+100</f>
        <v>115</v>
      </c>
      <c r="I15" s="835" t="s">
        <v>3517</v>
      </c>
      <c r="J15" s="490">
        <f>SUMIF(85:85,I15,86:86)-SUMIF(85:85,C15,86:86)+100</f>
        <v>105</v>
      </c>
      <c r="K15" s="481"/>
      <c r="L15" s="1750"/>
      <c r="M15" s="1741"/>
      <c r="N15" s="1741"/>
      <c r="O15" s="1749"/>
      <c r="P15" s="3596"/>
      <c r="Q15" s="818" t="str">
        <f t="shared" si="6"/>
        <v>商业占比</v>
      </c>
      <c r="R15" s="1304" t="s">
        <v>5</v>
      </c>
      <c r="S15" s="1305">
        <f t="shared" si="0"/>
        <v>115</v>
      </c>
      <c r="T15" s="1304" t="s">
        <v>5</v>
      </c>
      <c r="U15" s="1305">
        <f t="shared" si="1"/>
        <v>115</v>
      </c>
      <c r="V15" s="1304" t="s">
        <v>5</v>
      </c>
      <c r="W15" s="1305">
        <f t="shared" si="2"/>
        <v>105</v>
      </c>
      <c r="X15" s="1306"/>
      <c r="Y15" s="3540"/>
      <c r="Z15" s="997" t="str">
        <f t="shared" si="7"/>
        <v>商业占比</v>
      </c>
      <c r="AA15" s="997">
        <f>D15/F15</f>
        <v>0.86956521739130432</v>
      </c>
      <c r="AB15" s="997">
        <f>D15/H15</f>
        <v>0.86956521739130432</v>
      </c>
      <c r="AC15" s="997">
        <f>D15/J15</f>
        <v>0.95238095238095233</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96"/>
      <c r="Q16" s="818">
        <f t="shared" si="6"/>
        <v>111</v>
      </c>
      <c r="R16" s="1304" t="s">
        <v>5</v>
      </c>
      <c r="S16" s="1305">
        <f t="shared" si="0"/>
        <v>100</v>
      </c>
      <c r="T16" s="1304" t="s">
        <v>5</v>
      </c>
      <c r="U16" s="1305">
        <f t="shared" si="1"/>
        <v>100</v>
      </c>
      <c r="V16" s="1304" t="s">
        <v>5</v>
      </c>
      <c r="W16" s="1305">
        <f t="shared" si="2"/>
        <v>100</v>
      </c>
      <c r="X16" s="1306"/>
      <c r="Y16" s="3540"/>
      <c r="Z16" s="997">
        <f t="shared" si="7"/>
        <v>111</v>
      </c>
      <c r="AA16" s="997">
        <f>D16/F16</f>
        <v>1</v>
      </c>
      <c r="AB16" s="997">
        <f>D16/H16</f>
        <v>1</v>
      </c>
      <c r="AC16" s="997">
        <f>D16/J16</f>
        <v>1</v>
      </c>
    </row>
    <row r="17" spans="1:29" ht="82.8">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106</v>
      </c>
      <c r="I17" s="502"/>
      <c r="J17" s="499">
        <f>SUMIF(89:89,I18,90:90)-SUMIF(89:89,C18,90:90)+100</f>
        <v>106</v>
      </c>
      <c r="K17" s="485">
        <v>3</v>
      </c>
      <c r="L17" s="1750"/>
      <c r="M17" s="1741"/>
      <c r="N17" s="1741"/>
      <c r="O17" s="1749"/>
      <c r="P17" s="3629" t="s">
        <v>489</v>
      </c>
      <c r="Q17" s="1307" t="str">
        <f t="shared" si="6"/>
        <v>居住社区成熟度</v>
      </c>
      <c r="R17" s="1308" t="s">
        <v>5</v>
      </c>
      <c r="S17" s="1309">
        <f t="shared" si="0"/>
        <v>100</v>
      </c>
      <c r="T17" s="1308" t="s">
        <v>5</v>
      </c>
      <c r="U17" s="1309">
        <f t="shared" si="1"/>
        <v>106</v>
      </c>
      <c r="V17" s="1308" t="s">
        <v>5</v>
      </c>
      <c r="W17" s="1309">
        <f t="shared" si="2"/>
        <v>106</v>
      </c>
      <c r="X17" s="1303"/>
      <c r="Y17" s="3629" t="s">
        <v>489</v>
      </c>
      <c r="Z17" s="1310" t="str">
        <f t="shared" si="7"/>
        <v>居住社区成熟度</v>
      </c>
      <c r="AA17" s="1310">
        <f t="shared" si="3"/>
        <v>1</v>
      </c>
      <c r="AB17" s="1310">
        <f t="shared" si="4"/>
        <v>0.94339622641509435</v>
      </c>
      <c r="AC17" s="1310">
        <f t="shared" si="5"/>
        <v>0.94339622641509435</v>
      </c>
    </row>
    <row r="18" spans="1:29" ht="21">
      <c r="A18" s="482"/>
      <c r="B18" s="503"/>
      <c r="C18" s="504" t="s">
        <v>3482</v>
      </c>
      <c r="D18" s="507"/>
      <c r="E18" s="508" t="s">
        <v>3482</v>
      </c>
      <c r="F18" s="505"/>
      <c r="G18" s="506" t="s">
        <v>3477</v>
      </c>
      <c r="H18" s="509"/>
      <c r="I18" s="508" t="s">
        <v>3477</v>
      </c>
      <c r="J18" s="505"/>
      <c r="K18" s="481"/>
      <c r="L18" s="1750"/>
      <c r="M18" s="1741"/>
      <c r="N18" s="1741"/>
      <c r="O18" s="1749"/>
      <c r="P18" s="3630"/>
      <c r="Q18" s="1307"/>
      <c r="R18" s="1308"/>
      <c r="S18" s="1309"/>
      <c r="T18" s="1308"/>
      <c r="U18" s="1309"/>
      <c r="V18" s="1308"/>
      <c r="W18" s="1309"/>
      <c r="X18" s="1303"/>
      <c r="Y18" s="3630"/>
      <c r="Z18" s="1310"/>
      <c r="AA18" s="1310">
        <v>1</v>
      </c>
      <c r="AB18" s="1310">
        <v>1</v>
      </c>
      <c r="AC18" s="1310">
        <v>1</v>
      </c>
    </row>
    <row r="19" spans="1:29" ht="55.2">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30"/>
      <c r="Q19" s="1307" t="str">
        <f>B19</f>
        <v>商业繁华度</v>
      </c>
      <c r="R19" s="1308" t="s">
        <v>5</v>
      </c>
      <c r="S19" s="1309">
        <f>F19</f>
        <v>100</v>
      </c>
      <c r="T19" s="1308" t="s">
        <v>5</v>
      </c>
      <c r="U19" s="1309">
        <f>H19</f>
        <v>100</v>
      </c>
      <c r="V19" s="1308" t="s">
        <v>5</v>
      </c>
      <c r="W19" s="1309">
        <f>J19</f>
        <v>100</v>
      </c>
      <c r="X19" s="1303"/>
      <c r="Y19" s="3630"/>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30"/>
      <c r="Q20" s="1307"/>
      <c r="R20" s="1308"/>
      <c r="S20" s="1309"/>
      <c r="T20" s="1308"/>
      <c r="U20" s="1309"/>
      <c r="V20" s="1308"/>
      <c r="W20" s="1309"/>
      <c r="X20" s="1303"/>
      <c r="Y20" s="3630"/>
      <c r="Z20" s="1310"/>
      <c r="AA20" s="1310">
        <v>1</v>
      </c>
      <c r="AB20" s="1310">
        <v>1</v>
      </c>
      <c r="AC20" s="1310">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0"/>
      <c r="Q21" s="1307" t="str">
        <f>B21</f>
        <v>办公集聚程度</v>
      </c>
      <c r="R21" s="1308" t="s">
        <v>5</v>
      </c>
      <c r="S21" s="1309">
        <f>F21</f>
        <v>100</v>
      </c>
      <c r="T21" s="1308" t="s">
        <v>5</v>
      </c>
      <c r="U21" s="1309">
        <f>H21</f>
        <v>100</v>
      </c>
      <c r="V21" s="1308" t="s">
        <v>5</v>
      </c>
      <c r="W21" s="1309">
        <f>J21</f>
        <v>100</v>
      </c>
      <c r="X21" s="1303"/>
      <c r="Y21" s="3630"/>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30"/>
      <c r="Q22" s="1307"/>
      <c r="R22" s="1308"/>
      <c r="S22" s="1309"/>
      <c r="T22" s="1308"/>
      <c r="U22" s="1309"/>
      <c r="V22" s="1308"/>
      <c r="W22" s="1309"/>
      <c r="X22" s="1303"/>
      <c r="Y22" s="3630"/>
      <c r="Z22" s="1310"/>
      <c r="AA22" s="1310">
        <v>1</v>
      </c>
      <c r="AB22" s="1310">
        <v>1</v>
      </c>
      <c r="AC22" s="1310">
        <v>1</v>
      </c>
    </row>
    <row r="23" spans="1:29" ht="69">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102</v>
      </c>
      <c r="I23" s="514"/>
      <c r="J23" s="509">
        <f>SUMIF(95:95,I24,96:96)-SUMIF(95:95,C24,96:96)+100</f>
        <v>102</v>
      </c>
      <c r="K23" s="485">
        <v>2</v>
      </c>
      <c r="L23" s="1750"/>
      <c r="M23" s="1741"/>
      <c r="N23" s="1741"/>
      <c r="O23" s="1749"/>
      <c r="P23" s="3630"/>
      <c r="Q23" s="1307" t="str">
        <f>B23</f>
        <v>交通便捷度</v>
      </c>
      <c r="R23" s="1308" t="s">
        <v>5</v>
      </c>
      <c r="S23" s="1309">
        <f>F23</f>
        <v>100</v>
      </c>
      <c r="T23" s="1308" t="s">
        <v>5</v>
      </c>
      <c r="U23" s="1309">
        <f>H23</f>
        <v>102</v>
      </c>
      <c r="V23" s="1308" t="s">
        <v>5</v>
      </c>
      <c r="W23" s="1309">
        <f>J23</f>
        <v>102</v>
      </c>
      <c r="X23" s="1303"/>
      <c r="Y23" s="3630"/>
      <c r="Z23" s="1310" t="str">
        <f>Q23</f>
        <v>交通便捷度</v>
      </c>
      <c r="AA23" s="1310">
        <f t="shared" si="3"/>
        <v>1</v>
      </c>
      <c r="AB23" s="1310">
        <f t="shared" si="4"/>
        <v>0.98039215686274506</v>
      </c>
      <c r="AC23" s="1310">
        <f t="shared" si="5"/>
        <v>0.98039215686274506</v>
      </c>
    </row>
    <row r="24" spans="1:29" ht="21">
      <c r="A24" s="482"/>
      <c r="B24" s="528"/>
      <c r="C24" s="504" t="s">
        <v>3483</v>
      </c>
      <c r="D24" s="507"/>
      <c r="E24" s="508" t="s">
        <v>3483</v>
      </c>
      <c r="F24" s="505"/>
      <c r="G24" s="506" t="s">
        <v>3477</v>
      </c>
      <c r="H24" s="505"/>
      <c r="I24" s="508" t="s">
        <v>3477</v>
      </c>
      <c r="J24" s="505"/>
      <c r="K24" s="481"/>
      <c r="L24" s="1750"/>
      <c r="M24" s="1741"/>
      <c r="N24" s="1741"/>
      <c r="O24" s="1749"/>
      <c r="P24" s="3630"/>
      <c r="Q24" s="1307"/>
      <c r="R24" s="1308"/>
      <c r="S24" s="1309"/>
      <c r="T24" s="1308"/>
      <c r="U24" s="1309"/>
      <c r="V24" s="1308"/>
      <c r="W24" s="1309"/>
      <c r="X24" s="1303"/>
      <c r="Y24" s="3630"/>
      <c r="Z24" s="1310"/>
      <c r="AA24" s="1310">
        <v>1</v>
      </c>
      <c r="AB24" s="1310">
        <v>1</v>
      </c>
      <c r="AC24" s="1310">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102</v>
      </c>
      <c r="K25" s="485">
        <v>2</v>
      </c>
      <c r="L25" s="1750"/>
      <c r="M25" s="1741"/>
      <c r="N25" s="1741"/>
      <c r="O25" s="1749"/>
      <c r="P25" s="3630"/>
      <c r="Q25" s="1307" t="str">
        <f t="shared" ref="Q25:Q39" si="8">B25</f>
        <v>区域土地利用方向</v>
      </c>
      <c r="R25" s="1308" t="s">
        <v>5</v>
      </c>
      <c r="S25" s="1309">
        <f>F25</f>
        <v>100</v>
      </c>
      <c r="T25" s="1308" t="s">
        <v>5</v>
      </c>
      <c r="U25" s="1309">
        <f>H25</f>
        <v>102</v>
      </c>
      <c r="V25" s="1308" t="s">
        <v>5</v>
      </c>
      <c r="W25" s="1309">
        <f>J25</f>
        <v>102</v>
      </c>
      <c r="X25" s="1303"/>
      <c r="Y25" s="3630"/>
      <c r="Z25" s="1310" t="str">
        <f>Q25</f>
        <v>区域土地利用方向</v>
      </c>
      <c r="AA25" s="1310">
        <f t="shared" si="3"/>
        <v>1</v>
      </c>
      <c r="AB25" s="1310">
        <f t="shared" si="4"/>
        <v>0.98039215686274506</v>
      </c>
      <c r="AC25" s="1310">
        <f t="shared" si="5"/>
        <v>0.98039215686274506</v>
      </c>
    </row>
    <row r="26" spans="1:29" ht="21">
      <c r="A26" s="466"/>
      <c r="B26" s="919"/>
      <c r="C26" s="504" t="s">
        <v>3483</v>
      </c>
      <c r="D26" s="507"/>
      <c r="E26" s="508" t="s">
        <v>3483</v>
      </c>
      <c r="F26" s="505"/>
      <c r="G26" s="506" t="s">
        <v>3477</v>
      </c>
      <c r="H26" s="505"/>
      <c r="I26" s="508" t="s">
        <v>3477</v>
      </c>
      <c r="J26" s="505"/>
      <c r="K26" s="481"/>
      <c r="L26" s="1750"/>
      <c r="M26" s="1741"/>
      <c r="N26" s="1741"/>
      <c r="O26" s="1749"/>
      <c r="P26" s="3630"/>
      <c r="Q26" s="1307"/>
      <c r="R26" s="1308"/>
      <c r="S26" s="1309"/>
      <c r="T26" s="1308"/>
      <c r="U26" s="1309"/>
      <c r="V26" s="1308"/>
      <c r="W26" s="1309"/>
      <c r="X26" s="1303"/>
      <c r="Y26" s="3630"/>
      <c r="Z26" s="1310"/>
      <c r="AA26" s="1310"/>
      <c r="AB26" s="1310"/>
      <c r="AC26" s="1310"/>
    </row>
    <row r="27" spans="1:29" ht="41.4">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102</v>
      </c>
      <c r="I27" s="514"/>
      <c r="J27" s="509">
        <f>SUMIF(99:99,I28,100:100)-SUMIF(99:99,C28,100:100)+100</f>
        <v>102</v>
      </c>
      <c r="K27" s="485">
        <v>2</v>
      </c>
      <c r="L27" s="1750"/>
      <c r="M27" s="1741"/>
      <c r="N27" s="1741"/>
      <c r="O27" s="1749"/>
      <c r="P27" s="3630"/>
      <c r="Q27" s="1307" t="str">
        <f t="shared" si="8"/>
        <v>自然及人文环境状况</v>
      </c>
      <c r="R27" s="1308" t="s">
        <v>5</v>
      </c>
      <c r="S27" s="1309">
        <f>F27</f>
        <v>100</v>
      </c>
      <c r="T27" s="1308" t="s">
        <v>5</v>
      </c>
      <c r="U27" s="1309">
        <f>H27</f>
        <v>102</v>
      </c>
      <c r="V27" s="1308" t="s">
        <v>5</v>
      </c>
      <c r="W27" s="1309">
        <f>J27</f>
        <v>102</v>
      </c>
      <c r="X27" s="1303"/>
      <c r="Y27" s="3630"/>
      <c r="Z27" s="1310" t="str">
        <f>Q27</f>
        <v>自然及人文环境状况</v>
      </c>
      <c r="AA27" s="1310">
        <f t="shared" si="3"/>
        <v>1</v>
      </c>
      <c r="AB27" s="1310">
        <f t="shared" si="4"/>
        <v>0.98039215686274506</v>
      </c>
      <c r="AC27" s="1310">
        <f t="shared" si="5"/>
        <v>0.98039215686274506</v>
      </c>
    </row>
    <row r="28" spans="1:29" ht="21">
      <c r="A28" s="466"/>
      <c r="B28" s="516"/>
      <c r="C28" s="504" t="s">
        <v>3483</v>
      </c>
      <c r="D28" s="507"/>
      <c r="E28" s="526" t="s">
        <v>3483</v>
      </c>
      <c r="F28" s="505"/>
      <c r="G28" s="504" t="s">
        <v>3477</v>
      </c>
      <c r="H28" s="505"/>
      <c r="I28" s="526" t="s">
        <v>3477</v>
      </c>
      <c r="J28" s="505"/>
      <c r="K28" s="481"/>
      <c r="L28" s="1750"/>
      <c r="M28" s="1741"/>
      <c r="N28" s="1741"/>
      <c r="O28" s="1749"/>
      <c r="P28" s="3630"/>
      <c r="Q28" s="1307"/>
      <c r="R28" s="1308"/>
      <c r="S28" s="1309"/>
      <c r="T28" s="1308"/>
      <c r="U28" s="1309"/>
      <c r="V28" s="1308"/>
      <c r="W28" s="1309"/>
      <c r="X28" s="1303"/>
      <c r="Y28" s="3630"/>
      <c r="Z28" s="1310"/>
      <c r="AA28" s="1310">
        <v>1</v>
      </c>
      <c r="AB28" s="1310">
        <v>1</v>
      </c>
      <c r="AC28" s="1310">
        <v>1</v>
      </c>
    </row>
    <row r="29" spans="1:29" s="1060" customFormat="1" ht="41.4">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104</v>
      </c>
      <c r="I29" s="514"/>
      <c r="J29" s="509">
        <f>SUMIF(101:101,I30,102:102)-SUMIF(101:101,C30,102:102)+100</f>
        <v>104</v>
      </c>
      <c r="K29" s="485">
        <v>2</v>
      </c>
      <c r="L29" s="1744"/>
      <c r="M29" s="1741"/>
      <c r="N29" s="1741"/>
      <c r="O29" s="1745"/>
      <c r="P29" s="3630"/>
      <c r="Q29" s="818" t="str">
        <f t="shared" si="8"/>
        <v>公共配套设施</v>
      </c>
      <c r="R29" s="1304" t="s">
        <v>5</v>
      </c>
      <c r="S29" s="1305">
        <f>F29</f>
        <v>100</v>
      </c>
      <c r="T29" s="1304" t="s">
        <v>5</v>
      </c>
      <c r="U29" s="1305">
        <f>H29</f>
        <v>104</v>
      </c>
      <c r="V29" s="1304" t="s">
        <v>5</v>
      </c>
      <c r="W29" s="1305">
        <f>J29</f>
        <v>104</v>
      </c>
      <c r="X29" s="1306"/>
      <c r="Y29" s="3630"/>
      <c r="Z29" s="997" t="str">
        <f>Q29</f>
        <v>公共配套设施</v>
      </c>
      <c r="AA29" s="1310">
        <f>D29/F29</f>
        <v>1</v>
      </c>
      <c r="AB29" s="1310">
        <f>D29/H29</f>
        <v>0.96153846153846156</v>
      </c>
      <c r="AC29" s="1310">
        <f>D29/J29</f>
        <v>0.96153846153846156</v>
      </c>
    </row>
    <row r="30" spans="1:29" s="1060" customFormat="1" ht="21">
      <c r="A30" s="527"/>
      <c r="B30" s="516"/>
      <c r="C30" s="529" t="s">
        <v>3482</v>
      </c>
      <c r="D30" s="507"/>
      <c r="E30" s="529" t="s">
        <v>3482</v>
      </c>
      <c r="F30" s="505"/>
      <c r="G30" s="504" t="s">
        <v>3477</v>
      </c>
      <c r="H30" s="505"/>
      <c r="I30" s="526" t="s">
        <v>3477</v>
      </c>
      <c r="J30" s="505"/>
      <c r="K30" s="481"/>
      <c r="L30" s="1744"/>
      <c r="M30" s="1741"/>
      <c r="N30" s="1741"/>
      <c r="O30" s="1745"/>
      <c r="P30" s="3630"/>
      <c r="Q30" s="818"/>
      <c r="R30" s="1304"/>
      <c r="S30" s="1305"/>
      <c r="T30" s="1304"/>
      <c r="U30" s="1305"/>
      <c r="V30" s="1304"/>
      <c r="W30" s="1305"/>
      <c r="X30" s="1306"/>
      <c r="Y30" s="3630"/>
      <c r="Z30" s="997"/>
      <c r="AA30" s="1310">
        <v>1</v>
      </c>
      <c r="AB30" s="1310">
        <v>1</v>
      </c>
      <c r="AC30" s="1310">
        <v>1</v>
      </c>
    </row>
    <row r="31" spans="1:29" s="1060" customFormat="1" ht="27.6">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30"/>
      <c r="Q31" s="818" t="str">
        <f>B31</f>
        <v>基础设施水平</v>
      </c>
      <c r="R31" s="1304" t="s">
        <v>5</v>
      </c>
      <c r="S31" s="1305">
        <f>F31</f>
        <v>100</v>
      </c>
      <c r="T31" s="1304" t="s">
        <v>5</v>
      </c>
      <c r="U31" s="1305">
        <f>H31</f>
        <v>100</v>
      </c>
      <c r="V31" s="1304" t="s">
        <v>5</v>
      </c>
      <c r="W31" s="1305">
        <f>J31</f>
        <v>100</v>
      </c>
      <c r="X31" s="1306"/>
      <c r="Y31" s="3630"/>
      <c r="Z31" s="997" t="str">
        <f>Q31</f>
        <v>基础设施水平</v>
      </c>
      <c r="AA31" s="1310">
        <f>D31/F31</f>
        <v>1</v>
      </c>
      <c r="AB31" s="1310">
        <f>D31/H31</f>
        <v>1</v>
      </c>
      <c r="AC31" s="1310">
        <f>D31/J31</f>
        <v>1</v>
      </c>
    </row>
    <row r="32" spans="1:29" s="1060" customFormat="1" ht="21">
      <c r="A32" s="527"/>
      <c r="B32" s="516"/>
      <c r="C32" s="529"/>
      <c r="D32" s="507"/>
      <c r="E32" s="2052"/>
      <c r="F32" s="505"/>
      <c r="G32" s="529"/>
      <c r="H32" s="505"/>
      <c r="I32" s="529"/>
      <c r="J32" s="505"/>
      <c r="K32" s="481"/>
      <c r="L32" s="1744"/>
      <c r="M32" s="1741"/>
      <c r="N32" s="1741"/>
      <c r="O32" s="1745"/>
      <c r="P32" s="3630"/>
      <c r="Q32" s="818"/>
      <c r="R32" s="1304"/>
      <c r="S32" s="1305"/>
      <c r="T32" s="1304"/>
      <c r="U32" s="1305"/>
      <c r="V32" s="1304"/>
      <c r="W32" s="1305"/>
      <c r="X32" s="1306"/>
      <c r="Y32" s="3630"/>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30"/>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30"/>
      <c r="Z33" s="1310" t="str">
        <f t="shared" ref="Z33:Z47" si="12">Q33</f>
        <v>临街状况</v>
      </c>
      <c r="AA33" s="1310">
        <f t="shared" si="3"/>
        <v>1</v>
      </c>
      <c r="AB33" s="1310">
        <f t="shared" si="4"/>
        <v>1</v>
      </c>
      <c r="AC33" s="1310">
        <f t="shared" si="5"/>
        <v>1</v>
      </c>
    </row>
    <row r="34" spans="1:29" ht="28.8">
      <c r="A34" s="482"/>
      <c r="B34" s="528" t="s">
        <v>497</v>
      </c>
      <c r="C34" s="3412" t="s">
        <v>3492</v>
      </c>
      <c r="D34" s="513">
        <v>100</v>
      </c>
      <c r="E34" s="3412" t="s">
        <v>3492</v>
      </c>
      <c r="F34" s="509">
        <f>SUMIF(107:107,E35,108:108)-SUMIF(107:107,C35,108:108)+100</f>
        <v>100</v>
      </c>
      <c r="G34" s="3412" t="s">
        <v>3484</v>
      </c>
      <c r="H34" s="509">
        <f>SUMIF(107:107,G35,108:108)-SUMIF(107:107,C35,108:108)+100</f>
        <v>100</v>
      </c>
      <c r="I34" s="3413" t="s">
        <v>3485</v>
      </c>
      <c r="J34" s="509">
        <f>SUMIF(107:107,I35,108:108)-SUMIF(107:107,C35,108:108)+100</f>
        <v>96</v>
      </c>
      <c r="K34" s="485">
        <v>2</v>
      </c>
      <c r="L34" s="1750"/>
      <c r="M34" s="1741"/>
      <c r="N34" s="1741"/>
      <c r="O34" s="1749"/>
      <c r="P34" s="3630"/>
      <c r="Q34" s="1307" t="str">
        <f t="shared" si="8"/>
        <v>毗邻道路的类型与等级</v>
      </c>
      <c r="R34" s="1308" t="s">
        <v>5</v>
      </c>
      <c r="S34" s="1309">
        <f t="shared" si="9"/>
        <v>100</v>
      </c>
      <c r="T34" s="1308" t="s">
        <v>5</v>
      </c>
      <c r="U34" s="1309">
        <f t="shared" si="10"/>
        <v>100</v>
      </c>
      <c r="V34" s="1308" t="s">
        <v>5</v>
      </c>
      <c r="W34" s="1309">
        <f t="shared" si="11"/>
        <v>96</v>
      </c>
      <c r="X34" s="1303"/>
      <c r="Y34" s="3630"/>
      <c r="Z34" s="1310" t="str">
        <f t="shared" si="12"/>
        <v>毗邻道路的类型与等级</v>
      </c>
      <c r="AA34" s="1310">
        <f t="shared" si="3"/>
        <v>1</v>
      </c>
      <c r="AB34" s="1310">
        <f t="shared" si="4"/>
        <v>1</v>
      </c>
      <c r="AC34" s="1310">
        <f t="shared" si="5"/>
        <v>1.0416666666666667</v>
      </c>
    </row>
    <row r="35" spans="1:29" ht="21">
      <c r="A35" s="482"/>
      <c r="B35" s="516"/>
      <c r="C35" s="504" t="s">
        <v>3487</v>
      </c>
      <c r="D35" s="507"/>
      <c r="E35" s="526" t="s">
        <v>3487</v>
      </c>
      <c r="F35" s="505"/>
      <c r="G35" s="504" t="s">
        <v>3487</v>
      </c>
      <c r="H35" s="505"/>
      <c r="I35" s="526" t="s">
        <v>3490</v>
      </c>
      <c r="J35" s="505"/>
      <c r="K35" s="531"/>
      <c r="L35" s="1750"/>
      <c r="M35" s="1741"/>
      <c r="N35" s="1741"/>
      <c r="O35" s="1749"/>
      <c r="P35" s="3630"/>
      <c r="Q35" s="1307"/>
      <c r="R35" s="1308"/>
      <c r="S35" s="1309"/>
      <c r="T35" s="1308"/>
      <c r="U35" s="1309"/>
      <c r="V35" s="1308"/>
      <c r="W35" s="1309"/>
      <c r="X35" s="1303"/>
      <c r="Y35" s="3630"/>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30"/>
      <c r="Q36" s="1307" t="str">
        <f t="shared" si="8"/>
        <v>土地级别</v>
      </c>
      <c r="R36" s="1308" t="s">
        <v>5</v>
      </c>
      <c r="S36" s="1309">
        <f t="shared" si="9"/>
        <v>100</v>
      </c>
      <c r="T36" s="1308" t="s">
        <v>5</v>
      </c>
      <c r="U36" s="1309">
        <f t="shared" si="10"/>
        <v>100</v>
      </c>
      <c r="V36" s="1308" t="s">
        <v>5</v>
      </c>
      <c r="W36" s="1309">
        <f t="shared" si="11"/>
        <v>100</v>
      </c>
      <c r="X36" s="1303"/>
      <c r="Y36" s="3630"/>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0"/>
      <c r="Q37" s="1307">
        <f t="shared" si="8"/>
        <v>111</v>
      </c>
      <c r="R37" s="1308" t="s">
        <v>5</v>
      </c>
      <c r="S37" s="1309">
        <f t="shared" si="9"/>
        <v>100</v>
      </c>
      <c r="T37" s="1308" t="s">
        <v>5</v>
      </c>
      <c r="U37" s="1309">
        <f t="shared" si="10"/>
        <v>100</v>
      </c>
      <c r="V37" s="1308" t="s">
        <v>5</v>
      </c>
      <c r="W37" s="1309">
        <f t="shared" si="11"/>
        <v>100</v>
      </c>
      <c r="X37" s="1303"/>
      <c r="Y37" s="3630"/>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1" t="s">
        <v>499</v>
      </c>
      <c r="Q38" s="1307">
        <f t="shared" si="8"/>
        <v>111</v>
      </c>
      <c r="R38" s="1308" t="s">
        <v>5</v>
      </c>
      <c r="S38" s="1309">
        <f t="shared" si="9"/>
        <v>100</v>
      </c>
      <c r="T38" s="1308" t="s">
        <v>5</v>
      </c>
      <c r="U38" s="1309">
        <f t="shared" si="10"/>
        <v>100</v>
      </c>
      <c r="V38" s="1308" t="s">
        <v>5</v>
      </c>
      <c r="W38" s="1309">
        <f t="shared" si="11"/>
        <v>100</v>
      </c>
      <c r="X38" s="1303"/>
      <c r="Y38" s="3632"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2"/>
      <c r="Q39" s="1307">
        <f t="shared" si="8"/>
        <v>111</v>
      </c>
      <c r="R39" s="1311" t="s">
        <v>5</v>
      </c>
      <c r="S39" s="1312">
        <f t="shared" si="9"/>
        <v>100</v>
      </c>
      <c r="T39" s="1311" t="s">
        <v>5</v>
      </c>
      <c r="U39" s="1312">
        <f t="shared" si="10"/>
        <v>100</v>
      </c>
      <c r="V39" s="1311" t="s">
        <v>5</v>
      </c>
      <c r="W39" s="1312">
        <f t="shared" si="11"/>
        <v>100</v>
      </c>
      <c r="X39" s="1313"/>
      <c r="Y39" s="3632"/>
      <c r="Z39" s="1314">
        <f t="shared" si="12"/>
        <v>111</v>
      </c>
      <c r="AA39" s="1310">
        <f t="shared" si="3"/>
        <v>1</v>
      </c>
      <c r="AB39" s="1310">
        <f t="shared" si="4"/>
        <v>1</v>
      </c>
      <c r="AC39" s="1310">
        <f t="shared" si="5"/>
        <v>1</v>
      </c>
    </row>
    <row r="40" spans="1:29" ht="21">
      <c r="A40" s="2205" t="s">
        <v>2037</v>
      </c>
      <c r="B40" s="544" t="s">
        <v>501</v>
      </c>
      <c r="C40" s="545">
        <f>'数据-汇总表'!D3</f>
        <v>42082</v>
      </c>
      <c r="D40" s="546">
        <v>100</v>
      </c>
      <c r="E40" s="545">
        <f>'信息+土地案例'!I26</f>
        <v>25910</v>
      </c>
      <c r="F40" s="546">
        <f>LOOKUP(E40,118:118,119:119)-LOOKUP(C40,118:118,119:119)+100</f>
        <v>100</v>
      </c>
      <c r="G40" s="545">
        <f>'信息+土地案例'!I27</f>
        <v>46214</v>
      </c>
      <c r="H40" s="546">
        <f>LOOKUP(G40,118:118,119:119)-LOOKUP(C40,118:118,119:119)+100</f>
        <v>100</v>
      </c>
      <c r="I40" s="547">
        <f>'信息+土地案例'!I28</f>
        <v>208984</v>
      </c>
      <c r="J40" s="546">
        <f>LOOKUP(I40,118:118,119:119)-LOOKUP(C40,118:118,119:119)+100</f>
        <v>95</v>
      </c>
      <c r="K40" s="531"/>
      <c r="L40" s="1750"/>
      <c r="M40" s="1741"/>
      <c r="N40" s="1741"/>
      <c r="O40" s="1749"/>
      <c r="P40" s="3632"/>
      <c r="Q40" s="1307" t="str">
        <f>B40</f>
        <v>宗地面积</v>
      </c>
      <c r="R40" s="1308" t="s">
        <v>5</v>
      </c>
      <c r="S40" s="1309">
        <f t="shared" si="9"/>
        <v>100</v>
      </c>
      <c r="T40" s="1308" t="s">
        <v>5</v>
      </c>
      <c r="U40" s="1309">
        <f t="shared" si="10"/>
        <v>100</v>
      </c>
      <c r="V40" s="1308" t="s">
        <v>5</v>
      </c>
      <c r="W40" s="1309">
        <f t="shared" si="11"/>
        <v>95</v>
      </c>
      <c r="X40" s="1303"/>
      <c r="Y40" s="3632"/>
      <c r="Z40" s="1310" t="str">
        <f t="shared" si="12"/>
        <v>宗地面积</v>
      </c>
      <c r="AA40" s="1310">
        <f t="shared" si="3"/>
        <v>1</v>
      </c>
      <c r="AB40" s="1310">
        <f t="shared" si="4"/>
        <v>1</v>
      </c>
      <c r="AC40" s="1310">
        <f t="shared" si="5"/>
        <v>1.0526315789473684</v>
      </c>
    </row>
    <row r="41" spans="1:29" ht="21">
      <c r="A41" s="543"/>
      <c r="B41" s="477" t="s">
        <v>502</v>
      </c>
      <c r="C41" s="548" t="s">
        <v>3472</v>
      </c>
      <c r="D41" s="490">
        <v>100</v>
      </c>
      <c r="E41" s="548" t="s">
        <v>3472</v>
      </c>
      <c r="F41" s="490">
        <f>SUMIF(120:120,E41,121:121)-SUMIF(120:120,C41,121:121)+100</f>
        <v>100</v>
      </c>
      <c r="G41" s="548" t="s">
        <v>3474</v>
      </c>
      <c r="H41" s="490">
        <f>SUMIF(120:120,G41,121:121)-SUMIF(120:120,C41,121:121)+100</f>
        <v>98</v>
      </c>
      <c r="I41" s="548" t="s">
        <v>3472</v>
      </c>
      <c r="J41" s="490">
        <f>SUMIF(120:120,I41,121:121)-SUMIF(120:120,C41,121:121)+100</f>
        <v>100</v>
      </c>
      <c r="K41" s="533">
        <v>2</v>
      </c>
      <c r="L41" s="1750"/>
      <c r="M41" s="1741"/>
      <c r="N41" s="1741"/>
      <c r="O41" s="1749"/>
      <c r="P41" s="3632"/>
      <c r="Q41" s="1307" t="str">
        <f t="shared" ref="Q41:Q47" si="13">B41</f>
        <v>宗地形状</v>
      </c>
      <c r="R41" s="1308" t="s">
        <v>5</v>
      </c>
      <c r="S41" s="1309">
        <f t="shared" si="9"/>
        <v>100</v>
      </c>
      <c r="T41" s="1308" t="s">
        <v>5</v>
      </c>
      <c r="U41" s="1309">
        <f t="shared" si="10"/>
        <v>98</v>
      </c>
      <c r="V41" s="1308" t="s">
        <v>5</v>
      </c>
      <c r="W41" s="1309">
        <f t="shared" si="11"/>
        <v>100</v>
      </c>
      <c r="X41" s="1303"/>
      <c r="Y41" s="3632"/>
      <c r="Z41" s="1310" t="str">
        <f t="shared" si="12"/>
        <v>宗地形状</v>
      </c>
      <c r="AA41" s="1310">
        <f t="shared" si="3"/>
        <v>1</v>
      </c>
      <c r="AB41" s="1310">
        <f t="shared" si="4"/>
        <v>1.0204081632653061</v>
      </c>
      <c r="AC41" s="1310">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32"/>
      <c r="Q42" s="1307" t="str">
        <f t="shared" si="13"/>
        <v>临街宽度及深度</v>
      </c>
      <c r="R42" s="1308" t="s">
        <v>5</v>
      </c>
      <c r="S42" s="1309">
        <f t="shared" si="9"/>
        <v>100</v>
      </c>
      <c r="T42" s="1308" t="s">
        <v>5</v>
      </c>
      <c r="U42" s="1309">
        <f t="shared" si="10"/>
        <v>100</v>
      </c>
      <c r="V42" s="1308" t="s">
        <v>5</v>
      </c>
      <c r="W42" s="1309">
        <f t="shared" si="11"/>
        <v>100</v>
      </c>
      <c r="X42" s="1303"/>
      <c r="Y42" s="3632"/>
      <c r="Z42" s="1310" t="str">
        <f t="shared" si="12"/>
        <v>临街宽度及深度</v>
      </c>
      <c r="AA42" s="1310">
        <f t="shared" si="3"/>
        <v>1</v>
      </c>
      <c r="AB42" s="1310">
        <f t="shared" si="4"/>
        <v>1</v>
      </c>
      <c r="AC42" s="1310">
        <f t="shared" si="5"/>
        <v>1</v>
      </c>
    </row>
    <row r="43" spans="1:29" s="1060" customFormat="1" ht="21">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4"/>
      <c r="M43" s="1741"/>
      <c r="N43" s="1741"/>
      <c r="O43" s="1745"/>
      <c r="P43" s="3632"/>
      <c r="Q43" s="1307" t="str">
        <f t="shared" si="13"/>
        <v>宗地开发程度</v>
      </c>
      <c r="R43" s="1304" t="s">
        <v>5</v>
      </c>
      <c r="S43" s="1305">
        <f t="shared" si="9"/>
        <v>100</v>
      </c>
      <c r="T43" s="1304" t="s">
        <v>5</v>
      </c>
      <c r="U43" s="1305">
        <f t="shared" si="10"/>
        <v>100</v>
      </c>
      <c r="V43" s="1304" t="s">
        <v>5</v>
      </c>
      <c r="W43" s="1305">
        <f t="shared" si="11"/>
        <v>100</v>
      </c>
      <c r="X43" s="1306"/>
      <c r="Y43" s="3632"/>
      <c r="Z43" s="997" t="str">
        <f t="shared" si="12"/>
        <v>宗地开发程度</v>
      </c>
      <c r="AA43" s="997">
        <f t="shared" si="3"/>
        <v>1</v>
      </c>
      <c r="AB43" s="997">
        <f t="shared" si="4"/>
        <v>1</v>
      </c>
      <c r="AC43" s="997">
        <f t="shared" si="5"/>
        <v>1</v>
      </c>
    </row>
    <row r="44" spans="1:29" ht="21">
      <c r="A44" s="543"/>
      <c r="B44" s="477" t="s">
        <v>504</v>
      </c>
      <c r="C44" s="548" t="s">
        <v>3477</v>
      </c>
      <c r="D44" s="490">
        <v>100</v>
      </c>
      <c r="E44" s="548" t="s">
        <v>3477</v>
      </c>
      <c r="F44" s="490">
        <f>SUMIF(126:126,E44,127:127)-SUMIF(126:126,C44,127:127)+100</f>
        <v>100</v>
      </c>
      <c r="G44" s="548" t="s">
        <v>3477</v>
      </c>
      <c r="H44" s="490">
        <f>SUMIF(126:126,G44,127:127)-SUMIF(126:126,C44,127:127)+100</f>
        <v>100</v>
      </c>
      <c r="I44" s="548" t="s">
        <v>3477</v>
      </c>
      <c r="J44" s="490">
        <f>SUMIF(126:126,I44,127:127)-SUMIF(126:126,C44,127:127)+100</f>
        <v>100</v>
      </c>
      <c r="K44" s="533">
        <v>2</v>
      </c>
      <c r="L44" s="1750"/>
      <c r="M44" s="1741"/>
      <c r="N44" s="1741"/>
      <c r="O44" s="1749"/>
      <c r="P44" s="3632" t="s">
        <v>499</v>
      </c>
      <c r="Q44" s="1307" t="str">
        <f t="shared" si="13"/>
        <v>工程地质条件</v>
      </c>
      <c r="R44" s="1308" t="s">
        <v>5</v>
      </c>
      <c r="S44" s="1309">
        <f t="shared" si="9"/>
        <v>100</v>
      </c>
      <c r="T44" s="1308" t="s">
        <v>5</v>
      </c>
      <c r="U44" s="1309">
        <f t="shared" si="10"/>
        <v>100</v>
      </c>
      <c r="V44" s="1308" t="s">
        <v>5</v>
      </c>
      <c r="W44" s="1309">
        <f t="shared" si="11"/>
        <v>100</v>
      </c>
      <c r="X44" s="1303"/>
      <c r="Y44" s="3632"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2"/>
      <c r="Q45" s="1307">
        <f t="shared" si="13"/>
        <v>111</v>
      </c>
      <c r="R45" s="1308" t="s">
        <v>5</v>
      </c>
      <c r="S45" s="1309">
        <f t="shared" si="9"/>
        <v>100</v>
      </c>
      <c r="T45" s="1308" t="s">
        <v>5</v>
      </c>
      <c r="U45" s="1309">
        <f t="shared" si="10"/>
        <v>100</v>
      </c>
      <c r="V45" s="1308" t="s">
        <v>5</v>
      </c>
      <c r="W45" s="1309">
        <f t="shared" si="11"/>
        <v>100</v>
      </c>
      <c r="X45" s="1303"/>
      <c r="Y45" s="3632"/>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2"/>
      <c r="Q46" s="1307">
        <f t="shared" si="13"/>
        <v>111</v>
      </c>
      <c r="R46" s="1308" t="s">
        <v>5</v>
      </c>
      <c r="S46" s="1309">
        <f t="shared" si="9"/>
        <v>100</v>
      </c>
      <c r="T46" s="1308" t="s">
        <v>5</v>
      </c>
      <c r="U46" s="1309">
        <f t="shared" si="10"/>
        <v>100</v>
      </c>
      <c r="V46" s="1308" t="s">
        <v>5</v>
      </c>
      <c r="W46" s="1309">
        <f t="shared" si="11"/>
        <v>100</v>
      </c>
      <c r="X46" s="1303"/>
      <c r="Y46" s="3632"/>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2"/>
      <c r="Q47" s="1307">
        <f t="shared" si="13"/>
        <v>111</v>
      </c>
      <c r="R47" s="1311" t="s">
        <v>5</v>
      </c>
      <c r="S47" s="1312">
        <f t="shared" si="9"/>
        <v>100</v>
      </c>
      <c r="T47" s="1311" t="s">
        <v>5</v>
      </c>
      <c r="U47" s="1312">
        <f t="shared" si="10"/>
        <v>100</v>
      </c>
      <c r="V47" s="1311" t="s">
        <v>5</v>
      </c>
      <c r="W47" s="1312">
        <f t="shared" si="11"/>
        <v>100</v>
      </c>
      <c r="X47" s="1313"/>
      <c r="Y47" s="3632"/>
      <c r="Z47" s="1314">
        <f t="shared" si="12"/>
        <v>111</v>
      </c>
      <c r="AA47" s="1310">
        <f t="shared" si="3"/>
        <v>1</v>
      </c>
      <c r="AB47" s="1310">
        <f t="shared" si="4"/>
        <v>1</v>
      </c>
      <c r="AC47" s="1310">
        <f t="shared" si="5"/>
        <v>1</v>
      </c>
    </row>
    <row r="48" spans="1:29" ht="21">
      <c r="A48" s="556" t="s">
        <v>505</v>
      </c>
      <c r="B48" s="557" t="s">
        <v>3465</v>
      </c>
      <c r="C48" s="558" t="s">
        <v>0</v>
      </c>
      <c r="D48" s="559"/>
      <c r="E48" s="560">
        <f>'信息+土地案例'!AW26</f>
        <v>5723</v>
      </c>
      <c r="F48" s="561"/>
      <c r="G48" s="562">
        <f>'信息+土地案例'!AW27</f>
        <v>6059</v>
      </c>
      <c r="H48" s="563"/>
      <c r="I48" s="560">
        <f>'信息+土地案例'!AW28</f>
        <v>5873</v>
      </c>
      <c r="J48" s="563"/>
      <c r="K48" s="1135"/>
      <c r="L48" s="1752"/>
      <c r="M48" s="1741"/>
      <c r="N48" s="1741"/>
      <c r="O48" s="1743"/>
      <c r="P48" s="3596" t="str">
        <f>A48</f>
        <v>成交单价</v>
      </c>
      <c r="Q48" s="3596"/>
      <c r="R48" s="3597">
        <f>E48</f>
        <v>5723</v>
      </c>
      <c r="S48" s="3597"/>
      <c r="T48" s="3597">
        <f>G48</f>
        <v>6059</v>
      </c>
      <c r="U48" s="3597"/>
      <c r="V48" s="3597">
        <f>I48</f>
        <v>5873</v>
      </c>
      <c r="W48" s="3597"/>
      <c r="X48" s="799"/>
      <c r="Y48" s="1315"/>
      <c r="Z48" s="799"/>
      <c r="AA48" s="799"/>
      <c r="AB48" s="799"/>
      <c r="AC48" s="799"/>
    </row>
    <row r="49" spans="1:29" ht="21.6" thickBot="1">
      <c r="A49" s="564" t="s">
        <v>1975</v>
      </c>
      <c r="B49" s="565"/>
      <c r="C49" s="566">
        <f>R50</f>
        <v>4787</v>
      </c>
      <c r="D49" s="2550" t="s">
        <v>2261</v>
      </c>
      <c r="E49" s="566">
        <f>R49</f>
        <v>4524</v>
      </c>
      <c r="F49" s="2551"/>
      <c r="G49" s="567">
        <f>T49</f>
        <v>4596</v>
      </c>
      <c r="H49" s="2551"/>
      <c r="I49" s="566">
        <f>V49</f>
        <v>5242</v>
      </c>
      <c r="J49" s="2551"/>
      <c r="K49" s="2552">
        <f>F49+H49+J49</f>
        <v>0</v>
      </c>
      <c r="L49" s="1752"/>
      <c r="M49" s="1741"/>
      <c r="N49" s="1741"/>
      <c r="O49" s="1743"/>
      <c r="P49" s="3596" t="str">
        <f>A49</f>
        <v>比较价格（元/平方米）</v>
      </c>
      <c r="Q49" s="3596"/>
      <c r="R49" s="3598">
        <f>ROUND(PRODUCT(R48,AA9:AA47),0)</f>
        <v>4524</v>
      </c>
      <c r="S49" s="3598"/>
      <c r="T49" s="3598">
        <f>ROUND(PRODUCT(T48,AB9:AB47),0)</f>
        <v>4596</v>
      </c>
      <c r="U49" s="3598"/>
      <c r="V49" s="3598">
        <f>ROUND(PRODUCT(V48,AC9:AC47),0)</f>
        <v>5242</v>
      </c>
      <c r="W49" s="3598"/>
      <c r="X49" s="799"/>
      <c r="Y49" s="799"/>
      <c r="Z49" s="799"/>
      <c r="AA49" s="799"/>
      <c r="AB49" s="799"/>
      <c r="AC49" s="799"/>
    </row>
    <row r="50" spans="1:29" ht="21.6" thickBot="1">
      <c r="A50" s="568" t="s">
        <v>2198</v>
      </c>
      <c r="B50" s="569"/>
      <c r="C50" s="570">
        <f>R50</f>
        <v>4787</v>
      </c>
      <c r="D50" s="570"/>
      <c r="E50" s="570"/>
      <c r="F50" s="570"/>
      <c r="G50" s="570"/>
      <c r="H50" s="570"/>
      <c r="I50" s="570"/>
      <c r="J50" s="570"/>
      <c r="K50" s="1136"/>
      <c r="L50" s="1752"/>
      <c r="M50" s="1741"/>
      <c r="N50" s="1741"/>
      <c r="O50" s="1743"/>
      <c r="P50" s="3633" t="str">
        <f>A50</f>
        <v>估价对象XX用房的比较价格（楼面单价，元/平方米）</v>
      </c>
      <c r="Q50" s="3634"/>
      <c r="R50" s="3595">
        <f>ROUND(IF(D49="简单平均",AVERAGE(R49:W49),R49*F49+T49*H49+V49*J49),0)</f>
        <v>4787</v>
      </c>
      <c r="S50" s="3595"/>
      <c r="T50" s="3595"/>
      <c r="U50" s="3595"/>
      <c r="V50" s="3595"/>
      <c r="W50" s="3595"/>
      <c r="X50" s="799"/>
      <c r="Y50" s="799"/>
      <c r="Z50" s="799"/>
      <c r="AA50" s="799"/>
      <c r="AB50" s="799"/>
      <c r="AC50" s="799"/>
    </row>
    <row r="51" spans="1:29" ht="21">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1">
      <c r="A52" s="2721"/>
      <c r="B52" s="2721"/>
      <c r="C52" s="2721"/>
      <c r="D52" s="2721"/>
      <c r="E52" s="2721"/>
      <c r="F52" s="2721"/>
      <c r="G52" s="2721"/>
      <c r="H52" s="2721"/>
      <c r="I52" s="2721"/>
      <c r="J52" s="2721"/>
      <c r="K52" s="2724"/>
      <c r="L52" s="1756"/>
      <c r="M52" s="3417"/>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f>IF(E48&lt;E49,E49/E48-1,E48/E49-1)</f>
        <v>0.26503094606542876</v>
      </c>
      <c r="F53" s="574" t="str">
        <f>IF(OR(E53&gt;=0.3,E53&lt;=-0.3),"超过30%","")</f>
        <v/>
      </c>
      <c r="G53" s="573">
        <f>IF(G48&lt;G49,G49/G48-1,G48/G49-1)</f>
        <v>0.31832027850304612</v>
      </c>
      <c r="H53" s="574" t="str">
        <f>IF(OR(G53&gt;=0.3,G53&lt;=-0.3),"超过30%","")</f>
        <v>超过30%</v>
      </c>
      <c r="I53" s="573">
        <f>IF(I48&lt;I49,I49/I48-1,I48/I49-1)</f>
        <v>0.1203739030904234</v>
      </c>
      <c r="J53" s="574" t="str">
        <f>IF(OR(I53&gt;=0.3,I53&lt;=-0.3),"超过30%","")</f>
        <v/>
      </c>
      <c r="K53" s="2724"/>
      <c r="L53" s="1756"/>
      <c r="M53" s="1741"/>
      <c r="N53" s="1741"/>
      <c r="O53" s="1743"/>
      <c r="P53" s="3418" t="s">
        <v>3505</v>
      </c>
      <c r="Q53" s="1743">
        <v>40000</v>
      </c>
      <c r="R53" s="1743"/>
      <c r="S53" s="1743"/>
      <c r="T53" s="1743"/>
      <c r="U53" s="1743"/>
      <c r="V53" s="1743"/>
      <c r="W53" s="1743"/>
      <c r="X53" s="1743"/>
      <c r="Y53" s="1743"/>
      <c r="Z53" s="1743"/>
      <c r="AA53" s="1743"/>
      <c r="AB53" s="1743"/>
      <c r="AC53" s="1743"/>
    </row>
    <row r="54" spans="1:29" ht="13.5" customHeight="1">
      <c r="A54" s="2721"/>
      <c r="B54" s="2721"/>
      <c r="C54" s="571" t="s">
        <v>507</v>
      </c>
      <c r="D54" s="575"/>
      <c r="E54" s="573">
        <f>IF(E49&lt;G49,G49/E49-1,E49/G49-1)</f>
        <v>1.5915119363395291E-2</v>
      </c>
      <c r="F54" s="574" t="str">
        <f>IF(OR(E54&gt;=0.2,E54&lt;=-0.2),"超过20%","")</f>
        <v/>
      </c>
      <c r="G54" s="573">
        <f>IF(G49&lt;I49,I49/G49-1,G49/I49-1)</f>
        <v>0.14055700609225408</v>
      </c>
      <c r="H54" s="574" t="str">
        <f>IF(OR(G54&gt;=0.2,G54&lt;=-0.2),"超过20%","")</f>
        <v/>
      </c>
      <c r="I54" s="573">
        <f>IF(I49&lt;E49,E49/I49-1,I49/E49-1)</f>
        <v>0.15870910698496909</v>
      </c>
      <c r="J54" s="574" t="str">
        <f>IF(OR(I54&gt;=0.2,I54&lt;=-0.2),"超过20%","")</f>
        <v/>
      </c>
      <c r="K54" s="2724"/>
      <c r="L54" s="1756"/>
      <c r="M54" s="1741"/>
      <c r="N54" s="1741"/>
      <c r="O54" s="1743"/>
      <c r="P54" s="3418" t="s">
        <v>3506</v>
      </c>
      <c r="Q54" s="1743">
        <v>20000</v>
      </c>
      <c r="R54" s="3419"/>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5"/>
      <c r="L55" s="1759"/>
      <c r="M55" s="1741"/>
      <c r="N55" s="1741"/>
      <c r="O55" s="1753"/>
      <c r="P55" s="1753"/>
      <c r="Q55" s="1753">
        <f>Q54/Q53</f>
        <v>0.5</v>
      </c>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2" t="s">
        <v>1639</v>
      </c>
      <c r="H57" s="3623"/>
      <c r="I57" s="1298" t="s">
        <v>1251</v>
      </c>
      <c r="J57" s="1298" t="str">
        <f>项目基本情况!F41</f>
        <v>江苏省淮安市淮安区</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4787</v>
      </c>
      <c r="C58" s="582">
        <v>1</v>
      </c>
      <c r="D58" s="1823">
        <v>1</v>
      </c>
      <c r="E58" s="582">
        <f>'数据-汇总表'!E8+'数据-汇总表'!E9</f>
        <v>92580.400000000009</v>
      </c>
      <c r="F58" s="583">
        <f t="shared" ref="F58:F66" si="14">ROUND(B58*E58/10000,0)</f>
        <v>44318</v>
      </c>
      <c r="G58" s="3624"/>
      <c r="H58" s="3625"/>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0</v>
      </c>
      <c r="C59" s="348">
        <f t="shared" ref="C59:C66" si="15">IF($C$57="北京市系数",I59,J59)</f>
        <v>0</v>
      </c>
      <c r="D59" s="1824">
        <v>0.25</v>
      </c>
      <c r="E59" s="586">
        <v>0</v>
      </c>
      <c r="F59" s="583">
        <f t="shared" si="14"/>
        <v>0</v>
      </c>
      <c r="G59" s="3028" t="s">
        <v>1640</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0</v>
      </c>
      <c r="C60" s="348">
        <f t="shared" si="15"/>
        <v>0</v>
      </c>
      <c r="D60" s="1824">
        <v>0.25</v>
      </c>
      <c r="E60" s="586">
        <v>0</v>
      </c>
      <c r="F60" s="583">
        <f t="shared" si="14"/>
        <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0</v>
      </c>
      <c r="C61" s="348">
        <f t="shared" si="15"/>
        <v>0</v>
      </c>
      <c r="D61" s="1824">
        <v>0.25</v>
      </c>
      <c r="E61" s="586">
        <v>0</v>
      </c>
      <c r="F61" s="583">
        <f t="shared" si="14"/>
        <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0</v>
      </c>
      <c r="C65" s="348">
        <f t="shared" si="15"/>
        <v>0</v>
      </c>
      <c r="D65" s="1824">
        <v>0.25</v>
      </c>
      <c r="E65" s="588">
        <f>'数据-汇总表'!E14</f>
        <v>0</v>
      </c>
      <c r="F65" s="583">
        <f t="shared" si="14"/>
        <v>0</v>
      </c>
      <c r="G65" s="1605" t="s">
        <v>1640</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12</v>
      </c>
      <c r="D67" s="590" t="s">
        <v>1651</v>
      </c>
      <c r="E67" s="590">
        <f>IF(B48="楼面地价",SUM(E58:E66),'数据-汇总表'!D3)</f>
        <v>92580.400000000009</v>
      </c>
      <c r="F67" s="591">
        <f>IF(B48="楼面地价",SUM(F58:F66),ROUND(C50*E67/10000,0))</f>
        <v>44318</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2025-3-1</v>
      </c>
      <c r="D69" s="2112">
        <f>EDATE(C69,-3)</f>
        <v>45627</v>
      </c>
      <c r="E69" s="2112">
        <f t="shared" ref="E69:N69" si="17">EDATE(D69,-3)</f>
        <v>45536</v>
      </c>
      <c r="F69" s="2112">
        <f t="shared" si="17"/>
        <v>45444</v>
      </c>
      <c r="G69" s="2112">
        <f t="shared" si="17"/>
        <v>45352</v>
      </c>
      <c r="H69" s="2112">
        <f t="shared" si="17"/>
        <v>45261</v>
      </c>
      <c r="I69" s="2112">
        <f t="shared" si="17"/>
        <v>45170</v>
      </c>
      <c r="J69" s="2112">
        <f t="shared" si="17"/>
        <v>45078</v>
      </c>
      <c r="K69" s="2112">
        <f t="shared" si="17"/>
        <v>44986</v>
      </c>
      <c r="L69" s="2112">
        <f t="shared" si="17"/>
        <v>44896</v>
      </c>
      <c r="M69" s="2112">
        <f t="shared" si="17"/>
        <v>44805</v>
      </c>
      <c r="N69" s="2112">
        <f t="shared" si="17"/>
        <v>44713</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06" t="s">
        <v>3460</v>
      </c>
      <c r="D76" s="3406" t="s">
        <v>3461</v>
      </c>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90</v>
      </c>
      <c r="D77" s="613">
        <v>100</v>
      </c>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1</v>
      </c>
      <c r="E81" s="491">
        <v>2</v>
      </c>
      <c r="F81" s="491">
        <v>3</v>
      </c>
      <c r="G81" s="491">
        <v>4</v>
      </c>
      <c r="H81" s="491">
        <v>5</v>
      </c>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28.8" thickTop="1">
      <c r="A85" s="629"/>
      <c r="B85" s="615" t="str">
        <f>B15</f>
        <v>商业占比</v>
      </c>
      <c r="C85" s="630" t="s">
        <v>3502</v>
      </c>
      <c r="D85" s="630" t="s">
        <v>3503</v>
      </c>
      <c r="E85" s="630" t="s">
        <v>3504</v>
      </c>
      <c r="F85" s="630" t="s">
        <v>3513</v>
      </c>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v>100</v>
      </c>
      <c r="D86" s="634">
        <f>C86-5</f>
        <v>95</v>
      </c>
      <c r="E86" s="634">
        <f t="shared" ref="E86:G86" si="21">D86-5</f>
        <v>90</v>
      </c>
      <c r="F86" s="634">
        <f t="shared" si="21"/>
        <v>85</v>
      </c>
      <c r="G86" s="634">
        <f t="shared" si="21"/>
        <v>80</v>
      </c>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97</v>
      </c>
      <c r="E90" s="621">
        <f>D90-$K17</f>
        <v>94</v>
      </c>
      <c r="F90" s="621">
        <f>E90-$K17</f>
        <v>91</v>
      </c>
      <c r="G90" s="621">
        <f>F90-$K17</f>
        <v>88</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3414" t="s">
        <v>3486</v>
      </c>
      <c r="D107" s="3409" t="s">
        <v>3488</v>
      </c>
      <c r="E107" s="3409" t="s">
        <v>3489</v>
      </c>
      <c r="F107" s="3409" t="s">
        <v>3491</v>
      </c>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3">C108-$K34</f>
        <v>98</v>
      </c>
      <c r="E108" s="621">
        <f t="shared" si="23"/>
        <v>96</v>
      </c>
      <c r="F108" s="621">
        <f t="shared" si="23"/>
        <v>94</v>
      </c>
      <c r="G108" s="621">
        <f t="shared" si="23"/>
        <v>92</v>
      </c>
      <c r="H108" s="621">
        <f t="shared" si="23"/>
        <v>90</v>
      </c>
      <c r="I108" s="621">
        <f t="shared" si="23"/>
        <v>88</v>
      </c>
      <c r="J108" s="621">
        <f t="shared" si="23"/>
        <v>86</v>
      </c>
      <c r="K108" s="621">
        <f t="shared" si="23"/>
        <v>84</v>
      </c>
      <c r="L108" s="621">
        <f t="shared" si="23"/>
        <v>82</v>
      </c>
      <c r="M108" s="621">
        <f t="shared" si="23"/>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5">C118&amp;"(含)"&amp;"-"&amp;D118</f>
        <v>0(含)-50000</v>
      </c>
      <c r="D117" s="645" t="str">
        <f t="shared" si="25"/>
        <v>50000(含)-70000</v>
      </c>
      <c r="E117" s="645" t="str">
        <f t="shared" si="25"/>
        <v>70000(含)-100000</v>
      </c>
      <c r="F117" s="645" t="str">
        <f t="shared" si="25"/>
        <v>100000(含)-150000</v>
      </c>
      <c r="G117" s="645" t="str">
        <f t="shared" si="25"/>
        <v>150000(含)-200000</v>
      </c>
      <c r="H117" s="645" t="str">
        <f t="shared" si="25"/>
        <v>200000(含)-250000</v>
      </c>
      <c r="I117" s="645" t="str">
        <f t="shared" si="25"/>
        <v>250000(含)-</v>
      </c>
      <c r="J117" s="2348" t="str">
        <f t="shared" si="25"/>
        <v>(含)-</v>
      </c>
      <c r="K117" s="2348" t="str">
        <f t="shared" si="25"/>
        <v>(含)-</v>
      </c>
      <c r="L117" s="2349" t="str">
        <f t="shared" si="25"/>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50000</v>
      </c>
      <c r="E118" s="79">
        <v>70000</v>
      </c>
      <c r="F118" s="79">
        <v>100000</v>
      </c>
      <c r="G118" s="79">
        <v>150000</v>
      </c>
      <c r="H118" s="79">
        <v>200000</v>
      </c>
      <c r="I118" s="79">
        <v>250000</v>
      </c>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09" t="s">
        <v>3471</v>
      </c>
      <c r="D120" s="3409" t="s">
        <v>3473</v>
      </c>
      <c r="E120" s="3409" t="s">
        <v>3475</v>
      </c>
      <c r="F120" s="3410" t="s">
        <v>3476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7">C121-$K41</f>
        <v>98</v>
      </c>
      <c r="E121" s="621">
        <f t="shared" si="27"/>
        <v>96</v>
      </c>
      <c r="F121" s="621">
        <f t="shared" si="27"/>
        <v>94</v>
      </c>
      <c r="G121" s="621">
        <f t="shared" si="27"/>
        <v>92</v>
      </c>
      <c r="H121" s="621">
        <f t="shared" si="27"/>
        <v>90</v>
      </c>
      <c r="I121" s="621">
        <f t="shared" si="27"/>
        <v>88</v>
      </c>
      <c r="J121" s="621">
        <f t="shared" si="27"/>
        <v>86</v>
      </c>
      <c r="K121" s="621">
        <f t="shared" si="27"/>
        <v>84</v>
      </c>
      <c r="L121" s="621">
        <f t="shared" si="27"/>
        <v>82</v>
      </c>
      <c r="M121" s="622">
        <f t="shared" si="27"/>
        <v>80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3409"/>
      <c r="D122" s="3409"/>
      <c r="E122" s="3409"/>
      <c r="F122" s="3410"/>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3408" t="s">
        <v>3466</v>
      </c>
      <c r="D124" s="3408" t="s">
        <v>3467</v>
      </c>
      <c r="E124" s="3408" t="s">
        <v>3468</v>
      </c>
      <c r="F124" s="3408" t="s">
        <v>3469</v>
      </c>
      <c r="G124" s="3408" t="s">
        <v>3470</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3409" t="s">
        <v>3478</v>
      </c>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8" sqref="D8"/>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427</v>
      </c>
      <c r="B2" s="1714">
        <f ca="1">C36</f>
        <v>55981</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6047</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13303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887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80332</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4.4">
      <c r="A7" s="2139" t="s">
        <v>430</v>
      </c>
      <c r="B7" s="2140" t="s">
        <v>431</v>
      </c>
      <c r="C7" s="406" t="s">
        <v>851</v>
      </c>
      <c r="D7" s="406" t="s">
        <v>2738</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'不动产比较法-住宅'!C49</f>
        <v>8677</v>
      </c>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92580.400000000009</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5">
        <f>ROUND(C8*C9/10000,0)</f>
        <v>80332</v>
      </c>
      <c r="D10" s="2315"/>
      <c r="E10" s="2315"/>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0.1</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1852</v>
      </c>
      <c r="D16" s="2151">
        <f ca="1">IF(B1="",'数据-汇总表'!E3,INDIRECT("'数据-取费表'!K"&amp;$K$1)+INDIRECT("'数据-取费表'!S"&amp;$K$1))</f>
        <v>92580.400000000009</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1852</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92580.400000000009</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972</v>
      </c>
      <c r="D20" s="2160"/>
      <c r="E20" s="1632"/>
      <c r="F20" s="2161"/>
      <c r="G20" s="2344"/>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972</v>
      </c>
      <c r="D21" s="2151">
        <f ca="1">IF(B1="",'数据-汇总表'!E5,IF(INDIRECT("'数据-取费表'!c"&amp;$K$1)="住宅",INDIRECT("'数据-取费表'!k"&amp;$K$1),0))</f>
        <v>92580.400000000009</v>
      </c>
      <c r="E21" s="49">
        <f>'数据-取费表'!B27</f>
        <v>105</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105</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19" t="s">
        <v>2109</v>
      </c>
      <c r="C23" s="2158">
        <f ca="1">ROUND((C18+C19+C20)*F23,0)</f>
        <v>56</v>
      </c>
      <c r="D23" s="437"/>
      <c r="E23" s="437"/>
      <c r="F23" s="2162">
        <f>'数据-取费表'!B37</f>
        <v>0.02</v>
      </c>
      <c r="G23" s="2123" t="s">
        <v>1782</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1388</v>
      </c>
      <c r="B24" s="2319" t="s">
        <v>2112</v>
      </c>
      <c r="C24" s="2158">
        <f>ROUND(C6*F24,0)</f>
        <v>2410</v>
      </c>
      <c r="D24" s="444"/>
      <c r="E24" s="442"/>
      <c r="F24" s="2162">
        <f>'数据-取费表'!B38</f>
        <v>0.03</v>
      </c>
      <c r="G24" s="2128" t="s">
        <v>459</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1389</v>
      </c>
      <c r="B25" s="2319"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1390</v>
      </c>
      <c r="B26" s="2320" t="s">
        <v>2111</v>
      </c>
      <c r="C26" s="2163">
        <f ca="1">C28</f>
        <v>164</v>
      </c>
      <c r="D26" s="436">
        <f ca="1">C27</f>
        <v>6.4799999999999996E-2</v>
      </c>
      <c r="E26" s="438" t="s">
        <v>455</v>
      </c>
      <c r="F26" s="440">
        <f ca="1">'数据-取费表'!B40</f>
        <v>3.1E-2</v>
      </c>
      <c r="G26" s="2046"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1385</v>
      </c>
      <c r="B27" s="2164" t="s">
        <v>456</v>
      </c>
      <c r="C27" s="2165">
        <f ca="1">ROUND(IF('数据-取费表'!B22&lt;=1,(1+C25)*F26*'数据-取费表'!B24,(1+C25)*(POWER((1+F26),'数据-取费表'!B24)-1)),4)</f>
        <v>6.4799999999999996E-2</v>
      </c>
      <c r="D27" s="441"/>
      <c r="E27" s="442"/>
      <c r="F27" s="443"/>
      <c r="G27" s="2046"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1386</v>
      </c>
      <c r="B28" s="2164" t="s">
        <v>2113</v>
      </c>
      <c r="C28" s="2166">
        <f ca="1">ROUND(IF('数据-取费表'!B22&lt;=1,(C18+C19+C20+C23+C24)*F26*'数据-取费表'!B24/2,(C18+C19+C20+C23+C24)*(POWER((1+F26),'数据-取费表'!B24/2)-1)),0)</f>
        <v>164</v>
      </c>
      <c r="D28" s="441"/>
      <c r="E28" s="442"/>
      <c r="F28" s="443"/>
      <c r="G28" s="2046"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1391</v>
      </c>
      <c r="B29" s="2157" t="s">
        <v>457</v>
      </c>
      <c r="C29" s="2158">
        <f>ROUND(C6*F29/(1+'数据-取费表'!C42),0)</f>
        <v>4208</v>
      </c>
      <c r="D29" s="437"/>
      <c r="E29" s="437"/>
      <c r="F29" s="2321">
        <f>'数据-取费表'!B41</f>
        <v>5.5000000000000007E-2</v>
      </c>
      <c r="G29" s="2128" t="s">
        <v>458</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1392</v>
      </c>
      <c r="B30" s="2168" t="s">
        <v>460</v>
      </c>
      <c r="C30" s="2163">
        <f ca="1">C31</f>
        <v>9662</v>
      </c>
      <c r="D30" s="446">
        <f ca="1">C32</f>
        <v>9.3799999999999994E-2</v>
      </c>
      <c r="E30" s="438" t="s">
        <v>455</v>
      </c>
      <c r="F30" s="440"/>
      <c r="G30" s="2127" t="s">
        <v>2230</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1385</v>
      </c>
      <c r="B31" s="2164"/>
      <c r="C31" s="419">
        <f ca="1">C18+C19+C20+C23+C24+C26+C29</f>
        <v>9662</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1386</v>
      </c>
      <c r="B32" s="2164"/>
      <c r="C32" s="49">
        <f ca="1">ROUND(C25+D26,4)</f>
        <v>9.3799999999999994E-2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8" t="s">
        <v>2108</v>
      </c>
      <c r="B33" s="2316" t="s">
        <v>2106</v>
      </c>
      <c r="C33" s="447">
        <f ca="1">C35</f>
        <v>794</v>
      </c>
      <c r="D33" s="436">
        <f ca="1">C34</f>
        <v>0.15440000000000001</v>
      </c>
      <c r="E33" s="438" t="s">
        <v>455</v>
      </c>
      <c r="F33" s="448">
        <f ca="1">IF(B1="",'数据-取费表'!Q16,INDIRECT("'数据-取费表'!q"&amp;$K$1))</f>
        <v>0.15</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1385</v>
      </c>
      <c r="B34" s="2169" t="s">
        <v>461</v>
      </c>
      <c r="C34" s="441">
        <f ca="1">ROUND((1+C25)*F33,4)</f>
        <v>0.15440000000000001</v>
      </c>
      <c r="D34" s="441"/>
      <c r="E34" s="442"/>
      <c r="F34" s="449"/>
      <c r="G34" s="241" t="s">
        <v>1648</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1386</v>
      </c>
      <c r="B35" s="2317" t="s">
        <v>2114</v>
      </c>
      <c r="C35" s="1351">
        <f ca="1">ROUND((C18+C19+C20+C23+C24)*F33,0)</f>
        <v>794</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1373</v>
      </c>
      <c r="B36" s="2133"/>
      <c r="C36" s="2171">
        <f ca="1">ROUND((C6-C30-C33)/(1+D30+D33),0)</f>
        <v>55981</v>
      </c>
      <c r="D36" s="2133"/>
      <c r="E36" s="2133"/>
      <c r="F36" s="2133"/>
      <c r="G36" s="2132" t="s">
        <v>2115</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9" customWidth="1"/>
    <col min="2" max="2" width="12.44140625" style="2749" customWidth="1"/>
    <col min="3" max="3" width="12.109375" style="2749" customWidth="1"/>
    <col min="4" max="4" width="16.6640625" style="2749" customWidth="1"/>
    <col min="5" max="5" width="12.44140625" style="2749" customWidth="1"/>
    <col min="6" max="6" width="12.77734375" style="2749" customWidth="1"/>
    <col min="7" max="16384" width="8.88671875" style="2749"/>
  </cols>
  <sheetData>
    <row r="1" spans="1:14" ht="20.399999999999999">
      <c r="A1" s="2752" t="s">
        <v>2211</v>
      </c>
      <c r="B1" s="2747"/>
      <c r="C1" s="2747"/>
      <c r="D1" s="2747"/>
      <c r="E1" s="2747"/>
      <c r="F1" s="2747"/>
      <c r="G1" s="2748"/>
      <c r="H1" s="2748"/>
      <c r="I1" s="2748"/>
      <c r="J1" s="2748"/>
      <c r="K1" s="2748"/>
      <c r="L1" s="2748"/>
      <c r="M1" s="2748"/>
      <c r="N1" s="2748"/>
    </row>
    <row r="2" spans="1:14" ht="15.6">
      <c r="A2" s="2753" t="s">
        <v>2206</v>
      </c>
      <c r="B2" s="2758">
        <f ca="1">SUMIF(B7:B14,"&lt;&gt;#ref!",B7:B14)</f>
        <v>0</v>
      </c>
      <c r="C2" s="2753" t="s">
        <v>2207</v>
      </c>
      <c r="D2" s="2750"/>
      <c r="E2" s="2750"/>
      <c r="F2" s="2750"/>
      <c r="G2" s="2748"/>
      <c r="H2" s="2748"/>
      <c r="I2" s="2748"/>
      <c r="J2" s="2748"/>
      <c r="K2" s="2748"/>
      <c r="L2" s="2748"/>
      <c r="M2" s="2748"/>
      <c r="N2" s="2748"/>
    </row>
    <row r="3" spans="1:14" ht="15.6">
      <c r="A3" s="2753" t="s">
        <v>2235</v>
      </c>
      <c r="B3" s="2758" t="e">
        <f ca="1">ROUND(B2*10000/E3,0)</f>
        <v>#DIV/0!</v>
      </c>
      <c r="C3" s="2753" t="s">
        <v>1596</v>
      </c>
      <c r="D3" s="2753" t="s">
        <v>2208</v>
      </c>
      <c r="E3" s="2751">
        <f ca="1">SUMIF(E7:E14,"&lt;&gt;#ref!",E7:E14)</f>
        <v>0</v>
      </c>
      <c r="F3" s="2750"/>
      <c r="G3" s="2748"/>
      <c r="H3" s="2748"/>
      <c r="I3" s="2748"/>
      <c r="J3" s="2748"/>
      <c r="K3" s="2748"/>
      <c r="L3" s="2748"/>
      <c r="M3" s="2748"/>
      <c r="N3" s="2748"/>
    </row>
    <row r="4" spans="1:14" ht="15.6">
      <c r="A4" s="2753" t="s">
        <v>2214</v>
      </c>
      <c r="B4" s="2758" t="e">
        <f ca="1">ROUND(B2*10000/E4,0)</f>
        <v>#DIV/0!</v>
      </c>
      <c r="C4" s="2753" t="s">
        <v>1596</v>
      </c>
      <c r="D4" s="2753" t="s">
        <v>2215</v>
      </c>
      <c r="E4" s="2751">
        <f ca="1">SUMIF(F7:F14,"&lt;&gt;#ref!",F7:F14)</f>
        <v>0</v>
      </c>
      <c r="F4" s="2750"/>
      <c r="G4" s="2748"/>
      <c r="H4" s="2748"/>
      <c r="I4" s="2748"/>
      <c r="J4" s="2748"/>
      <c r="K4" s="2748"/>
      <c r="L4" s="2748"/>
      <c r="M4" s="2748"/>
      <c r="N4" s="2748"/>
    </row>
    <row r="5" spans="1:14" ht="15.6">
      <c r="A5" s="2754"/>
      <c r="B5" s="2750"/>
      <c r="C5" s="2750"/>
      <c r="D5" s="2750"/>
      <c r="E5" s="2750"/>
      <c r="F5" s="2750"/>
      <c r="G5" s="2748"/>
      <c r="H5" s="2748"/>
      <c r="I5" s="2748"/>
      <c r="J5" s="2748"/>
      <c r="K5" s="2748"/>
      <c r="L5" s="2748"/>
      <c r="M5" s="2748"/>
      <c r="N5" s="2748"/>
    </row>
    <row r="6" spans="1:14" ht="31.2">
      <c r="A6" s="2755" t="s">
        <v>2212</v>
      </c>
      <c r="B6" s="2753" t="s">
        <v>2209</v>
      </c>
      <c r="C6" s="2355"/>
      <c r="D6" s="2750"/>
      <c r="E6" s="2753" t="s">
        <v>2210</v>
      </c>
      <c r="F6" s="2753" t="s">
        <v>2213</v>
      </c>
      <c r="G6" s="2748"/>
      <c r="H6" s="2748"/>
      <c r="I6" s="2748"/>
      <c r="J6" s="2748"/>
      <c r="K6" s="2748"/>
      <c r="L6" s="2748"/>
      <c r="M6" s="2748"/>
      <c r="N6" s="2748"/>
    </row>
    <row r="7" spans="1:14" ht="15.6">
      <c r="A7" s="2756"/>
      <c r="B7" s="2758" t="e">
        <f ca="1">SUMIF(INDIRECT("'"&amp;A7&amp;"'"&amp;"!A:A"),"总价",INDIRECT("'"&amp;A7&amp;"'"&amp;"!B:B"))</f>
        <v>#REF!</v>
      </c>
      <c r="C7" s="2753" t="s">
        <v>2207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5.6">
      <c r="A8" s="2756"/>
      <c r="B8" s="2758" t="e">
        <f t="shared" ref="B8:B14" ca="1" si="0">SUMIF(INDIRECT("'"&amp;A8&amp;"'"&amp;"!A:A"),"总价",INDIRECT("'"&amp;A8&amp;"'"&amp;"!B:B"))</f>
        <v>#REF!</v>
      </c>
      <c r="C8" s="2753" t="s">
        <v>2207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5.6">
      <c r="A9" s="2756"/>
      <c r="B9" s="2758" t="e">
        <f t="shared" ca="1" si="0"/>
        <v>#REF!</v>
      </c>
      <c r="C9" s="2753" t="s">
        <v>2207</v>
      </c>
      <c r="D9" s="2750"/>
      <c r="E9" s="2751" t="e">
        <f t="shared" ca="1" si="1"/>
        <v>#REF!</v>
      </c>
      <c r="F9" s="2751" t="e">
        <f t="shared" ca="1" si="2"/>
        <v>#REF!</v>
      </c>
      <c r="G9" s="2748"/>
      <c r="H9" s="2748"/>
      <c r="I9" s="2748"/>
      <c r="J9" s="2748"/>
      <c r="K9" s="2748"/>
      <c r="L9" s="2748"/>
      <c r="M9" s="2748"/>
      <c r="N9" s="2748"/>
    </row>
    <row r="10" spans="1:14" ht="15.6">
      <c r="A10" s="2756"/>
      <c r="B10" s="2758" t="e">
        <f t="shared" ca="1" si="0"/>
        <v>#REF!</v>
      </c>
      <c r="C10" s="2753" t="s">
        <v>2207</v>
      </c>
      <c r="D10" s="2750"/>
      <c r="E10" s="2751" t="e">
        <f t="shared" ca="1" si="1"/>
        <v>#REF!</v>
      </c>
      <c r="F10" s="2751" t="e">
        <f t="shared" ca="1" si="2"/>
        <v>#REF!</v>
      </c>
      <c r="G10" s="2748"/>
      <c r="H10" s="2748"/>
      <c r="I10" s="2748"/>
      <c r="J10" s="2748"/>
      <c r="K10" s="2748"/>
      <c r="L10" s="2748"/>
      <c r="M10" s="2748"/>
      <c r="N10" s="2748"/>
    </row>
    <row r="11" spans="1:14" ht="15.6">
      <c r="A11" s="2756"/>
      <c r="B11" s="2758" t="e">
        <f t="shared" ca="1" si="0"/>
        <v>#REF!</v>
      </c>
      <c r="C11" s="2753" t="s">
        <v>2207</v>
      </c>
      <c r="D11" s="2750"/>
      <c r="E11" s="2751" t="e">
        <f t="shared" ca="1" si="1"/>
        <v>#REF!</v>
      </c>
      <c r="F11" s="2751" t="e">
        <f t="shared" ca="1" si="2"/>
        <v>#REF!</v>
      </c>
      <c r="G11" s="2748"/>
      <c r="H11" s="2748"/>
      <c r="I11" s="2748"/>
      <c r="J11" s="2748"/>
      <c r="K11" s="2748"/>
      <c r="L11" s="2748"/>
      <c r="M11" s="2748"/>
      <c r="N11" s="2748"/>
    </row>
    <row r="12" spans="1:14" ht="15.6">
      <c r="A12" s="2756"/>
      <c r="B12" s="2758" t="e">
        <f t="shared" ca="1" si="0"/>
        <v>#REF!</v>
      </c>
      <c r="C12" s="2753" t="s">
        <v>2207</v>
      </c>
      <c r="D12" s="2750"/>
      <c r="E12" s="2751" t="e">
        <f t="shared" ca="1" si="1"/>
        <v>#REF!</v>
      </c>
      <c r="F12" s="2751" t="e">
        <f t="shared" ca="1" si="2"/>
        <v>#REF!</v>
      </c>
      <c r="G12" s="2748"/>
      <c r="H12" s="2748"/>
      <c r="I12" s="2748"/>
      <c r="J12" s="2748"/>
      <c r="K12" s="2748"/>
      <c r="L12" s="2748"/>
      <c r="M12" s="2748"/>
      <c r="N12" s="2748"/>
    </row>
    <row r="13" spans="1:14" ht="15.6">
      <c r="A13" s="2756"/>
      <c r="B13" s="2758" t="e">
        <f t="shared" ca="1" si="0"/>
        <v>#REF!</v>
      </c>
      <c r="C13" s="2753" t="s">
        <v>2207</v>
      </c>
      <c r="D13" s="2750"/>
      <c r="E13" s="2751" t="e">
        <f t="shared" ca="1" si="1"/>
        <v>#REF!</v>
      </c>
      <c r="F13" s="2751" t="e">
        <f t="shared" ca="1" si="2"/>
        <v>#REF!</v>
      </c>
      <c r="G13" s="2748"/>
      <c r="H13" s="2748"/>
      <c r="I13" s="2748"/>
      <c r="J13" s="2748"/>
      <c r="K13" s="2748"/>
      <c r="L13" s="2748"/>
      <c r="M13" s="2748"/>
      <c r="N13" s="2748"/>
    </row>
    <row r="14" spans="1:14" ht="15.6">
      <c r="A14" s="2757"/>
      <c r="B14" s="2758" t="e">
        <f t="shared" ca="1" si="0"/>
        <v>#REF!</v>
      </c>
      <c r="C14" s="2753" t="s">
        <v>2207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8.33203125" style="1673" customWidth="1"/>
    <col min="16" max="16" width="30.21875" style="1673" customWidth="1"/>
    <col min="17" max="17" width="13.77734375" style="1673" customWidth="1"/>
    <col min="18" max="18" width="22.21875" style="1673" customWidth="1"/>
    <col min="19" max="19" width="1.44140625" style="1673" customWidth="1"/>
    <col min="20" max="25" width="9" style="1673"/>
    <col min="26" max="16384" width="9" style="1674"/>
  </cols>
  <sheetData>
    <row r="1" spans="1:25" s="1668" customFormat="1" ht="21.6">
      <c r="A1" s="707" t="s">
        <v>576</v>
      </c>
      <c r="B1" s="675"/>
      <c r="C1" s="708"/>
      <c r="D1" s="1664"/>
      <c r="E1" s="1948" t="s">
        <v>1728</v>
      </c>
      <c r="F1" s="1949">
        <f ca="1">J54</f>
        <v>-2</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2" t="s">
        <v>1807</v>
      </c>
      <c r="C8" s="1517">
        <f ca="1">ROUND(F8*F10*F9*(1-F11)/10000,0)</f>
        <v>0</v>
      </c>
      <c r="D8" s="317" t="s">
        <v>1817</v>
      </c>
      <c r="E8" s="57" t="s">
        <v>585</v>
      </c>
      <c r="F8" s="720">
        <f ca="1">INDIRECT("'数据-取费表'!u"&amp;$G$1)</f>
        <v>0</v>
      </c>
      <c r="G8" s="1145"/>
      <c r="H8" s="2010" t="s">
        <v>1353</v>
      </c>
      <c r="I8" s="3692" t="s">
        <v>1807</v>
      </c>
      <c r="J8" s="718">
        <f ca="1">ROUND(M8*M10*M9*(1-M11)/10000,0)</f>
        <v>0</v>
      </c>
      <c r="K8" s="315" t="s">
        <v>1817</v>
      </c>
      <c r="L8" s="719" t="s">
        <v>1267</v>
      </c>
      <c r="M8" s="720">
        <f ca="1">INDIRECT("'数据-取费表'!z"&amp;$G$1)</f>
        <v>0</v>
      </c>
    </row>
    <row r="9" spans="1:25" ht="18" customHeight="1">
      <c r="A9" s="2006"/>
      <c r="B9" s="3693"/>
      <c r="C9" s="1518"/>
      <c r="D9" s="330"/>
      <c r="E9" s="57" t="s">
        <v>586</v>
      </c>
      <c r="F9" s="720">
        <f ca="1">IF(INDIRECT("'数据-取费表'!ah"&amp;$G$1)="",INDIRECT("'数据-取费表'!k"&amp;$G$1),INDIRECT("'数据-取费表'!ah"&amp;$G$1))</f>
        <v>0</v>
      </c>
      <c r="G9" s="1145"/>
      <c r="H9" s="1995"/>
      <c r="I9" s="3693"/>
      <c r="J9" s="723"/>
      <c r="K9" s="724"/>
      <c r="L9" s="719" t="s">
        <v>1268</v>
      </c>
      <c r="M9" s="720">
        <f ca="1">F9</f>
        <v>0</v>
      </c>
    </row>
    <row r="10" spans="1:25" ht="18" customHeight="1">
      <c r="A10" s="1999"/>
      <c r="B10" s="3694"/>
      <c r="C10" s="1518"/>
      <c r="D10" s="330"/>
      <c r="E10" s="57" t="s">
        <v>587</v>
      </c>
      <c r="F10" s="720">
        <f ca="1">INDIRECT("'数据-取费表'!ai"&amp;$G$1)</f>
        <v>365</v>
      </c>
      <c r="G10" s="1145"/>
      <c r="H10" s="1995"/>
      <c r="I10" s="3694"/>
      <c r="J10" s="723"/>
      <c r="K10" s="724"/>
      <c r="L10" s="719" t="s">
        <v>1269</v>
      </c>
      <c r="M10" s="720">
        <f ca="1">INDIRECT("'数据-取费表'!ai"&amp;$G$1)</f>
        <v>365</v>
      </c>
    </row>
    <row r="11" spans="1:25" ht="18" customHeight="1">
      <c r="A11" s="721"/>
      <c r="B11" s="3695"/>
      <c r="C11" s="1518"/>
      <c r="D11" s="330"/>
      <c r="E11" s="57" t="s">
        <v>588</v>
      </c>
      <c r="F11" s="729">
        <f ca="1">INDIRECT("'数据-取费表'!w"&amp;$G$1)</f>
        <v>0.1</v>
      </c>
      <c r="G11" s="1145"/>
      <c r="H11" s="2011"/>
      <c r="I11" s="3694"/>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1</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0.05</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0.03</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0.01</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1E-3</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8.9999999999999998E-4</v>
      </c>
      <c r="D26" s="2045" t="str">
        <f>IF(F25&lt;=1,"销售费用×利率×(建设周期÷2)","销售费用×((1+利率)^(建设周期÷2)-1)")</f>
        <v>销售费用×((1+利率)^(建设周期÷2)-1)</v>
      </c>
      <c r="E26" s="719" t="s">
        <v>629</v>
      </c>
      <c r="F26" s="753">
        <f ca="1">'数据-取费表'!B40</f>
        <v>3.1E-2</v>
      </c>
      <c r="G26" s="1326"/>
      <c r="H26" s="738" t="s">
        <v>1404</v>
      </c>
      <c r="I26" s="719" t="s">
        <v>613</v>
      </c>
      <c r="J26" s="49">
        <f ca="1">ROUND(J7*M26,0)</f>
        <v>0</v>
      </c>
      <c r="K26" s="907" t="s">
        <v>630</v>
      </c>
      <c r="L26" s="719" t="s">
        <v>597</v>
      </c>
      <c r="M26" s="729">
        <f ca="1">INDIRECT("'数据-取费表'!Am"&amp;$G$1)</f>
        <v>0.01</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0.15</v>
      </c>
      <c r="G28" s="1145"/>
      <c r="H28" s="716" t="s">
        <v>1366</v>
      </c>
      <c r="I28" s="717" t="s">
        <v>650</v>
      </c>
      <c r="J28" s="718">
        <f ca="1">IF(J7&lt;&gt;0,ROUND(J27*(1-((1+M30)/(1+M28))^M29)/(M28-M30),0),0)</f>
        <v>0</v>
      </c>
      <c r="K28" s="748" t="s">
        <v>651</v>
      </c>
      <c r="L28" s="719" t="s">
        <v>652</v>
      </c>
      <c r="M28" s="729">
        <f ca="1">INDIRECT("'数据-取费表'!I"&amp;$G$1)</f>
        <v>5.5E-2</v>
      </c>
    </row>
    <row r="29" spans="1:25" ht="18" customHeight="1">
      <c r="A29" s="738" t="s">
        <v>1378</v>
      </c>
      <c r="B29" s="719" t="s">
        <v>633</v>
      </c>
      <c r="C29" s="49">
        <f ca="1">ROUND(F23*F28,4)</f>
        <v>4.4999999999999997E-3</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299" t="s">
        <v>2101</v>
      </c>
      <c r="J31" s="759" t="e">
        <f ca="1">ROUND(J28/(1+F45)^F46,0)</f>
        <v>#N/A</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9"/>
      <c r="H33" s="2759" t="s">
        <v>2279</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691"/>
      <c r="J36" s="1691"/>
      <c r="K36" s="1692"/>
      <c r="L36" s="1691"/>
      <c r="M36" s="1691"/>
    </row>
    <row r="37" spans="1:18" ht="18" customHeight="1">
      <c r="A37" s="749"/>
      <c r="B37" s="728"/>
      <c r="C37" s="65"/>
      <c r="D37" s="750"/>
      <c r="E37" s="719" t="s">
        <v>621</v>
      </c>
      <c r="F37" s="720">
        <f ca="1">INDIRECT("'数据-取费表'!r"&amp;$G$1)</f>
        <v>0</v>
      </c>
      <c r="G37" s="1669"/>
      <c r="H37" s="1678"/>
      <c r="I37" s="3691"/>
      <c r="J37" s="1689"/>
      <c r="K37" s="1690"/>
      <c r="L37" s="1689"/>
      <c r="M37" s="1689"/>
    </row>
    <row r="38" spans="1:18" ht="18" customHeight="1">
      <c r="A38" s="738" t="s">
        <v>1402</v>
      </c>
      <c r="B38" s="719" t="s">
        <v>623</v>
      </c>
      <c r="C38" s="49">
        <f ca="1">ROUND(C31*F38,2)</f>
        <v>0</v>
      </c>
      <c r="D38" s="907" t="s">
        <v>638</v>
      </c>
      <c r="E38" s="719" t="s">
        <v>597</v>
      </c>
      <c r="F38" s="751">
        <f ca="1">INDIRECT("'数据-取费表'!Ak"&amp;$G$1)</f>
        <v>0.01</v>
      </c>
      <c r="G38" s="1669"/>
      <c r="H38" s="1689"/>
      <c r="I38" s="2557"/>
      <c r="J38" s="1637"/>
      <c r="K38" s="1693"/>
      <c r="L38" s="1689"/>
      <c r="M38" s="1689"/>
    </row>
    <row r="39" spans="1:18" ht="18" customHeight="1">
      <c r="A39" s="738" t="s">
        <v>1403</v>
      </c>
      <c r="B39" s="719" t="s">
        <v>626</v>
      </c>
      <c r="C39" s="49">
        <f ca="1">ROUND(C15*F39,2)</f>
        <v>0</v>
      </c>
      <c r="D39" s="907" t="s">
        <v>627</v>
      </c>
      <c r="E39" s="719" t="s">
        <v>597</v>
      </c>
      <c r="F39" s="752">
        <f ca="1">INDIRECT("'数据-取费表'!Al"&amp;$G$1)</f>
        <v>1E-3</v>
      </c>
      <c r="G39" s="1669"/>
      <c r="H39" s="1689"/>
      <c r="I39" s="2557"/>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0.01</v>
      </c>
      <c r="G40" s="1669"/>
      <c r="H40" s="1689"/>
      <c r="I40" s="2557"/>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0" t="s">
        <v>2222</v>
      </c>
      <c r="F43" s="2361">
        <f ca="1">INDIRECT("'数据-取费表'!j"&amp;$G$1)</f>
        <v>7.0000000000000007E-2</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t="e">
        <f ca="1">ROUND(-PV(F45,F46,C44,0),0)</f>
        <v>#N/A</v>
      </c>
      <c r="D45" s="1152" t="s">
        <v>663</v>
      </c>
      <c r="E45" s="741" t="s">
        <v>664</v>
      </c>
      <c r="F45" s="764">
        <f ca="1">INDIRECT("'数据-取费表'!h"&amp;$G$1)</f>
        <v>0.05</v>
      </c>
      <c r="G45" s="1669"/>
      <c r="H45" s="1669"/>
      <c r="I45" s="1669"/>
      <c r="J45" s="1669"/>
      <c r="K45" s="1694"/>
      <c r="L45" s="1669"/>
      <c r="M45" s="1669"/>
    </row>
    <row r="46" spans="1:18" ht="18" customHeight="1" thickBot="1">
      <c r="A46" s="765"/>
      <c r="B46" s="1153"/>
      <c r="C46" s="1154"/>
      <c r="D46" s="1155"/>
      <c r="E46" s="2362" t="s">
        <v>2225</v>
      </c>
      <c r="F46" s="762" t="e">
        <f ca="1">IF(INDIRECT("'数据-取费表'!af"&amp;$G$1)=0,INDIRECT("'数据-取费表'!ae"&amp;$G$1),INDIRECT("'数据-取费表'!af"&amp;$G$1))</f>
        <v>#N/A</v>
      </c>
      <c r="G46" s="1669"/>
      <c r="H46" s="1669"/>
      <c r="I46" s="1669"/>
      <c r="J46" s="1669"/>
      <c r="K46" s="1694"/>
      <c r="L46" s="1669"/>
      <c r="M46" s="1669"/>
    </row>
    <row r="47" spans="1:18" s="1673" customFormat="1" ht="18" customHeight="1" thickBot="1">
      <c r="A47" s="1695"/>
      <c r="D47" s="1696"/>
      <c r="E47" s="1696"/>
      <c r="F47" s="1696"/>
      <c r="I47" s="1940" t="s">
        <v>1697</v>
      </c>
      <c r="J47" s="1941"/>
      <c r="K47" s="1942"/>
      <c r="L47" s="2375" t="e">
        <f ca="1">IF(M48="住宅",0,IF(L49&gt;J52,L61,J61))</f>
        <v>#DIV/0!</v>
      </c>
      <c r="O47" s="1954" t="s">
        <v>1764</v>
      </c>
      <c r="P47" s="1145"/>
      <c r="Q47" s="1331"/>
      <c r="R47" s="1145"/>
    </row>
    <row r="48" spans="1:18" s="1673" customFormat="1" ht="18" customHeight="1" thickBot="1">
      <c r="A48" s="1695"/>
      <c r="C48" s="1698"/>
      <c r="D48" s="1696"/>
      <c r="E48" s="1696"/>
      <c r="F48" s="1699"/>
      <c r="G48" s="1700"/>
      <c r="I48" s="2367" t="s">
        <v>1698</v>
      </c>
      <c r="J48" s="1943"/>
      <c r="K48" s="2372" t="s">
        <v>1703</v>
      </c>
      <c r="L48" s="2376">
        <f ca="1">INDIRECT("'数据-取费表'!d"&amp;$G$1)</f>
        <v>40</v>
      </c>
      <c r="M48" s="2359"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4" t="s">
        <v>1699</v>
      </c>
      <c r="J49" s="1944"/>
      <c r="K49" s="2373" t="s">
        <v>1705</v>
      </c>
      <c r="L49" s="1568">
        <f ca="1">INDIRECT("'数据-取费表'!f"&amp;$G$1)</f>
        <v>0</v>
      </c>
      <c r="O49" s="1958" t="s">
        <v>1733</v>
      </c>
      <c r="P49" s="1959" t="s">
        <v>1759</v>
      </c>
      <c r="Q49" s="1960" t="e">
        <f ca="1">C41+J31</f>
        <v>#N/A</v>
      </c>
      <c r="R49" s="1959" t="s">
        <v>1734</v>
      </c>
    </row>
    <row r="50" spans="1:18" s="1673" customFormat="1" ht="18" customHeight="1" thickBot="1">
      <c r="A50" s="1695"/>
      <c r="D50" s="1704"/>
      <c r="E50" s="1704"/>
      <c r="F50" s="1696"/>
      <c r="H50" s="1703"/>
      <c r="I50" s="2364" t="s">
        <v>1700</v>
      </c>
      <c r="J50" s="1945"/>
      <c r="K50" s="2374"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4" t="s">
        <v>1701</v>
      </c>
      <c r="J51" s="2371">
        <f>SUMPRODUCT((I64:I66=J48)*(J63:L63=J49)*(J64:L66))</f>
        <v>0</v>
      </c>
      <c r="K51" s="2374" t="s">
        <v>1707</v>
      </c>
      <c r="L51" s="1567"/>
      <c r="O51" s="1961" t="s">
        <v>1737</v>
      </c>
      <c r="P51" s="1959" t="s">
        <v>1761</v>
      </c>
      <c r="Q51" s="1960">
        <f ca="1">C31</f>
        <v>0</v>
      </c>
      <c r="R51" s="1959" t="s">
        <v>1734</v>
      </c>
    </row>
    <row r="52" spans="1:18" s="1673" customFormat="1" ht="18" customHeight="1" thickBot="1">
      <c r="A52" s="1705"/>
      <c r="F52" s="1696"/>
      <c r="I52" s="2368" t="s">
        <v>1702</v>
      </c>
      <c r="J52" s="1568">
        <f>IF(J50="",J51,J50+J51-YEAR('数据-取费表'!B3))</f>
        <v>0</v>
      </c>
      <c r="K52" s="2364" t="s">
        <v>1708</v>
      </c>
      <c r="L52" s="2377" t="e">
        <f ca="1">C45</f>
        <v>#N/A</v>
      </c>
      <c r="O52" s="1961" t="s">
        <v>1738</v>
      </c>
      <c r="P52" s="1959" t="s">
        <v>1739</v>
      </c>
      <c r="Q52" s="1962" t="e">
        <f ca="1">J59</f>
        <v>#DIV/0!</v>
      </c>
      <c r="R52" s="1963"/>
    </row>
    <row r="53" spans="1:18" s="1673" customFormat="1" ht="18" customHeight="1" thickBot="1">
      <c r="A53" s="1705"/>
      <c r="F53" s="1696"/>
      <c r="I53" s="2369" t="s">
        <v>1775</v>
      </c>
      <c r="J53" s="1946"/>
      <c r="K53" s="2369" t="s">
        <v>1774</v>
      </c>
      <c r="L53" s="1946"/>
      <c r="O53" s="1961" t="s">
        <v>1740</v>
      </c>
      <c r="P53" s="1959" t="s">
        <v>1741</v>
      </c>
      <c r="Q53" s="1962">
        <f>J53</f>
        <v>0</v>
      </c>
      <c r="R53" s="1963"/>
    </row>
    <row r="54" spans="1:18" s="1673" customFormat="1" ht="31.8" thickBot="1">
      <c r="A54" s="1705"/>
      <c r="I54" s="2370" t="s">
        <v>2236</v>
      </c>
      <c r="J54" s="2416">
        <f ca="1">IF(M48="住宅",MAX(J52,L49-'数据-取费表'!B20),MIN(J52,L49-'数据-取费表'!B20))</f>
        <v>-2</v>
      </c>
      <c r="K54" s="3696"/>
      <c r="L54" s="3697"/>
      <c r="O54" s="1961" t="s">
        <v>1742</v>
      </c>
      <c r="P54" s="1959" t="s">
        <v>1743</v>
      </c>
      <c r="Q54" s="1960">
        <f ca="1">J54</f>
        <v>-2</v>
      </c>
      <c r="R54" s="1959" t="s">
        <v>1744</v>
      </c>
    </row>
    <row r="55" spans="1:18" s="1673" customFormat="1" ht="18" customHeight="1" thickBot="1">
      <c r="A55" s="1705"/>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8" t="s">
        <v>1745</v>
      </c>
      <c r="P55" s="1959" t="s">
        <v>1762</v>
      </c>
      <c r="Q55" s="1960" t="e">
        <f ca="1">Q49+Q50</f>
        <v>#N/A</v>
      </c>
      <c r="R55" s="1963" t="s">
        <v>1746</v>
      </c>
    </row>
    <row r="56" spans="1:18" s="1673" customFormat="1" ht="16.2" thickBot="1">
      <c r="A56" s="1705"/>
      <c r="B56" s="1706"/>
      <c r="C56" s="1706"/>
      <c r="I56" s="2380" t="s">
        <v>1709</v>
      </c>
      <c r="J56" s="2353" t="e">
        <f ca="1">ROUND(IF(J48="钢混",J58/J51,1-(1-2%)*(J51-J58)/J51),3)</f>
        <v>#DIV/0!</v>
      </c>
      <c r="K56" s="2381" t="s">
        <v>1710</v>
      </c>
      <c r="L56" s="1947"/>
      <c r="O56" s="1964" t="s">
        <v>1765</v>
      </c>
      <c r="P56" s="1145"/>
      <c r="Q56" s="1331"/>
      <c r="R56" s="1145"/>
    </row>
    <row r="57" spans="1:18" s="1673" customFormat="1" ht="47.4" thickBot="1">
      <c r="A57" s="1705"/>
      <c r="B57" s="1706"/>
      <c r="C57" s="1706"/>
      <c r="I57" s="2382" t="s">
        <v>1711</v>
      </c>
      <c r="J57" s="2392"/>
      <c r="K57" s="2364" t="s">
        <v>1716</v>
      </c>
      <c r="L57" s="1568">
        <f ca="1">IF(L49&lt;J52,"——",L49-J52)</f>
        <v>0</v>
      </c>
      <c r="O57" s="1955" t="s">
        <v>1729</v>
      </c>
      <c r="P57" s="1956" t="s">
        <v>1730</v>
      </c>
      <c r="Q57" s="1957" t="s">
        <v>1731</v>
      </c>
      <c r="R57" s="1956" t="s">
        <v>1732</v>
      </c>
    </row>
    <row r="58" spans="1:18" s="1673" customFormat="1" ht="31.8" thickBot="1">
      <c r="A58" s="1705"/>
      <c r="B58" s="1706"/>
      <c r="C58" s="1706"/>
      <c r="I58" s="2383" t="s">
        <v>1712</v>
      </c>
      <c r="J58" s="2384">
        <f ca="1">IF(OR(M48="住宅",J52&lt;L49,J57="是"),"——",J52-L49)</f>
        <v>0</v>
      </c>
      <c r="K58" s="2364" t="s">
        <v>1717</v>
      </c>
      <c r="L58" s="1568" t="e">
        <f ca="1">IF(L49&lt;J52,"——",IF(L56="比较法",L50,IF(L56="基准地价",L51,L52)))</f>
        <v>#N/A</v>
      </c>
      <c r="O58" s="1958" t="s">
        <v>1733</v>
      </c>
      <c r="P58" s="1959" t="s">
        <v>1759</v>
      </c>
      <c r="Q58" s="1960" t="e">
        <f ca="1">C41+J31</f>
        <v>#N/A</v>
      </c>
      <c r="R58" s="1959" t="s">
        <v>1734</v>
      </c>
    </row>
    <row r="59" spans="1:18" s="1673" customFormat="1" ht="31.8" thickBot="1">
      <c r="A59" s="1705"/>
      <c r="B59" s="1706"/>
      <c r="C59" s="1706"/>
      <c r="I59" s="2383" t="s">
        <v>1713</v>
      </c>
      <c r="J59" s="2354" t="e">
        <f ca="1">IF(J56&lt;0.4,0.4,J56)</f>
        <v>#DIV/0!</v>
      </c>
      <c r="K59" s="2364" t="s">
        <v>1718</v>
      </c>
      <c r="L59" s="1568">
        <f ca="1">IF(ISERROR(POWER(1+L53,L48-L49)*(POWER(1+L53,L49)-1)/(POWER(1+L53,L48)-1)),0,POWER(1+L53,L48-L49)*(POWER(1+L53,L49)-1)/(POWER(1+L53,L48)-1))</f>
        <v>0</v>
      </c>
      <c r="O59" s="1958" t="s">
        <v>1735</v>
      </c>
      <c r="P59" s="1959" t="s">
        <v>1766</v>
      </c>
      <c r="Q59" s="1960" t="e">
        <f ca="1">L61</f>
        <v>#N/A</v>
      </c>
      <c r="R59" s="1963" t="s">
        <v>1768</v>
      </c>
    </row>
    <row r="60" spans="1:18" s="1673" customFormat="1" ht="31.8" thickBot="1">
      <c r="A60" s="1705"/>
      <c r="B60" s="1706"/>
      <c r="C60" s="1706"/>
      <c r="I60" s="2383" t="s">
        <v>1714</v>
      </c>
      <c r="J60" s="2384" t="e">
        <f ca="1">IF(OR(M48="住宅",J52&lt;L49,J57="是"),"——",ROUND(C30*J59,0))</f>
        <v>#DIV/0!</v>
      </c>
      <c r="K60" s="2364"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6.2" thickBot="1">
      <c r="A61" s="1705"/>
      <c r="B61" s="1706"/>
      <c r="C61" s="1706"/>
      <c r="I61" s="2385" t="s">
        <v>1715</v>
      </c>
      <c r="J61" s="2386" t="e">
        <f ca="1">IF(OR(M48="住宅",J52&lt;L49,J57="是"),"0",ROUND(J60/(1+J53)^J54,0))</f>
        <v>#DIV/0!</v>
      </c>
      <c r="K61" s="2387" t="s">
        <v>1720</v>
      </c>
      <c r="L61" s="2386" t="e">
        <f ca="1">IF(OR(M48="住宅",L49&lt;J52),0,ROUND(L58*(L59/L60-1),0))</f>
        <v>#N/A</v>
      </c>
      <c r="O61" s="1961" t="s">
        <v>1738</v>
      </c>
      <c r="P61" s="1959" t="s">
        <v>1747</v>
      </c>
      <c r="Q61" s="1962">
        <f>L53</f>
        <v>0</v>
      </c>
      <c r="R61" s="1963"/>
    </row>
    <row r="62" spans="1:18" s="1673" customFormat="1" ht="19.2" thickBot="1">
      <c r="A62" s="1705"/>
      <c r="B62" s="1706"/>
      <c r="C62" s="1706"/>
      <c r="K62" s="1697"/>
      <c r="O62" s="1961" t="s">
        <v>1740</v>
      </c>
      <c r="P62" s="1959" t="s">
        <v>1748</v>
      </c>
      <c r="Q62" s="1960">
        <f ca="1">L59</f>
        <v>0</v>
      </c>
      <c r="R62" s="1963" t="s">
        <v>1749</v>
      </c>
    </row>
    <row r="63" spans="1:18" s="1673" customFormat="1" ht="19.2" thickBot="1">
      <c r="A63" s="1705"/>
      <c r="B63" s="1706"/>
      <c r="C63" s="1706"/>
      <c r="I63" s="2388" t="s">
        <v>1721</v>
      </c>
      <c r="J63" s="2389" t="s">
        <v>1722</v>
      </c>
      <c r="K63" s="2389" t="s">
        <v>1723</v>
      </c>
      <c r="L63" s="2389" t="s">
        <v>1704</v>
      </c>
      <c r="M63" s="2390" t="s">
        <v>2205</v>
      </c>
      <c r="O63" s="1961" t="s">
        <v>1742</v>
      </c>
      <c r="P63" s="1959" t="s">
        <v>1750</v>
      </c>
      <c r="Q63" s="1960">
        <f ca="1">L60</f>
        <v>0</v>
      </c>
      <c r="R63" s="1963" t="s">
        <v>1751</v>
      </c>
    </row>
    <row r="64" spans="1:18" s="1673" customFormat="1" ht="16.2" thickBot="1">
      <c r="A64" s="1705"/>
      <c r="B64" s="1706"/>
      <c r="C64" s="1706"/>
      <c r="I64" s="2388" t="s">
        <v>1724</v>
      </c>
      <c r="J64" s="2389">
        <v>70</v>
      </c>
      <c r="K64" s="2389">
        <v>50</v>
      </c>
      <c r="L64" s="2389">
        <v>80</v>
      </c>
      <c r="M64" s="2391">
        <v>0.02</v>
      </c>
      <c r="O64" s="1958" t="s">
        <v>1745</v>
      </c>
      <c r="P64" s="1959" t="s">
        <v>1762</v>
      </c>
      <c r="Q64" s="1960" t="e">
        <f ca="1">Q58+Q59</f>
        <v>#N/A</v>
      </c>
      <c r="R64" s="1963" t="s">
        <v>1746</v>
      </c>
    </row>
    <row r="65" spans="1:18" s="1673" customFormat="1" ht="16.2" thickBot="1">
      <c r="A65" s="1705"/>
      <c r="B65" s="1706"/>
      <c r="C65" s="1706"/>
      <c r="I65" s="2388" t="s">
        <v>1725</v>
      </c>
      <c r="J65" s="2389">
        <v>50</v>
      </c>
      <c r="K65" s="2389">
        <v>35</v>
      </c>
      <c r="L65" s="2389">
        <v>60</v>
      </c>
      <c r="M65" s="780">
        <v>0</v>
      </c>
      <c r="O65" s="1964" t="s">
        <v>1769</v>
      </c>
      <c r="P65" s="1145"/>
      <c r="Q65" s="1331"/>
      <c r="R65" s="1145"/>
    </row>
    <row r="66" spans="1:18" s="1673" customFormat="1" ht="16.2" thickBot="1">
      <c r="A66" s="1705"/>
      <c r="B66" s="1706"/>
      <c r="C66" s="1706"/>
      <c r="I66" s="2388" t="s">
        <v>1726</v>
      </c>
      <c r="J66" s="2389">
        <v>40</v>
      </c>
      <c r="K66" s="2389">
        <v>30</v>
      </c>
      <c r="L66" s="2389">
        <v>50</v>
      </c>
      <c r="M66" s="2391">
        <v>0.02</v>
      </c>
      <c r="O66" s="1955" t="s">
        <v>1729</v>
      </c>
      <c r="P66" s="1956" t="s">
        <v>1730</v>
      </c>
      <c r="Q66" s="1957" t="s">
        <v>1731</v>
      </c>
      <c r="R66" s="1956" t="s">
        <v>1732</v>
      </c>
    </row>
    <row r="67" spans="1:18" s="1673" customFormat="1" ht="16.2" thickBot="1">
      <c r="A67" s="1705"/>
      <c r="B67" s="1706"/>
      <c r="C67" s="1706"/>
      <c r="K67" s="1697"/>
      <c r="O67" s="1958" t="s">
        <v>1733</v>
      </c>
      <c r="P67" s="1959" t="s">
        <v>1759</v>
      </c>
      <c r="Q67" s="1960" t="e">
        <f ca="1">C41+J31</f>
        <v>#N/A</v>
      </c>
      <c r="R67" s="1959" t="s">
        <v>1734</v>
      </c>
    </row>
    <row r="68" spans="1:18" s="1673" customFormat="1" ht="19.2" thickBot="1">
      <c r="A68" s="1705"/>
      <c r="B68" s="1706"/>
      <c r="C68" s="1706"/>
      <c r="K68" s="1697"/>
      <c r="O68" s="1958" t="s">
        <v>1735</v>
      </c>
      <c r="P68" s="1959" t="s">
        <v>1766</v>
      </c>
      <c r="Q68" s="1960" t="e">
        <f ca="1">L61</f>
        <v>#N/A</v>
      </c>
      <c r="R68" s="1963" t="s">
        <v>1768</v>
      </c>
    </row>
    <row r="69" spans="1:18" s="1673" customFormat="1" ht="20.399999999999999" thickBot="1">
      <c r="A69" s="1705"/>
      <c r="B69" s="1706"/>
      <c r="C69" s="1706"/>
      <c r="K69" s="1697"/>
      <c r="O69" s="1961" t="s">
        <v>1737</v>
      </c>
      <c r="P69" s="1959" t="s">
        <v>1767</v>
      </c>
      <c r="Q69" s="1965" t="e">
        <f ca="1">L52</f>
        <v>#N/A</v>
      </c>
      <c r="R69" s="1966" t="s">
        <v>1770</v>
      </c>
    </row>
    <row r="70" spans="1:18" s="1673" customFormat="1" ht="19.2" thickBot="1">
      <c r="A70" s="1705"/>
      <c r="B70" s="1706"/>
      <c r="C70" s="1706"/>
      <c r="K70" s="1697"/>
      <c r="O70" s="1961" t="s">
        <v>1738</v>
      </c>
      <c r="P70" s="1967" t="s">
        <v>1752</v>
      </c>
      <c r="Q70" s="1960">
        <f ca="1">ROUND(Q71-Q72*Q73,0)</f>
        <v>0</v>
      </c>
      <c r="R70" s="1963"/>
    </row>
    <row r="71" spans="1:18" s="1673" customFormat="1" ht="16.2" thickBot="1">
      <c r="A71" s="1705"/>
      <c r="B71" s="1706"/>
      <c r="C71" s="1706"/>
      <c r="K71" s="1697"/>
      <c r="O71" s="1961" t="s">
        <v>1753</v>
      </c>
      <c r="P71" s="1967" t="s">
        <v>1754</v>
      </c>
      <c r="Q71" s="1960">
        <f ca="1">C42</f>
        <v>0</v>
      </c>
      <c r="R71" s="1959" t="s">
        <v>1734</v>
      </c>
    </row>
    <row r="72" spans="1:18" s="1673" customFormat="1" ht="16.2" thickBot="1">
      <c r="A72" s="1705"/>
      <c r="B72" s="1706"/>
      <c r="C72" s="1706"/>
      <c r="K72" s="1697"/>
      <c r="O72" s="1961" t="s">
        <v>1755</v>
      </c>
      <c r="P72" s="1967" t="s">
        <v>1756</v>
      </c>
      <c r="Q72" s="1960">
        <f ca="1">C15</f>
        <v>0</v>
      </c>
      <c r="R72" s="1959" t="s">
        <v>1734</v>
      </c>
    </row>
    <row r="73" spans="1:18" s="1673" customFormat="1" ht="16.2" thickBot="1">
      <c r="A73" s="1705"/>
      <c r="B73" s="1706"/>
      <c r="C73" s="1706"/>
      <c r="K73" s="1697"/>
      <c r="O73" s="1961" t="s">
        <v>1757</v>
      </c>
      <c r="P73" s="1967" t="s">
        <v>1758</v>
      </c>
      <c r="Q73" s="1962">
        <f ca="1">F43</f>
        <v>7.0000000000000007E-2</v>
      </c>
      <c r="R73" s="1963"/>
    </row>
    <row r="74" spans="1:18" s="1673" customFormat="1" ht="16.2" thickBot="1">
      <c r="A74" s="1705"/>
      <c r="B74" s="1706"/>
      <c r="C74" s="1706"/>
      <c r="K74" s="1697"/>
      <c r="O74" s="1961" t="s">
        <v>1740</v>
      </c>
      <c r="P74" s="1959" t="s">
        <v>1747</v>
      </c>
      <c r="Q74" s="1962">
        <f>L53</f>
        <v>0</v>
      </c>
      <c r="R74" s="1963"/>
    </row>
    <row r="75" spans="1:18" s="1673" customFormat="1" ht="19.2" thickBot="1">
      <c r="A75" s="1705"/>
      <c r="B75" s="1706"/>
      <c r="C75" s="1706"/>
      <c r="K75" s="1697"/>
      <c r="O75" s="1961" t="s">
        <v>1742</v>
      </c>
      <c r="P75" s="1959" t="s">
        <v>1748</v>
      </c>
      <c r="Q75" s="1960">
        <f ca="1">L59</f>
        <v>0</v>
      </c>
      <c r="R75" s="1963" t="s">
        <v>1749</v>
      </c>
    </row>
    <row r="76" spans="1:18" s="1673" customFormat="1" ht="19.2" thickBot="1">
      <c r="A76" s="1705"/>
      <c r="B76" s="1706"/>
      <c r="C76" s="1706"/>
      <c r="K76" s="1697"/>
      <c r="O76" s="1961" t="s">
        <v>1771</v>
      </c>
      <c r="P76" s="1959" t="s">
        <v>1750</v>
      </c>
      <c r="Q76" s="1960">
        <f ca="1">L60</f>
        <v>0</v>
      </c>
      <c r="R76" s="1963" t="s">
        <v>1751</v>
      </c>
    </row>
    <row r="77" spans="1:18" s="1673" customFormat="1" ht="16.2" thickBot="1">
      <c r="A77" s="1705"/>
      <c r="B77" s="1706"/>
      <c r="C77" s="1706"/>
      <c r="K77" s="1697"/>
      <c r="O77" s="1958" t="s">
        <v>1745</v>
      </c>
      <c r="P77" s="1959" t="s">
        <v>1762</v>
      </c>
      <c r="Q77" s="1960" t="e">
        <f ca="1">Q67+Q68</f>
        <v>#N/A</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1674"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5.88671875" style="1673" customWidth="1"/>
    <col min="16" max="16" width="27.6640625" style="1673" customWidth="1"/>
    <col min="17" max="17" width="13.77734375" style="1706" customWidth="1"/>
    <col min="18" max="18" width="23.44140625" style="1673" customWidth="1"/>
    <col min="19" max="19" width="1.44140625" style="1673" customWidth="1"/>
    <col min="20" max="33" width="9" style="1673"/>
    <col min="34" max="16384" width="9" style="1674"/>
  </cols>
  <sheetData>
    <row r="1" spans="1:33" s="1668" customFormat="1" ht="21.6">
      <c r="A1" s="766" t="s">
        <v>1254</v>
      </c>
      <c r="B1" s="675"/>
      <c r="C1" s="708" t="s">
        <v>2738</v>
      </c>
      <c r="D1" s="2363" t="s">
        <v>877</v>
      </c>
      <c r="E1" s="1948" t="s">
        <v>1728</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5"/>
      <c r="D2" s="2764"/>
      <c r="E2" s="2766"/>
      <c r="F2" s="2766"/>
      <c r="G2" s="2761"/>
      <c r="H2" s="1671"/>
      <c r="I2" s="1671"/>
      <c r="J2" s="1671"/>
      <c r="K2" s="1672"/>
      <c r="L2" s="1671"/>
      <c r="M2" s="1671"/>
    </row>
    <row r="3" spans="1:33" ht="18" customHeight="1" thickBot="1">
      <c r="A3" s="767" t="s">
        <v>1256</v>
      </c>
      <c r="B3" s="768">
        <f ca="1">IF(ISERROR(B2*10000/F43),0,ROUND(B2*10000/F43,0))</f>
        <v>0</v>
      </c>
      <c r="C3" s="2765"/>
      <c r="D3" s="2764"/>
      <c r="E3" s="2766"/>
      <c r="F3" s="2766"/>
      <c r="G3" s="2761"/>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92" t="s">
        <v>1807</v>
      </c>
      <c r="C6" s="718" t="e">
        <f ca="1">ROUND(F6*F8*F7*(1-F9)/10000,0)</f>
        <v>#N/A</v>
      </c>
      <c r="D6" s="2003" t="s">
        <v>1806</v>
      </c>
      <c r="E6" s="719" t="s">
        <v>1267</v>
      </c>
      <c r="F6" s="720" t="e">
        <f ca="1">INDIRECT("'数据-取费表'!u"&amp;$G$1)</f>
        <v>#N/A</v>
      </c>
      <c r="G6" s="1669"/>
      <c r="H6" s="2010" t="s">
        <v>1812</v>
      </c>
      <c r="I6" s="3692" t="s">
        <v>1807</v>
      </c>
      <c r="J6" s="718" t="e">
        <f ca="1">ROUND(M6*M8*M7*(1-M9)/10000,0)</f>
        <v>#N/A</v>
      </c>
      <c r="K6" s="315" t="s">
        <v>1266</v>
      </c>
      <c r="L6" s="719" t="s">
        <v>1267</v>
      </c>
      <c r="M6" s="720" t="e">
        <f ca="1">INDIRECT("'数据-取费表'!z"&amp;$G$1)</f>
        <v>#N/A</v>
      </c>
    </row>
    <row r="7" spans="1:33" ht="18" customHeight="1">
      <c r="A7" s="2006"/>
      <c r="B7" s="3693"/>
      <c r="C7" s="723"/>
      <c r="D7" s="724"/>
      <c r="E7" s="719" t="s">
        <v>1268</v>
      </c>
      <c r="F7" s="720" t="e">
        <f ca="1">IF(INDIRECT("'数据-取费表'!ah"&amp;$G$1)="",INDIRECT("'数据-取费表'!k"&amp;$G$1),INDIRECT("'数据-取费表'!ah"&amp;$G$1))</f>
        <v>#N/A</v>
      </c>
      <c r="G7" s="1669"/>
      <c r="H7" s="1995"/>
      <c r="I7" s="3693"/>
      <c r="J7" s="723"/>
      <c r="K7" s="724"/>
      <c r="L7" s="719" t="s">
        <v>1268</v>
      </c>
      <c r="M7" s="720" t="e">
        <f ca="1">F7</f>
        <v>#N/A</v>
      </c>
    </row>
    <row r="8" spans="1:33" ht="18" customHeight="1">
      <c r="A8" s="1999"/>
      <c r="B8" s="3694"/>
      <c r="C8" s="723"/>
      <c r="D8" s="724"/>
      <c r="E8" s="719" t="s">
        <v>1269</v>
      </c>
      <c r="F8" s="720" t="e">
        <f ca="1">INDIRECT("'数据-取费表'!ai"&amp;$G$1)</f>
        <v>#N/A</v>
      </c>
      <c r="G8" s="1669"/>
      <c r="H8" s="1995"/>
      <c r="I8" s="3694"/>
      <c r="J8" s="723"/>
      <c r="K8" s="724"/>
      <c r="L8" s="719" t="s">
        <v>1269</v>
      </c>
      <c r="M8" s="720" t="e">
        <f ca="1">INDIRECT("'数据-取费表'!ai"&amp;$G$1)</f>
        <v>#N/A</v>
      </c>
    </row>
    <row r="9" spans="1:33" ht="18" customHeight="1">
      <c r="A9" s="721"/>
      <c r="B9" s="3695"/>
      <c r="C9" s="723"/>
      <c r="D9" s="724"/>
      <c r="E9" s="719" t="s">
        <v>1270</v>
      </c>
      <c r="F9" s="729" t="e">
        <f ca="1">INDIRECT("'数据-取费表'!w"&amp;$G$1)</f>
        <v>#N/A</v>
      </c>
      <c r="G9" s="1669"/>
      <c r="H9" s="2011"/>
      <c r="I9" s="3694"/>
      <c r="J9" s="723"/>
      <c r="K9" s="724"/>
      <c r="L9" s="730" t="s">
        <v>1270</v>
      </c>
      <c r="M9" s="731" t="e">
        <f ca="1">INDIRECT("'数据-取费表'!ab"&amp;$G$1)</f>
        <v>#N/A</v>
      </c>
    </row>
    <row r="10" spans="1:33" ht="18" customHeight="1">
      <c r="A10" s="1522" t="s">
        <v>1810</v>
      </c>
      <c r="B10" s="2000" t="s">
        <v>1803</v>
      </c>
      <c r="C10" s="734" t="e">
        <f ca="1">ROUND(IF(F10="押一",C6/12*F11,IF(F10="押二",C6/12*2*F11,IF(F10="押三",C6/12*3*F11,C11*F11))),0)</f>
        <v>#N/A</v>
      </c>
      <c r="D10" s="2007" t="s">
        <v>2232</v>
      </c>
      <c r="E10" s="2004" t="s">
        <v>1808</v>
      </c>
      <c r="F10" s="2077" t="s">
        <v>3493</v>
      </c>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0.05</v>
      </c>
      <c r="G15" s="2762"/>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200</v>
      </c>
      <c r="G17" s="2762"/>
      <c r="H17" s="1370" t="s">
        <v>1359</v>
      </c>
      <c r="I17" s="719" t="s">
        <v>604</v>
      </c>
      <c r="J17" s="2555" t="e">
        <f ca="1">ROUND(IF(AND(项目基本情况!B11="自然人",项目基本情况!B10="北京市"),J6*M17/(1+'数据-取费表'!C42),J18+J19+J20),2)</f>
        <v>#N/A</v>
      </c>
      <c r="K17" s="906" t="s">
        <v>1282</v>
      </c>
      <c r="L17" s="907" t="s">
        <v>1283</v>
      </c>
      <c r="M17" s="2554"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0.02</v>
      </c>
      <c r="G18" s="2762"/>
      <c r="H18" s="1369" t="s">
        <v>1409</v>
      </c>
      <c r="I18" s="719" t="s">
        <v>1284</v>
      </c>
      <c r="J18" s="49" t="e">
        <f ca="1">ROUND(J6*M18/(1+'数据-取费表'!C42),2)</f>
        <v>#N/A</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3243</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0.02</v>
      </c>
      <c r="G20" s="2762"/>
      <c r="H20" s="1372" t="s">
        <v>1405</v>
      </c>
      <c r="I20" s="315" t="s">
        <v>1289</v>
      </c>
      <c r="J20" s="50" t="e">
        <f ca="1">ROUND(M20*M21/10000,2)</f>
        <v>#N/A</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0.03</v>
      </c>
      <c r="G21" s="2762"/>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(建造成本+管理费用)×((1+利率)^(建设周期÷2)-1)</v>
      </c>
      <c r="E23" s="719" t="s">
        <v>1299</v>
      </c>
      <c r="F23" s="587">
        <f>'数据-取费表'!B20</f>
        <v>2</v>
      </c>
      <c r="G23" s="2762"/>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8.9999999999999998E-4</v>
      </c>
      <c r="D24" s="2045" t="str">
        <f>IF(F23&lt;=1,"销售费用×利率×(建设周期÷2)","销售费用×((1+利率)^(建设周期÷2)-1)")</f>
        <v>销售费用×((1+利率)^(建设周期÷2)-1)</v>
      </c>
      <c r="E24" s="719" t="s">
        <v>1302</v>
      </c>
      <c r="F24" s="753">
        <f ca="1">'数据-取费表'!B40</f>
        <v>3.1E-2</v>
      </c>
      <c r="G24" s="2762"/>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7"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2"/>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2"/>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5" t="e">
        <f ca="1">ROUND(IF(AND(项目基本情况!B11="自然人",项目基本情况!B10="北京市"),C6*F31/(1+'数据-取费表'!C42),C32+C33+C34),2)</f>
        <v>#N/A</v>
      </c>
      <c r="D31" s="906" t="s">
        <v>1321</v>
      </c>
      <c r="E31" s="907" t="s">
        <v>1322</v>
      </c>
      <c r="F31" s="2554" t="str">
        <f>IF(项目基本情况!B11="企业","——",IF(M47="住宅",IF(F6*F7*F8/12/(1+'数据-取费表'!F30)&gt;100000,4%,2.5%),IF(F6*F7*F8/12/(1+'数据-取费表'!F30)&gt;100000,12%,7%)))</f>
        <v>——</v>
      </c>
      <c r="G31" s="1669"/>
      <c r="H31" s="2759" t="s">
        <v>2280</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3243</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7"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3"/>
      <c r="E46" s="2763"/>
      <c r="F46" s="2763"/>
      <c r="I46" s="1940" t="s">
        <v>1697</v>
      </c>
      <c r="J46" s="1941"/>
      <c r="K46" s="1942"/>
      <c r="L46" s="2375" t="e">
        <f ca="1">IF(OR(M47="住宅",D1="土地（套用方法）"),0,IF(L48&gt;J51,L60,J60))</f>
        <v>#N/A</v>
      </c>
      <c r="M46" s="2764"/>
      <c r="O46" s="1954" t="s">
        <v>1764</v>
      </c>
      <c r="P46" s="1145"/>
      <c r="Q46" s="1331"/>
      <c r="R46" s="1145"/>
    </row>
    <row r="47" spans="1:18" s="1673" customFormat="1" ht="18" customHeight="1" thickBot="1">
      <c r="A47" s="3382">
        <v>1</v>
      </c>
      <c r="B47" s="3383" t="s">
        <v>583</v>
      </c>
      <c r="C47" s="3384" t="e">
        <f ca="1">C48+C52+C54</f>
        <v>#N/A</v>
      </c>
      <c r="D47" s="3385"/>
      <c r="E47" s="3385"/>
      <c r="F47" s="3386"/>
      <c r="I47" s="2367" t="s">
        <v>1698</v>
      </c>
      <c r="J47" s="1943" t="s">
        <v>3494</v>
      </c>
      <c r="K47" s="2372" t="s">
        <v>1703</v>
      </c>
      <c r="L47" s="2376" t="e">
        <f ca="1">INDIRECT("'数据-取费表'!d"&amp;$G$1)</f>
        <v>#N/A</v>
      </c>
      <c r="M47" s="1331" t="str">
        <f>IF(ISNUMBER(FIND("住宅",C1)),"住宅","非住宅")</f>
        <v>非住宅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4" t="s">
        <v>1699</v>
      </c>
      <c r="J48" s="1944" t="s">
        <v>1704</v>
      </c>
      <c r="K48" s="2373" t="s">
        <v>1705</v>
      </c>
      <c r="L48" s="1568" t="e">
        <f ca="1">INDIRECT("'数据-取费表'!f"&amp;$G$1)</f>
        <v>#N/A</v>
      </c>
      <c r="M48" s="2764"/>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4" t="s">
        <v>1700</v>
      </c>
      <c r="J49" s="1945">
        <v>2025</v>
      </c>
      <c r="K49" s="2374" t="s">
        <v>1706</v>
      </c>
      <c r="L49" s="1567"/>
      <c r="M49" s="2764"/>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4" t="s">
        <v>1701</v>
      </c>
      <c r="J50" s="2371">
        <f>SUMPRODUCT((I63:I65=J47)*(J62:L62=J48)*(J63:L65))</f>
        <v>60</v>
      </c>
      <c r="K50" s="2374" t="s">
        <v>1707</v>
      </c>
      <c r="L50" s="1567"/>
      <c r="M50" s="2764"/>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8" t="s">
        <v>1702</v>
      </c>
      <c r="J51" s="1568">
        <f>IF(J49="",J50,J49+J50-YEAR('数据-取费表'!B2))</f>
        <v>60</v>
      </c>
      <c r="K51" s="2364" t="s">
        <v>1708</v>
      </c>
      <c r="L51" s="2377" t="e">
        <f ca="1">ROUND(-PV(INDIRECT("'数据-取费表'!h"&amp;$G$1),J51,(C39-C13*J36),0),0)</f>
        <v>#N/A</v>
      </c>
      <c r="M51" s="2764"/>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69" t="s">
        <v>1775</v>
      </c>
      <c r="J52" s="1946">
        <v>7.4999999999999997E-2</v>
      </c>
      <c r="K52" s="2369" t="s">
        <v>1774</v>
      </c>
      <c r="L52" s="1946"/>
      <c r="M52" s="2764"/>
      <c r="O52" s="1961" t="s">
        <v>1740</v>
      </c>
      <c r="P52" s="1959" t="s">
        <v>1741</v>
      </c>
      <c r="Q52" s="1962">
        <f>J52</f>
        <v>7.4999999999999997E-2</v>
      </c>
      <c r="R52" s="1963"/>
    </row>
    <row r="53" spans="1:18" s="1673" customFormat="1" ht="39.75" customHeight="1" thickBot="1">
      <c r="A53" s="721"/>
      <c r="B53" s="2001" t="s">
        <v>1856</v>
      </c>
      <c r="C53" s="2005"/>
      <c r="D53" s="2007"/>
      <c r="E53" s="2004"/>
      <c r="F53" s="735"/>
      <c r="I53" s="2370" t="s">
        <v>2236</v>
      </c>
      <c r="J53" s="2416" t="e">
        <f ca="1">IF(M47="住宅",IF(D1="——",MAX(J51,L48),MAX(J51,L48-'数据-取费表'!B20)),IF(D1="——",MIN(J51,L48),MIN(J51,L48-'数据-取费表'!B20)))</f>
        <v>#N/A</v>
      </c>
      <c r="K53" s="3698" t="s">
        <v>2226</v>
      </c>
      <c r="L53" s="3699"/>
      <c r="M53" s="2764"/>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7"/>
      <c r="M54" s="2764"/>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0" t="s">
        <v>1709</v>
      </c>
      <c r="J55" s="2353" t="e">
        <f ca="1">ROUND(IF(J47="钢混",J57/J50,1-(1-2%)*(J50-J57)/J50),3)</f>
        <v>#N/A</v>
      </c>
      <c r="K55" s="2381" t="s">
        <v>1710</v>
      </c>
      <c r="L55" s="1947"/>
      <c r="M55" s="2764"/>
      <c r="O55" s="1964" t="s">
        <v>1765</v>
      </c>
      <c r="P55" s="1145"/>
      <c r="Q55" s="1331"/>
      <c r="R55" s="1145"/>
    </row>
    <row r="56" spans="1:18" s="1673" customFormat="1" ht="42.75" customHeight="1" thickBot="1">
      <c r="A56" s="1371"/>
      <c r="B56" s="1826" t="s">
        <v>1659</v>
      </c>
      <c r="C56" s="49" t="e">
        <f ca="1">C29</f>
        <v>#N/A</v>
      </c>
      <c r="D56" s="907"/>
      <c r="E56" s="719"/>
      <c r="F56" s="744"/>
      <c r="I56" s="2382" t="s">
        <v>1711</v>
      </c>
      <c r="J56" s="2392" t="s">
        <v>3442</v>
      </c>
      <c r="K56" s="2364" t="s">
        <v>1716</v>
      </c>
      <c r="L56" s="1568" t="e">
        <f ca="1">IF(L48&lt;J51,"——",L48-J51)</f>
        <v>#N/A</v>
      </c>
      <c r="M56" s="2764"/>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3" t="s">
        <v>1712</v>
      </c>
      <c r="J57" s="2384" t="e">
        <f ca="1">IF(OR(M47="住宅",J51&lt;L48,J56="是"),"——",J51-L48)</f>
        <v>#N/A</v>
      </c>
      <c r="K57" s="2364" t="s">
        <v>1717</v>
      </c>
      <c r="L57" s="1568" t="e">
        <f ca="1">IF(L48&lt;J51,"——",IF(L55="比较法",L49,IF(L55="基准地价",L50,L51)))</f>
        <v>#N/A</v>
      </c>
      <c r="M57" s="2764"/>
      <c r="O57" s="1958" t="s">
        <v>1733</v>
      </c>
      <c r="P57" s="1959" t="s">
        <v>1763</v>
      </c>
      <c r="Q57" s="1960" t="e">
        <f ca="1">C40+J29</f>
        <v>#N/A</v>
      </c>
      <c r="R57" s="1959" t="s">
        <v>1734</v>
      </c>
    </row>
    <row r="58" spans="1:18" s="1673" customFormat="1" ht="28.5" customHeight="1" thickBot="1">
      <c r="A58" s="1370" t="s">
        <v>1353</v>
      </c>
      <c r="B58" s="719" t="s">
        <v>604</v>
      </c>
      <c r="C58" s="2555" t="e">
        <f ca="1">ROUND(IF(AND(项目基本情况!B11="自然人",项目基本情况!B10="北京市"),C48*F58/(1+'数据-取费表'!C42),C59+C60+C61),2)</f>
        <v>#N/A</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#N/A</v>
      </c>
      <c r="K58" s="2364" t="s">
        <v>1718</v>
      </c>
      <c r="L58" s="1568" t="e">
        <f ca="1">ROUND(POWER(1+L52,L47-L48)*(POWER(1+L52,L48)-1)/(POWER(1+L52,L47)-1),4)</f>
        <v>#N/A</v>
      </c>
      <c r="M58" s="2764"/>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5.5000000000000007E-2</v>
      </c>
      <c r="I59" s="2383" t="s">
        <v>1714</v>
      </c>
      <c r="J59" s="2384" t="e">
        <f ca="1">IF(OR(M47="住宅",J51&lt;L48,J56="是"),"——",ROUND(C29*J58,0))</f>
        <v>#N/A</v>
      </c>
      <c r="K59" s="2364"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5" t="s">
        <v>1715</v>
      </c>
      <c r="J60" s="2386" t="e">
        <f ca="1">IF(OR(M47="住宅",J51&lt;L48,J56="是"),"0",ROUND(J59/(1+J52)^J53,0))</f>
        <v>#N/A</v>
      </c>
      <c r="K60" s="2387" t="s">
        <v>1720</v>
      </c>
      <c r="L60" s="2386" t="e">
        <f ca="1">IF(OR(M47="住宅",L48&lt;J51),0,ROUND(L57*(L58/L59-1),0))</f>
        <v>#N/A</v>
      </c>
      <c r="M60" s="2764"/>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1.5</v>
      </c>
      <c r="K61" s="1697"/>
      <c r="O61" s="1961" t="s">
        <v>1740</v>
      </c>
      <c r="P61" s="1959" t="s">
        <v>1748</v>
      </c>
      <c r="Q61" s="1960" t="e">
        <f ca="1">L58</f>
        <v>#N/A</v>
      </c>
      <c r="R61" s="1963" t="s">
        <v>1749</v>
      </c>
    </row>
    <row r="62" spans="1:18" s="1673" customFormat="1" ht="16.2" thickBot="1">
      <c r="A62" s="749"/>
      <c r="B62" s="728"/>
      <c r="C62" s="65"/>
      <c r="D62" s="750"/>
      <c r="E62" s="719" t="s">
        <v>621</v>
      </c>
      <c r="F62" s="720" t="e">
        <f t="shared" ca="1" si="0"/>
        <v>#N/A</v>
      </c>
      <c r="I62" s="2388" t="s">
        <v>1721</v>
      </c>
      <c r="J62" s="2389" t="s">
        <v>1722</v>
      </c>
      <c r="K62" s="2389" t="s">
        <v>1723</v>
      </c>
      <c r="L62" s="2389" t="s">
        <v>1704</v>
      </c>
      <c r="M62" s="2390" t="s">
        <v>2205</v>
      </c>
      <c r="O62" s="1961" t="s">
        <v>1742</v>
      </c>
      <c r="P62" s="1959" t="str">
        <f>K59</f>
        <v>建筑物剩余耐用年限下的土地年期修正系数Kn</v>
      </c>
      <c r="Q62" s="1960" t="e">
        <f ca="1">L59</f>
        <v>#N/A</v>
      </c>
      <c r="R62" s="1963" t="s">
        <v>1751</v>
      </c>
    </row>
    <row r="63" spans="1:18" s="1673" customFormat="1" ht="16.2" thickBot="1">
      <c r="A63" s="1370" t="s">
        <v>1414</v>
      </c>
      <c r="B63" s="719" t="s">
        <v>623</v>
      </c>
      <c r="C63" s="49" t="e">
        <f ca="1">ROUND(C56*F63,2)</f>
        <v>#N/A</v>
      </c>
      <c r="D63" s="907" t="s">
        <v>1332</v>
      </c>
      <c r="E63" s="719" t="s">
        <v>1276</v>
      </c>
      <c r="F63" s="751" t="e">
        <f t="shared" ca="1" si="0"/>
        <v>#N/A</v>
      </c>
      <c r="I63" s="2388" t="s">
        <v>1724</v>
      </c>
      <c r="J63" s="2389">
        <v>70</v>
      </c>
      <c r="K63" s="2389">
        <v>50</v>
      </c>
      <c r="L63" s="2389">
        <v>80</v>
      </c>
      <c r="M63" s="2391">
        <v>0.02</v>
      </c>
      <c r="O63" s="1958" t="s">
        <v>1745</v>
      </c>
      <c r="P63" s="1959" t="s">
        <v>1762</v>
      </c>
      <c r="Q63" s="1960" t="e">
        <f ca="1">Q57+Q58</f>
        <v>#N/A</v>
      </c>
      <c r="R63" s="1963" t="s">
        <v>1746</v>
      </c>
    </row>
    <row r="64" spans="1:18" s="1673" customFormat="1" ht="16.2" thickBot="1">
      <c r="A64" s="1370" t="s">
        <v>1415</v>
      </c>
      <c r="B64" s="719" t="s">
        <v>626</v>
      </c>
      <c r="C64" s="49" t="e">
        <f ca="1">ROUND(C55*F64,2)</f>
        <v>#N/A</v>
      </c>
      <c r="D64" s="907" t="s">
        <v>627</v>
      </c>
      <c r="E64" s="719" t="s">
        <v>1276</v>
      </c>
      <c r="F64" s="752" t="e">
        <f t="shared" ca="1" si="0"/>
        <v>#N/A</v>
      </c>
      <c r="I64" s="2388" t="s">
        <v>1725</v>
      </c>
      <c r="J64" s="2389">
        <v>50</v>
      </c>
      <c r="K64" s="2389">
        <v>35</v>
      </c>
      <c r="L64" s="2389">
        <v>60</v>
      </c>
      <c r="M64" s="780">
        <v>0</v>
      </c>
      <c r="O64" s="1964" t="s">
        <v>1769</v>
      </c>
      <c r="P64" s="1145"/>
      <c r="Q64" s="1331"/>
      <c r="R64" s="1145"/>
    </row>
    <row r="65" spans="1:18" s="1673" customFormat="1" ht="16.2" thickBot="1">
      <c r="A65" s="1370" t="s">
        <v>1416</v>
      </c>
      <c r="B65" s="719" t="s">
        <v>613</v>
      </c>
      <c r="C65" s="49" t="e">
        <f ca="1">ROUND(C47*F65,2)</f>
        <v>#N/A</v>
      </c>
      <c r="D65" s="907" t="s">
        <v>630</v>
      </c>
      <c r="E65" s="719" t="s">
        <v>1276</v>
      </c>
      <c r="F65" s="729" t="e">
        <f t="shared" ca="1" si="0"/>
        <v>#N/A</v>
      </c>
      <c r="I65" s="2388" t="s">
        <v>1726</v>
      </c>
      <c r="J65" s="2389">
        <v>40</v>
      </c>
      <c r="K65" s="2389">
        <v>30</v>
      </c>
      <c r="L65" s="2389">
        <v>50</v>
      </c>
      <c r="M65" s="2391">
        <v>0.02</v>
      </c>
      <c r="O65" s="1955" t="s">
        <v>1729</v>
      </c>
      <c r="P65" s="1956" t="s">
        <v>1730</v>
      </c>
      <c r="Q65" s="1957" t="s">
        <v>1731</v>
      </c>
      <c r="R65" s="1956" t="s">
        <v>1732</v>
      </c>
    </row>
    <row r="66" spans="1:18" s="1673" customFormat="1" ht="24.6" thickBot="1">
      <c r="A66" s="732" t="s">
        <v>1305</v>
      </c>
      <c r="B66" s="2298" t="s">
        <v>2099</v>
      </c>
      <c r="C66" s="734" t="e">
        <f ca="1">C47-C57</f>
        <v>#N/A</v>
      </c>
      <c r="D66" s="906" t="s">
        <v>647</v>
      </c>
      <c r="E66" s="904"/>
      <c r="F66" s="754"/>
      <c r="K66" s="1697"/>
      <c r="O66" s="1958" t="s">
        <v>1733</v>
      </c>
      <c r="P66" s="1959" t="s">
        <v>1763</v>
      </c>
      <c r="Q66" s="1960" t="e">
        <f ca="1">C40+J29</f>
        <v>#N/A</v>
      </c>
      <c r="R66" s="1959" t="s">
        <v>1734</v>
      </c>
    </row>
    <row r="67" spans="1:18" s="1673" customFormat="1" ht="19.2"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0.399999999999999" thickBot="1">
      <c r="A68" s="721"/>
      <c r="B68" s="722"/>
      <c r="C68" s="723"/>
      <c r="D68" s="755" t="s">
        <v>1337</v>
      </c>
      <c r="E68" s="719" t="s">
        <v>1313</v>
      </c>
      <c r="F68" s="756" t="e">
        <f ca="1">F41</f>
        <v>#N/A</v>
      </c>
      <c r="O68" s="1961" t="s">
        <v>1737</v>
      </c>
      <c r="P68" s="1959" t="s">
        <v>1767</v>
      </c>
      <c r="Q68" s="1965" t="e">
        <f ca="1">L51</f>
        <v>#N/A</v>
      </c>
      <c r="R68" s="1966" t="s">
        <v>1770</v>
      </c>
    </row>
    <row r="69" spans="1:18" ht="19.2" thickBot="1">
      <c r="A69" s="725"/>
      <c r="B69" s="726"/>
      <c r="C69" s="727"/>
      <c r="D69" s="750"/>
      <c r="E69" s="719" t="s">
        <v>657</v>
      </c>
      <c r="F69" s="1935"/>
      <c r="O69" s="1961" t="s">
        <v>1738</v>
      </c>
      <c r="P69" s="1967" t="s">
        <v>1752</v>
      </c>
      <c r="Q69" s="1960" t="e">
        <f ca="1">ROUND(Q70-Q71*Q72,0)</f>
        <v>#N/A</v>
      </c>
      <c r="R69" s="1963"/>
    </row>
    <row r="70" spans="1:18" ht="16.2"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6.2" thickBot="1">
      <c r="O71" s="1961" t="s">
        <v>1755</v>
      </c>
      <c r="P71" s="1967" t="s">
        <v>1756</v>
      </c>
      <c r="Q71" s="1960" t="e">
        <f ca="1">C13</f>
        <v>#N/A</v>
      </c>
      <c r="R71" s="1959" t="s">
        <v>1734</v>
      </c>
    </row>
    <row r="72" spans="1:18" ht="16.2" thickBot="1">
      <c r="O72" s="1961" t="s">
        <v>1757</v>
      </c>
      <c r="P72" s="1967" t="s">
        <v>1758</v>
      </c>
      <c r="Q72" s="1962" t="e">
        <f ca="1">J36</f>
        <v>#N/A</v>
      </c>
      <c r="R72" s="1963"/>
    </row>
    <row r="73" spans="1:18" ht="16.2" thickBot="1">
      <c r="O73" s="1961" t="s">
        <v>1740</v>
      </c>
      <c r="P73" s="1959" t="s">
        <v>1747</v>
      </c>
      <c r="Q73" s="1962">
        <f>L52</f>
        <v>0</v>
      </c>
      <c r="R73" s="1963"/>
    </row>
    <row r="74" spans="1:18" ht="19.2" thickBot="1">
      <c r="O74" s="1961" t="s">
        <v>1742</v>
      </c>
      <c r="P74" s="1959" t="s">
        <v>1748</v>
      </c>
      <c r="Q74" s="1960" t="e">
        <f ca="1">L58</f>
        <v>#N/A</v>
      </c>
      <c r="R74" s="1963" t="s">
        <v>1749</v>
      </c>
    </row>
    <row r="75" spans="1:18" ht="16.2" thickBot="1">
      <c r="O75" s="1961" t="s">
        <v>1771</v>
      </c>
      <c r="P75" s="1959" t="str">
        <f>K59</f>
        <v>建筑物剩余耐用年限下的土地年期修正系数Kn</v>
      </c>
      <c r="Q75" s="1960" t="e">
        <f ca="1">L59</f>
        <v>#N/A</v>
      </c>
      <c r="R75" s="1963" t="s">
        <v>1751</v>
      </c>
    </row>
    <row r="76" spans="1:18" ht="16.2"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821" customWidth="1"/>
    <col min="8" max="8" width="8.88671875" style="2821"/>
    <col min="9" max="9" width="8.88671875" style="2822"/>
    <col min="10" max="10" width="5.77734375" style="2982" customWidth="1"/>
    <col min="11" max="11" width="11.77734375" style="2982" customWidth="1"/>
    <col min="12" max="13" width="10.77734375" style="2982" customWidth="1"/>
    <col min="14" max="14" width="10" style="2982" customWidth="1"/>
    <col min="15" max="16" width="10.44140625" style="2982" bestFit="1" customWidth="1"/>
    <col min="17" max="17" width="10" style="2982" customWidth="1"/>
    <col min="18" max="18" width="10.109375" style="2982" customWidth="1"/>
    <col min="19" max="19" width="10" style="2982" customWidth="1"/>
    <col min="20" max="20" width="26.109375" style="2982" customWidth="1"/>
    <col min="21" max="21" width="8.88671875" style="2982"/>
    <col min="22" max="22" width="8.88671875" style="2822"/>
    <col min="23"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2" ht="21" customHeight="1">
      <c r="A1" s="2816" t="s">
        <v>2440</v>
      </c>
      <c r="B1" s="2817"/>
      <c r="C1" s="2830"/>
      <c r="D1" s="2830"/>
      <c r="E1" s="2818"/>
      <c r="F1" s="2819"/>
      <c r="G1" s="2820"/>
      <c r="J1" s="2823" t="s">
        <v>2297</v>
      </c>
      <c r="K1" s="2824"/>
      <c r="L1" s="2824"/>
      <c r="M1" s="2824"/>
      <c r="N1" s="2824"/>
      <c r="O1" s="2824"/>
      <c r="P1" s="2824"/>
      <c r="Q1" s="2824"/>
      <c r="R1" s="2825"/>
      <c r="S1" s="2826"/>
      <c r="T1" s="2826"/>
      <c r="U1" s="2826"/>
    </row>
    <row r="2" spans="1:22" s="2839" customFormat="1" ht="13.2" customHeight="1">
      <c r="A2" s="2828" t="s">
        <v>2298</v>
      </c>
      <c r="B2" s="2829" t="e">
        <f>C40</f>
        <v>#DIV/0!</v>
      </c>
      <c r="C2" s="2830" t="s">
        <v>2299</v>
      </c>
      <c r="D2" s="2830"/>
      <c r="E2" s="2831"/>
      <c r="F2" s="2832"/>
      <c r="G2" s="2833"/>
      <c r="H2" s="2834"/>
      <c r="I2" s="2835"/>
      <c r="J2" s="3700" t="s">
        <v>2300</v>
      </c>
      <c r="K2" s="3701"/>
      <c r="L2" s="2836" t="s">
        <v>2301</v>
      </c>
      <c r="M2" s="2836" t="s">
        <v>2302</v>
      </c>
      <c r="N2" s="2836" t="s">
        <v>2303</v>
      </c>
      <c r="O2" s="2836" t="s">
        <v>2304</v>
      </c>
      <c r="P2" s="2836" t="s">
        <v>2305</v>
      </c>
      <c r="Q2" s="2837" t="s">
        <v>2306</v>
      </c>
      <c r="R2" s="2838" t="s">
        <v>2307</v>
      </c>
      <c r="S2" s="2826"/>
      <c r="T2" s="2826"/>
      <c r="U2" s="2826"/>
      <c r="V2" s="2835"/>
    </row>
    <row r="3" spans="1:22" s="2839" customFormat="1" ht="13.2" customHeight="1">
      <c r="A3" s="2840" t="s">
        <v>2308</v>
      </c>
      <c r="B3" s="2841" t="e">
        <f>ROUND(B2*10000/B4,0)</f>
        <v>#DIV/0!</v>
      </c>
      <c r="C3" s="2830" t="s">
        <v>2309</v>
      </c>
      <c r="D3" s="2830"/>
      <c r="E3" s="2831"/>
      <c r="F3" s="2832"/>
      <c r="G3" s="2833"/>
      <c r="H3" s="2834"/>
      <c r="I3" s="2835"/>
      <c r="J3" s="3702" t="s">
        <v>2310</v>
      </c>
      <c r="K3" s="3703"/>
      <c r="L3" s="2842"/>
      <c r="M3" s="2842"/>
      <c r="N3" s="2842"/>
      <c r="O3" s="2842"/>
      <c r="P3" s="2842"/>
      <c r="Q3" s="2843"/>
      <c r="R3" s="2844">
        <f>SUM(L3:Q3)</f>
        <v>0</v>
      </c>
      <c r="S3" s="2826"/>
      <c r="T3" s="2826"/>
      <c r="U3" s="2826"/>
      <c r="V3" s="2835"/>
    </row>
    <row r="4" spans="1:22" s="2839" customFormat="1" ht="13.2" customHeight="1">
      <c r="A4" s="2845" t="s">
        <v>2311</v>
      </c>
      <c r="B4" s="2846"/>
      <c r="C4" s="2830"/>
      <c r="D4" s="2830"/>
      <c r="E4" s="2831"/>
      <c r="F4" s="2832"/>
      <c r="G4" s="2833"/>
      <c r="H4" s="2834"/>
      <c r="I4" s="2835"/>
      <c r="J4" s="3702" t="s">
        <v>2312</v>
      </c>
      <c r="K4" s="3703"/>
      <c r="L4" s="2847"/>
      <c r="M4" s="2847"/>
      <c r="N4" s="2847"/>
      <c r="O4" s="2847"/>
      <c r="P4" s="2847"/>
      <c r="Q4" s="2848"/>
      <c r="R4" s="2849">
        <f>SUM(L4:Q4)</f>
        <v>0</v>
      </c>
      <c r="S4" s="2826"/>
      <c r="T4" s="2826"/>
      <c r="U4" s="2826"/>
      <c r="V4" s="2835"/>
    </row>
    <row r="5" spans="1:22" s="2839" customFormat="1" ht="13.2" customHeight="1" thickBot="1">
      <c r="A5" s="2850" t="s">
        <v>2313</v>
      </c>
      <c r="B5" s="2851"/>
      <c r="C5" s="2830"/>
      <c r="D5" s="2852"/>
      <c r="E5" s="2832"/>
      <c r="F5" s="2832"/>
      <c r="G5" s="2833"/>
      <c r="H5" s="2834"/>
      <c r="I5" s="2835"/>
      <c r="J5" s="2853" t="s">
        <v>2314</v>
      </c>
      <c r="K5" s="2854"/>
      <c r="L5" s="2854"/>
      <c r="M5" s="2855"/>
      <c r="N5" s="2855"/>
      <c r="O5" s="2855"/>
      <c r="P5" s="2855"/>
      <c r="Q5" s="2855"/>
      <c r="R5" s="2838">
        <f>SUM(R14,R19,R24,R25,R27,R28)</f>
        <v>0</v>
      </c>
      <c r="S5" s="2826"/>
      <c r="T5" s="2826" t="s">
        <v>2315</v>
      </c>
      <c r="U5" s="2826" t="e">
        <f>ROUND(R5*10000/365/R3,1)</f>
        <v>#DIV/0!</v>
      </c>
      <c r="V5" s="2835"/>
    </row>
    <row r="6" spans="1:22" s="2839" customFormat="1" ht="13.2" customHeight="1" thickBot="1">
      <c r="A6" s="3704" t="s">
        <v>2316</v>
      </c>
      <c r="B6" s="3705"/>
      <c r="C6" s="3706"/>
      <c r="D6" s="2856"/>
      <c r="E6" s="2857"/>
      <c r="F6" s="2858"/>
      <c r="G6" s="2859"/>
      <c r="H6" s="2834"/>
      <c r="I6" s="2835"/>
      <c r="J6" s="3707">
        <v>1</v>
      </c>
      <c r="K6" s="3708" t="s">
        <v>2317</v>
      </c>
      <c r="L6" s="2860" t="s">
        <v>2318</v>
      </c>
      <c r="M6" s="2861" t="s">
        <v>2319</v>
      </c>
      <c r="N6" s="2861" t="s">
        <v>2320</v>
      </c>
      <c r="O6" s="2861" t="s">
        <v>2321</v>
      </c>
      <c r="P6" s="2861" t="s">
        <v>2322</v>
      </c>
      <c r="Q6" s="2861" t="s">
        <v>2323</v>
      </c>
      <c r="R6" s="2844" t="s">
        <v>2324</v>
      </c>
      <c r="S6" s="2826"/>
      <c r="T6" s="2826" t="s">
        <v>2325</v>
      </c>
      <c r="U6" s="2826"/>
      <c r="V6" s="2835"/>
    </row>
    <row r="7" spans="1:22" s="2839" customFormat="1" ht="13.2" customHeight="1">
      <c r="A7" s="2862" t="s">
        <v>2326</v>
      </c>
      <c r="B7" s="2863"/>
      <c r="C7" s="2864"/>
      <c r="D7" s="2865">
        <f>SUM(D9,D10,D11,D17,0)</f>
        <v>0</v>
      </c>
      <c r="E7" s="2866" t="e">
        <f>E9+E10+E11+E17</f>
        <v>#DIV/0!</v>
      </c>
      <c r="F7" s="2867"/>
      <c r="G7" s="2868"/>
      <c r="H7" s="2834"/>
      <c r="I7" s="2835"/>
      <c r="J7" s="3707"/>
      <c r="K7" s="3709"/>
      <c r="L7" s="2869" t="s">
        <v>2327</v>
      </c>
      <c r="M7" s="2870"/>
      <c r="N7" s="2846"/>
      <c r="O7" s="2871"/>
      <c r="P7" s="2871"/>
      <c r="Q7" s="2872">
        <v>365</v>
      </c>
      <c r="R7" s="2873">
        <f>ROUND(M7*N7*O7*P7*Q7/10000,0)</f>
        <v>0</v>
      </c>
      <c r="S7" s="2826"/>
      <c r="T7" s="2826" t="s">
        <v>2328</v>
      </c>
      <c r="U7" s="2826"/>
      <c r="V7" s="2835"/>
    </row>
    <row r="8" spans="1:22" s="2839" customFormat="1" ht="13.2" customHeight="1">
      <c r="A8" s="2874" t="s">
        <v>2329</v>
      </c>
      <c r="B8" s="3711" t="s">
        <v>2330</v>
      </c>
      <c r="C8" s="3712"/>
      <c r="D8" s="2875" t="s">
        <v>2331</v>
      </c>
      <c r="E8" s="2876" t="s">
        <v>2332</v>
      </c>
      <c r="F8" s="2877" t="s">
        <v>2333</v>
      </c>
      <c r="G8" s="2878"/>
      <c r="H8" s="2834"/>
      <c r="I8" s="2835"/>
      <c r="J8" s="3707"/>
      <c r="K8" s="3709"/>
      <c r="L8" s="2869" t="s">
        <v>2334</v>
      </c>
      <c r="M8" s="2870"/>
      <c r="N8" s="2846"/>
      <c r="O8" s="2871"/>
      <c r="P8" s="2871"/>
      <c r="Q8" s="2872">
        <v>365</v>
      </c>
      <c r="R8" s="2873">
        <f t="shared" ref="R8:R13" si="0">ROUND(M8*N8*O8*P8*Q8/10000,0)</f>
        <v>0</v>
      </c>
      <c r="S8" s="2826"/>
      <c r="T8" s="2826" t="s">
        <v>2335</v>
      </c>
      <c r="U8" s="2826"/>
      <c r="V8" s="2835"/>
    </row>
    <row r="9" spans="1:22" s="2839" customFormat="1" ht="13.2" customHeight="1">
      <c r="A9" s="2874">
        <v>1</v>
      </c>
      <c r="B9" s="3711" t="s">
        <v>2336</v>
      </c>
      <c r="C9" s="3712"/>
      <c r="D9" s="2875">
        <f>ROUND(D6*E9,0)</f>
        <v>0</v>
      </c>
      <c r="E9" s="2879"/>
      <c r="F9" s="2880" t="s">
        <v>2337</v>
      </c>
      <c r="G9" s="2859"/>
      <c r="H9" s="2834"/>
      <c r="I9" s="2835"/>
      <c r="J9" s="3707"/>
      <c r="K9" s="3709"/>
      <c r="L9" s="2869" t="s">
        <v>2338</v>
      </c>
      <c r="M9" s="2870"/>
      <c r="N9" s="2846"/>
      <c r="O9" s="2871"/>
      <c r="P9" s="2871"/>
      <c r="Q9" s="2872">
        <v>365</v>
      </c>
      <c r="R9" s="2873">
        <f t="shared" si="0"/>
        <v>0</v>
      </c>
      <c r="S9" s="2826"/>
      <c r="T9" s="2826"/>
      <c r="U9" s="2826"/>
      <c r="V9" s="2835"/>
    </row>
    <row r="10" spans="1:22" s="2839" customFormat="1" ht="13.2" customHeight="1">
      <c r="A10" s="2874">
        <v>2</v>
      </c>
      <c r="B10" s="3711" t="s">
        <v>2339</v>
      </c>
      <c r="C10" s="3712"/>
      <c r="D10" s="2875">
        <f>ROUND(D6*E10,0)</f>
        <v>0</v>
      </c>
      <c r="E10" s="2879"/>
      <c r="F10" s="2880" t="s">
        <v>2340</v>
      </c>
      <c r="G10" s="2859"/>
      <c r="H10" s="2834"/>
      <c r="I10" s="2835"/>
      <c r="J10" s="3707"/>
      <c r="K10" s="3709"/>
      <c r="L10" s="2869" t="s">
        <v>2341</v>
      </c>
      <c r="M10" s="2870"/>
      <c r="N10" s="2846"/>
      <c r="O10" s="2871"/>
      <c r="P10" s="2871"/>
      <c r="Q10" s="2872">
        <v>365</v>
      </c>
      <c r="R10" s="2873">
        <f t="shared" si="0"/>
        <v>0</v>
      </c>
      <c r="S10" s="2826"/>
      <c r="T10" s="2826"/>
      <c r="U10" s="2826"/>
      <c r="V10" s="2835"/>
    </row>
    <row r="11" spans="1:22" s="2839" customFormat="1" ht="13.2" customHeight="1">
      <c r="A11" s="2874">
        <v>3</v>
      </c>
      <c r="B11" s="3711" t="s">
        <v>2342</v>
      </c>
      <c r="C11" s="3712"/>
      <c r="D11" s="2875">
        <f>D12+D14+D15+D16</f>
        <v>0</v>
      </c>
      <c r="E11" s="2881" t="e">
        <f>D11/D6</f>
        <v>#DIV/0!</v>
      </c>
      <c r="F11" s="2877"/>
      <c r="G11" s="2878"/>
      <c r="H11" s="2834"/>
      <c r="I11" s="2835"/>
      <c r="J11" s="3707"/>
      <c r="K11" s="3709"/>
      <c r="L11" s="2869" t="s">
        <v>2343</v>
      </c>
      <c r="M11" s="2870"/>
      <c r="N11" s="2846"/>
      <c r="O11" s="2871"/>
      <c r="P11" s="2871"/>
      <c r="Q11" s="2872">
        <v>365</v>
      </c>
      <c r="R11" s="2873">
        <f t="shared" si="0"/>
        <v>0</v>
      </c>
      <c r="S11" s="2826"/>
      <c r="T11" s="2826"/>
      <c r="U11" s="2826"/>
      <c r="V11" s="2835"/>
    </row>
    <row r="12" spans="1:22" s="2839" customFormat="1" ht="13.2" customHeight="1">
      <c r="A12" s="2882" t="s">
        <v>2344</v>
      </c>
      <c r="B12" s="3713" t="s">
        <v>2345</v>
      </c>
      <c r="C12" s="3714"/>
      <c r="D12" s="2883">
        <f>ROUND(D13*1.2%*(1-30%),0)</f>
        <v>0</v>
      </c>
      <c r="E12" s="2884">
        <v>1.2E-2</v>
      </c>
      <c r="F12" s="2877" t="s">
        <v>2346</v>
      </c>
      <c r="G12" s="2878"/>
      <c r="H12" s="2834"/>
      <c r="I12" s="2835"/>
      <c r="J12" s="3707"/>
      <c r="K12" s="3709"/>
      <c r="L12" s="2869" t="s">
        <v>2347</v>
      </c>
      <c r="M12" s="2870"/>
      <c r="N12" s="2846"/>
      <c r="O12" s="2871"/>
      <c r="P12" s="2871"/>
      <c r="Q12" s="2872">
        <v>365</v>
      </c>
      <c r="R12" s="2873">
        <f t="shared" si="0"/>
        <v>0</v>
      </c>
      <c r="S12" s="2826"/>
      <c r="T12" s="2826"/>
      <c r="U12" s="2826"/>
      <c r="V12" s="2835"/>
    </row>
    <row r="13" spans="1:22" s="2839" customFormat="1" ht="13.2" customHeight="1">
      <c r="A13" s="2882"/>
      <c r="B13" s="2885"/>
      <c r="C13" s="2886" t="s">
        <v>2348</v>
      </c>
      <c r="D13" s="2887"/>
      <c r="E13" s="2888"/>
      <c r="F13" s="2877"/>
      <c r="G13" s="2878"/>
      <c r="H13" s="2834"/>
      <c r="I13" s="2835"/>
      <c r="J13" s="3707"/>
      <c r="K13" s="3709"/>
      <c r="L13" s="2869" t="s">
        <v>2349</v>
      </c>
      <c r="M13" s="2870"/>
      <c r="N13" s="2846"/>
      <c r="O13" s="2871"/>
      <c r="P13" s="2871"/>
      <c r="Q13" s="2872">
        <v>365</v>
      </c>
      <c r="R13" s="2873">
        <f t="shared" si="0"/>
        <v>0</v>
      </c>
      <c r="S13" s="2826"/>
      <c r="T13" s="2826"/>
      <c r="U13" s="2826"/>
      <c r="V13" s="2835"/>
    </row>
    <row r="14" spans="1:22" s="2839" customFormat="1" ht="13.2" customHeight="1">
      <c r="A14" s="2882" t="s">
        <v>2350</v>
      </c>
      <c r="B14" s="3713" t="s">
        <v>2351</v>
      </c>
      <c r="C14" s="3714"/>
      <c r="D14" s="2883">
        <f>ROUND(E14*B5/10000,0)</f>
        <v>0</v>
      </c>
      <c r="E14" s="2872"/>
      <c r="F14" s="2877" t="s">
        <v>2352</v>
      </c>
      <c r="G14" s="2878"/>
      <c r="H14" s="2834"/>
      <c r="I14" s="2835"/>
      <c r="J14" s="3707"/>
      <c r="K14" s="3710"/>
      <c r="L14" s="2889" t="s">
        <v>2353</v>
      </c>
      <c r="M14" s="2890">
        <f>SUM(M7:M13)</f>
        <v>0</v>
      </c>
      <c r="N14" s="2890" t="e">
        <f>ROUND((N7*M7+N8*M8+N9*M9+N10*M10+N11*M11+N12*M12+N13*M13)/M14,0)</f>
        <v>#DIV/0!</v>
      </c>
      <c r="O14" s="2891"/>
      <c r="P14" s="2891"/>
      <c r="Q14" s="2892"/>
      <c r="R14" s="2838">
        <f>SUM(R7:R13)</f>
        <v>0</v>
      </c>
      <c r="S14" s="2826"/>
      <c r="T14" s="2826"/>
      <c r="U14" s="2826"/>
      <c r="V14" s="2835"/>
    </row>
    <row r="15" spans="1:22" s="2839" customFormat="1" ht="13.2" customHeight="1">
      <c r="A15" s="2882" t="s">
        <v>2354</v>
      </c>
      <c r="B15" s="3713" t="s">
        <v>2355</v>
      </c>
      <c r="C15" s="3714"/>
      <c r="D15" s="2883">
        <f>ROUND(D6*E15,0)</f>
        <v>0</v>
      </c>
      <c r="E15" s="2884">
        <v>5.5E-2</v>
      </c>
      <c r="F15" s="2877" t="s">
        <v>2356</v>
      </c>
      <c r="G15" s="2859"/>
      <c r="H15" s="2834"/>
      <c r="I15" s="2835"/>
      <c r="J15" s="3707">
        <v>2</v>
      </c>
      <c r="K15" s="3708" t="s">
        <v>2357</v>
      </c>
      <c r="L15" s="2869" t="s">
        <v>2358</v>
      </c>
      <c r="M15" s="2870" t="s">
        <v>2359</v>
      </c>
      <c r="N15" s="2870" t="s">
        <v>2360</v>
      </c>
      <c r="O15" s="2871" t="s">
        <v>2361</v>
      </c>
      <c r="P15" s="2871" t="s">
        <v>2362</v>
      </c>
      <c r="Q15" s="2846" t="s">
        <v>2363</v>
      </c>
      <c r="R15" s="2893" t="s">
        <v>2364</v>
      </c>
      <c r="S15" s="2826"/>
      <c r="T15" s="2826"/>
      <c r="U15" s="2826"/>
      <c r="V15" s="2835"/>
    </row>
    <row r="16" spans="1:22" s="2839" customFormat="1" ht="13.2" customHeight="1">
      <c r="A16" s="2882" t="s">
        <v>2365</v>
      </c>
      <c r="B16" s="3713" t="s">
        <v>2366</v>
      </c>
      <c r="C16" s="3714"/>
      <c r="D16" s="2894">
        <f>D6*E16</f>
        <v>0</v>
      </c>
      <c r="E16" s="2895"/>
      <c r="F16" s="2880" t="s">
        <v>2367</v>
      </c>
      <c r="G16" s="2859"/>
      <c r="H16" s="2834"/>
      <c r="I16" s="2835"/>
      <c r="J16" s="3707"/>
      <c r="K16" s="3709"/>
      <c r="L16" s="2869" t="s">
        <v>2368</v>
      </c>
      <c r="M16" s="2870"/>
      <c r="N16" s="2870"/>
      <c r="O16" s="2871"/>
      <c r="P16" s="2872">
        <v>365</v>
      </c>
      <c r="Q16" s="2846"/>
      <c r="R16" s="2893">
        <f>ROUND(M16*N16*O16*P16/10000,0)</f>
        <v>0</v>
      </c>
      <c r="S16" s="2826"/>
      <c r="T16" s="2826"/>
      <c r="U16" s="2826"/>
      <c r="V16" s="2835"/>
    </row>
    <row r="17" spans="1:22" s="2839" customFormat="1" ht="13.2" customHeight="1" thickBot="1">
      <c r="A17" s="2896">
        <v>4</v>
      </c>
      <c r="B17" s="3715" t="s">
        <v>2369</v>
      </c>
      <c r="C17" s="3716"/>
      <c r="D17" s="2897">
        <f>ROUND(D6*E17,0)</f>
        <v>0</v>
      </c>
      <c r="E17" s="2898"/>
      <c r="F17" s="2899" t="s">
        <v>2370</v>
      </c>
      <c r="G17" s="2859"/>
      <c r="H17" s="2834"/>
      <c r="I17" s="2835"/>
      <c r="J17" s="3707"/>
      <c r="K17" s="3709"/>
      <c r="L17" s="2869" t="s">
        <v>2371</v>
      </c>
      <c r="M17" s="2870"/>
      <c r="N17" s="2870"/>
      <c r="O17" s="2871"/>
      <c r="P17" s="2872">
        <v>365</v>
      </c>
      <c r="Q17" s="2846"/>
      <c r="R17" s="2893">
        <f>ROUND(M17*N17*O17*P17/10000,0)</f>
        <v>0</v>
      </c>
      <c r="S17" s="2826"/>
      <c r="T17" s="2826"/>
      <c r="U17" s="2826"/>
      <c r="V17" s="2835"/>
    </row>
    <row r="18" spans="1:22" s="2839" customFormat="1" ht="13.2" customHeight="1" thickBot="1">
      <c r="A18" s="2862" t="s">
        <v>2372</v>
      </c>
      <c r="B18" s="2863"/>
      <c r="C18" s="2863"/>
      <c r="D18" s="2900">
        <f>ROUND(D6*E18,0)</f>
        <v>0</v>
      </c>
      <c r="E18" s="2901"/>
      <c r="F18" s="2902" t="s">
        <v>2373</v>
      </c>
      <c r="G18" s="2859"/>
      <c r="H18" s="2834"/>
      <c r="I18" s="2835"/>
      <c r="J18" s="3707"/>
      <c r="K18" s="3709"/>
      <c r="L18" s="2869" t="s">
        <v>2374</v>
      </c>
      <c r="M18" s="2870"/>
      <c r="N18" s="2870"/>
      <c r="O18" s="2871"/>
      <c r="P18" s="2872">
        <v>365</v>
      </c>
      <c r="Q18" s="2846"/>
      <c r="R18" s="2893">
        <f>ROUND(M18*N18*O18*P18/10000,0)</f>
        <v>0</v>
      </c>
      <c r="S18" s="2826"/>
      <c r="T18" s="2826"/>
      <c r="U18" s="2826"/>
      <c r="V18" s="2835"/>
    </row>
    <row r="19" spans="1:22" s="2839" customFormat="1" ht="13.2" customHeight="1" thickBot="1">
      <c r="A19" s="2903" t="s">
        <v>2375</v>
      </c>
      <c r="B19" s="2857"/>
      <c r="C19" s="2857"/>
      <c r="D19" s="2857"/>
      <c r="E19" s="2857"/>
      <c r="F19" s="2858"/>
      <c r="G19" s="2878"/>
      <c r="H19" s="2834"/>
      <c r="I19" s="2835"/>
      <c r="J19" s="3707"/>
      <c r="K19" s="3710"/>
      <c r="L19" s="2889" t="s">
        <v>2353</v>
      </c>
      <c r="M19" s="2890"/>
      <c r="N19" s="2890">
        <f>SUM(N16:N18)</f>
        <v>0</v>
      </c>
      <c r="O19" s="2891"/>
      <c r="P19" s="2904" t="s">
        <v>2441</v>
      </c>
      <c r="Q19" s="2871"/>
      <c r="R19" s="2905">
        <f>ROUND(IF(P19="按比例",R14*Q19,SUM(R16:R18)),0)</f>
        <v>0</v>
      </c>
      <c r="S19" s="2826"/>
      <c r="T19" s="2826"/>
      <c r="U19" s="2826"/>
      <c r="V19" s="2835"/>
    </row>
    <row r="20" spans="1:22" s="2839" customFormat="1" ht="13.2" customHeight="1">
      <c r="A20" s="2862"/>
      <c r="B20" s="2863"/>
      <c r="C20" s="2863"/>
      <c r="D20" s="2863"/>
      <c r="E20" s="2863"/>
      <c r="F20" s="2906"/>
      <c r="G20" s="2878"/>
      <c r="H20" s="2834"/>
      <c r="I20" s="2835"/>
      <c r="J20" s="3707">
        <v>3</v>
      </c>
      <c r="K20" s="3708" t="s">
        <v>2376</v>
      </c>
      <c r="L20" s="2869" t="s">
        <v>2377</v>
      </c>
      <c r="M20" s="2870" t="s">
        <v>2378</v>
      </c>
      <c r="N20" s="2907" t="s">
        <v>2379</v>
      </c>
      <c r="O20" s="2871" t="s">
        <v>2380</v>
      </c>
      <c r="P20" s="2872" t="s">
        <v>2381</v>
      </c>
      <c r="Q20" s="2846" t="s">
        <v>2382</v>
      </c>
      <c r="R20" s="2893" t="s">
        <v>2324</v>
      </c>
      <c r="S20" s="2826"/>
      <c r="T20" s="2826"/>
      <c r="U20" s="2826"/>
      <c r="V20" s="2835"/>
    </row>
    <row r="21" spans="1:22" s="2839" customFormat="1" ht="13.2" customHeight="1">
      <c r="A21" s="2862"/>
      <c r="B21" s="2863"/>
      <c r="C21" s="2908" t="s">
        <v>2383</v>
      </c>
      <c r="D21" s="2909" t="s">
        <v>2384</v>
      </c>
      <c r="E21" s="2910" t="s">
        <v>2385</v>
      </c>
      <c r="F21" s="2906"/>
      <c r="G21" s="2878"/>
      <c r="H21" s="2834"/>
      <c r="I21" s="2835"/>
      <c r="J21" s="3707"/>
      <c r="K21" s="3709"/>
      <c r="L21" s="2869" t="s">
        <v>2386</v>
      </c>
      <c r="M21" s="2870"/>
      <c r="N21" s="2870"/>
      <c r="O21" s="2871"/>
      <c r="P21" s="2872">
        <v>365</v>
      </c>
      <c r="Q21" s="2846"/>
      <c r="R21" s="2911">
        <f>ROUND(M21*N21*O21*P21/10000,0)</f>
        <v>0</v>
      </c>
      <c r="S21" s="2826"/>
      <c r="T21" s="2826"/>
      <c r="U21" s="2826"/>
      <c r="V21" s="2835"/>
    </row>
    <row r="22" spans="1:22" s="2839" customFormat="1" ht="13.2" customHeight="1">
      <c r="A22" s="2862"/>
      <c r="B22" s="2863"/>
      <c r="C22" s="2912" t="s">
        <v>2387</v>
      </c>
      <c r="D22" s="2913" t="s">
        <v>2388</v>
      </c>
      <c r="E22" s="2914" t="s">
        <v>2389</v>
      </c>
      <c r="F22" s="2906"/>
      <c r="G22" s="2826"/>
      <c r="H22" s="2834"/>
      <c r="I22" s="2835"/>
      <c r="J22" s="3707"/>
      <c r="K22" s="3709"/>
      <c r="L22" s="2869" t="s">
        <v>2390</v>
      </c>
      <c r="M22" s="2870"/>
      <c r="N22" s="2870"/>
      <c r="O22" s="2871"/>
      <c r="P22" s="2872">
        <v>365</v>
      </c>
      <c r="Q22" s="2846"/>
      <c r="R22" s="2911">
        <f>ROUND(M22*N22*O22*P22/10000,0)</f>
        <v>0</v>
      </c>
      <c r="S22" s="2826"/>
      <c r="T22" s="2826"/>
      <c r="U22" s="2826"/>
      <c r="V22" s="2835"/>
    </row>
    <row r="23" spans="1:22" s="2839" customFormat="1" ht="13.2" customHeight="1">
      <c r="A23" s="2915">
        <v>1</v>
      </c>
      <c r="B23" s="2916" t="s">
        <v>2391</v>
      </c>
      <c r="C23" s="2917">
        <f>D6</f>
        <v>0</v>
      </c>
      <c r="D23" s="2918">
        <f>C23*(1+D24)</f>
        <v>0</v>
      </c>
      <c r="E23" s="2919">
        <f>D23*(1+E24)</f>
        <v>0</v>
      </c>
      <c r="F23" s="2920"/>
      <c r="G23" s="2921"/>
      <c r="H23" s="2834"/>
      <c r="I23" s="2835"/>
      <c r="J23" s="3707"/>
      <c r="K23" s="3709"/>
      <c r="L23" s="2869" t="s">
        <v>2392</v>
      </c>
      <c r="M23" s="2870"/>
      <c r="N23" s="2870"/>
      <c r="O23" s="2871"/>
      <c r="P23" s="2872">
        <v>365</v>
      </c>
      <c r="Q23" s="2846"/>
      <c r="R23" s="2911">
        <f>ROUND(M23*N23*O23*P23/10000,0)</f>
        <v>0</v>
      </c>
      <c r="S23" s="2826"/>
      <c r="T23" s="2826"/>
      <c r="U23" s="2826"/>
      <c r="V23" s="2835"/>
    </row>
    <row r="24" spans="1:22" s="2839" customFormat="1" ht="13.2" customHeight="1">
      <c r="A24" s="2922"/>
      <c r="B24" s="2923" t="s">
        <v>2393</v>
      </c>
      <c r="C24" s="2924"/>
      <c r="D24" s="2925"/>
      <c r="E24" s="2926"/>
      <c r="F24" s="2927"/>
      <c r="G24" s="2921"/>
      <c r="H24" s="2834"/>
      <c r="I24" s="2835"/>
      <c r="J24" s="3707"/>
      <c r="K24" s="3710"/>
      <c r="L24" s="2889" t="s">
        <v>2353</v>
      </c>
      <c r="M24" s="2890">
        <f>SUM(M21:M23)</f>
        <v>0</v>
      </c>
      <c r="N24" s="2890"/>
      <c r="O24" s="2891"/>
      <c r="P24" s="2904" t="s">
        <v>2441</v>
      </c>
      <c r="Q24" s="2871"/>
      <c r="R24" s="2905">
        <f>ROUND(IF(P24="按比例",R14*Q24,SUM(R21:R23)),0)</f>
        <v>0</v>
      </c>
      <c r="S24" s="2826"/>
      <c r="T24" s="2826"/>
      <c r="U24" s="2826"/>
      <c r="V24" s="2835"/>
    </row>
    <row r="25" spans="1:22" s="2934" customFormat="1" ht="13.2" customHeight="1">
      <c r="A25" s="2922"/>
      <c r="B25" s="2923"/>
      <c r="C25" s="2924"/>
      <c r="D25" s="2925"/>
      <c r="E25" s="2926"/>
      <c r="F25" s="2927"/>
      <c r="G25" s="2826"/>
      <c r="H25" s="2834"/>
      <c r="I25" s="2835"/>
      <c r="J25" s="2928">
        <v>4</v>
      </c>
      <c r="K25" s="2929" t="s">
        <v>2394</v>
      </c>
      <c r="L25" s="2930"/>
      <c r="M25" s="2930"/>
      <c r="N25" s="2930"/>
      <c r="O25" s="2930"/>
      <c r="P25" s="2931"/>
      <c r="Q25" s="2932"/>
      <c r="R25" s="2905">
        <f>ROUND(R14*Q25,0)</f>
        <v>0</v>
      </c>
      <c r="S25" s="2826"/>
      <c r="T25" s="2826"/>
      <c r="U25" s="2826"/>
      <c r="V25" s="2933"/>
    </row>
    <row r="26" spans="1:22" s="2934" customFormat="1" ht="13.2" customHeight="1">
      <c r="A26" s="2915">
        <v>2</v>
      </c>
      <c r="B26" s="2916" t="s">
        <v>2395</v>
      </c>
      <c r="C26" s="2917">
        <f>D7</f>
        <v>0</v>
      </c>
      <c r="D26" s="2918">
        <f>D23*D27</f>
        <v>0</v>
      </c>
      <c r="E26" s="2919">
        <f>E23*E27</f>
        <v>0</v>
      </c>
      <c r="F26" s="2920"/>
      <c r="G26" s="2921"/>
      <c r="H26" s="2834"/>
      <c r="I26" s="2835"/>
      <c r="J26" s="3717">
        <v>5</v>
      </c>
      <c r="K26" s="2935" t="s">
        <v>2396</v>
      </c>
      <c r="L26" s="2936"/>
      <c r="M26" s="2937"/>
      <c r="N26" s="2938" t="s">
        <v>2397</v>
      </c>
      <c r="O26" s="2938" t="s">
        <v>2398</v>
      </c>
      <c r="P26" s="2939" t="s">
        <v>2399</v>
      </c>
      <c r="Q26" s="2939" t="s">
        <v>2400</v>
      </c>
      <c r="R26" s="2844" t="s">
        <v>2401</v>
      </c>
      <c r="S26" s="2878"/>
      <c r="T26" s="2878"/>
      <c r="U26" s="2878"/>
      <c r="V26" s="2933"/>
    </row>
    <row r="27" spans="1:22" s="2839" customFormat="1" ht="13.2" customHeight="1">
      <c r="A27" s="2922"/>
      <c r="B27" s="2923" t="s">
        <v>2402</v>
      </c>
      <c r="C27" s="2940" t="e">
        <f>E7</f>
        <v>#DIV/0!</v>
      </c>
      <c r="D27" s="2925"/>
      <c r="E27" s="2926"/>
      <c r="F27" s="2927"/>
      <c r="G27" s="2921"/>
      <c r="H27" s="2941"/>
      <c r="I27" s="2933"/>
      <c r="J27" s="3718"/>
      <c r="K27" s="2942"/>
      <c r="L27" s="2943"/>
      <c r="M27" s="2944"/>
      <c r="N27" s="2945"/>
      <c r="O27" s="2945"/>
      <c r="P27" s="2945"/>
      <c r="Q27" s="2946"/>
      <c r="R27" s="2905">
        <f>ROUND(O27*N27*P27*(1-Q27)/10000,0)</f>
        <v>0</v>
      </c>
      <c r="S27" s="2826"/>
      <c r="T27" s="2826"/>
      <c r="U27" s="2826"/>
      <c r="V27" s="2835"/>
    </row>
    <row r="28" spans="1:22" s="2934" customFormat="1" ht="13.2" customHeight="1" thickBot="1">
      <c r="A28" s="2922"/>
      <c r="B28" s="2923"/>
      <c r="C28" s="2940"/>
      <c r="D28" s="2925"/>
      <c r="E28" s="2926" t="s">
        <v>2403</v>
      </c>
      <c r="F28" s="2927"/>
      <c r="G28" s="2826"/>
      <c r="H28" s="2941"/>
      <c r="I28" s="2933"/>
      <c r="J28" s="2947">
        <v>6</v>
      </c>
      <c r="K28" s="2948" t="s">
        <v>2404</v>
      </c>
      <c r="L28" s="2949" t="s">
        <v>2405</v>
      </c>
      <c r="M28" s="2950"/>
      <c r="N28" s="2949" t="s">
        <v>2406</v>
      </c>
      <c r="O28" s="2951"/>
      <c r="P28" s="2949" t="s">
        <v>2407</v>
      </c>
      <c r="Q28" s="2952">
        <v>1.4999999999999999E-2</v>
      </c>
      <c r="R28" s="2953"/>
      <c r="S28" s="2826"/>
      <c r="T28" s="2826"/>
      <c r="U28" s="2826"/>
      <c r="V28" s="2933"/>
    </row>
    <row r="29" spans="1:22" s="2934" customFormat="1" ht="13.2" customHeight="1">
      <c r="A29" s="2915">
        <v>3</v>
      </c>
      <c r="B29" s="2916" t="s">
        <v>2408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2" customHeight="1" thickBot="1">
      <c r="A30" s="2922"/>
      <c r="B30" s="2923" t="s">
        <v>2409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2" customHeight="1">
      <c r="A31" s="2922"/>
      <c r="B31" s="2923"/>
      <c r="C31" s="2955"/>
      <c r="D31" s="2954"/>
      <c r="E31" s="2888"/>
      <c r="F31" s="2927"/>
      <c r="G31" s="2826"/>
      <c r="H31" s="2941"/>
      <c r="I31" s="2933"/>
      <c r="J31" s="2823" t="s">
        <v>2410</v>
      </c>
      <c r="K31" s="2824"/>
      <c r="L31" s="2824"/>
      <c r="M31" s="2824"/>
      <c r="N31" s="2824"/>
      <c r="O31" s="2824"/>
      <c r="P31" s="2824"/>
      <c r="Q31" s="2824"/>
      <c r="R31" s="2825"/>
      <c r="S31" s="2826"/>
      <c r="T31" s="2826"/>
      <c r="U31" s="2826"/>
      <c r="V31" s="2933"/>
    </row>
    <row r="32" spans="1:22" s="2934" customFormat="1" ht="13.2" customHeight="1">
      <c r="A32" s="2915">
        <v>4</v>
      </c>
      <c r="B32" s="2916" t="s">
        <v>2411</v>
      </c>
      <c r="C32" s="2917">
        <f>C23-C26-C29</f>
        <v>0</v>
      </c>
      <c r="D32" s="2918">
        <f>D23-D26-D29</f>
        <v>0</v>
      </c>
      <c r="E32" s="2919">
        <f>E23-E26-E29</f>
        <v>0</v>
      </c>
      <c r="F32" s="2920"/>
      <c r="G32" s="2826"/>
      <c r="H32" s="2834"/>
      <c r="I32" s="2835"/>
      <c r="J32" s="3700" t="s">
        <v>2412</v>
      </c>
      <c r="K32" s="3701"/>
      <c r="L32" s="2836" t="s">
        <v>2413</v>
      </c>
      <c r="M32" s="2836" t="s">
        <v>2302</v>
      </c>
      <c r="N32" s="2836" t="s">
        <v>2303</v>
      </c>
      <c r="O32" s="2836" t="s">
        <v>2304</v>
      </c>
      <c r="P32" s="2836" t="s">
        <v>2305</v>
      </c>
      <c r="Q32" s="2837" t="s">
        <v>2414</v>
      </c>
      <c r="R32" s="2956" t="s">
        <v>2415</v>
      </c>
      <c r="S32" s="2826"/>
      <c r="T32" s="2826"/>
      <c r="U32" s="2826"/>
      <c r="V32" s="2933"/>
    </row>
    <row r="33" spans="1:23" s="2839" customFormat="1" ht="13.2" customHeight="1">
      <c r="A33" s="2915"/>
      <c r="B33" s="2916"/>
      <c r="C33" s="2917"/>
      <c r="D33" s="2957"/>
      <c r="E33" s="2958"/>
      <c r="F33" s="2920"/>
      <c r="G33" s="2826"/>
      <c r="H33" s="2941"/>
      <c r="I33" s="2933"/>
      <c r="J33" s="3702" t="s">
        <v>2416</v>
      </c>
      <c r="K33" s="3703"/>
      <c r="L33" s="2842"/>
      <c r="M33" s="2842"/>
      <c r="N33" s="2842"/>
      <c r="O33" s="2842"/>
      <c r="P33" s="2842"/>
      <c r="Q33" s="2843"/>
      <c r="R33" s="2959">
        <f>SUM(L33:Q33)</f>
        <v>0</v>
      </c>
      <c r="S33" s="2826"/>
      <c r="T33" s="2826"/>
      <c r="U33" s="2826"/>
      <c r="V33" s="2835"/>
    </row>
    <row r="34" spans="1:23" s="2839" customFormat="1" ht="13.2" customHeight="1">
      <c r="A34" s="2915">
        <v>5</v>
      </c>
      <c r="B34" s="2916" t="s">
        <v>2417</v>
      </c>
      <c r="C34" s="2960"/>
      <c r="D34" s="2961"/>
      <c r="E34" s="2962"/>
      <c r="F34" s="2920"/>
      <c r="G34" s="2826"/>
      <c r="H34" s="2941"/>
      <c r="I34" s="2933"/>
      <c r="J34" s="3702" t="s">
        <v>2418</v>
      </c>
      <c r="K34" s="3703"/>
      <c r="L34" s="2847"/>
      <c r="M34" s="2847"/>
      <c r="N34" s="2847"/>
      <c r="O34" s="2847"/>
      <c r="P34" s="2847"/>
      <c r="Q34" s="2848"/>
      <c r="R34" s="2963">
        <f>SUM(L34:Q34)</f>
        <v>0</v>
      </c>
      <c r="S34" s="2826"/>
      <c r="T34" s="2826"/>
      <c r="U34" s="2826" t="e">
        <f>ROUND(R35*10000/365/R33,1)</f>
        <v>#DIV/0!</v>
      </c>
      <c r="V34" s="2835"/>
    </row>
    <row r="35" spans="1:23" s="2839" customFormat="1" ht="13.2" customHeight="1">
      <c r="A35" s="2915">
        <v>6</v>
      </c>
      <c r="B35" s="2916" t="s">
        <v>2419</v>
      </c>
      <c r="C35" s="2964"/>
      <c r="D35" s="2965"/>
      <c r="E35" s="2966"/>
      <c r="F35" s="2920"/>
      <c r="G35" s="2967"/>
      <c r="H35" s="2834"/>
      <c r="I35" s="2933"/>
      <c r="J35" s="2853" t="s">
        <v>2420</v>
      </c>
      <c r="K35" s="2854"/>
      <c r="L35" s="2854"/>
      <c r="M35" s="2855"/>
      <c r="N35" s="2855"/>
      <c r="O35" s="2855"/>
      <c r="P35" s="2855"/>
      <c r="Q35" s="2855"/>
      <c r="R35" s="2968">
        <f>R40+R41+R43</f>
        <v>0</v>
      </c>
      <c r="S35" s="2826"/>
      <c r="T35" s="2826" t="s">
        <v>2421</v>
      </c>
      <c r="U35" s="2826"/>
      <c r="V35" s="2835"/>
    </row>
    <row r="36" spans="1:23" s="2839" customFormat="1" ht="13.2" customHeight="1" thickBot="1">
      <c r="A36" s="2915">
        <v>7</v>
      </c>
      <c r="B36" s="2969" t="s">
        <v>2422</v>
      </c>
      <c r="C36" s="2970"/>
      <c r="D36" s="2971"/>
      <c r="E36" s="2972"/>
      <c r="F36" s="2973">
        <f>C36+D36+E36</f>
        <v>0</v>
      </c>
      <c r="G36" s="2826"/>
      <c r="H36" s="2834"/>
      <c r="I36" s="2835"/>
      <c r="J36" s="3707">
        <v>1</v>
      </c>
      <c r="K36" s="3708" t="s">
        <v>2423</v>
      </c>
      <c r="L36" s="2860"/>
      <c r="M36" s="2861"/>
      <c r="N36" s="2861"/>
      <c r="O36" s="2861"/>
      <c r="P36" s="2861"/>
      <c r="Q36" s="2861"/>
      <c r="R36" s="2844" t="s">
        <v>2324</v>
      </c>
      <c r="S36" s="2826"/>
      <c r="T36" s="2826" t="s">
        <v>2325</v>
      </c>
      <c r="U36" s="2826"/>
      <c r="V36" s="2835"/>
    </row>
    <row r="37" spans="1:23" s="2839" customFormat="1" ht="13.2" customHeight="1">
      <c r="A37" s="2915"/>
      <c r="B37" s="2916"/>
      <c r="C37" s="2916"/>
      <c r="D37" s="2916"/>
      <c r="E37" s="2916"/>
      <c r="F37" s="2920"/>
      <c r="G37" s="2826"/>
      <c r="H37" s="2834"/>
      <c r="I37" s="2835"/>
      <c r="J37" s="3707"/>
      <c r="K37" s="3709"/>
      <c r="L37" s="2869"/>
      <c r="M37" s="2870"/>
      <c r="N37" s="2846"/>
      <c r="O37" s="2871"/>
      <c r="P37" s="2871"/>
      <c r="Q37" s="2872"/>
      <c r="R37" s="2873"/>
      <c r="S37" s="2826"/>
      <c r="T37" s="2826" t="s">
        <v>2328</v>
      </c>
      <c r="U37" s="2826"/>
      <c r="V37" s="2835"/>
    </row>
    <row r="38" spans="1:23" s="2839" customFormat="1" ht="13.2" customHeight="1">
      <c r="A38" s="2915">
        <v>8</v>
      </c>
      <c r="B38" s="2916"/>
      <c r="C38" s="2875" t="e">
        <f>ROUND(C32*(1-((1+C35)/(1+C34))^C36)/(C34-C35),0)</f>
        <v>#DIV/0!</v>
      </c>
      <c r="D38" s="2875">
        <f>IF(D23=0,0,ROUND(D32*(1-((1+D35)/(1+D34))^D36)/(D34-D35),0))</f>
        <v>0</v>
      </c>
      <c r="E38" s="2875">
        <f>IF(E23=0,0,ROUND(E32*(1-((1+E35)/(1+E34))^E36)/(E34-E35),0))</f>
        <v>0</v>
      </c>
      <c r="F38" s="2920"/>
      <c r="G38" s="2826"/>
      <c r="H38" s="2834"/>
      <c r="I38" s="2835"/>
      <c r="J38" s="3707"/>
      <c r="K38" s="3709"/>
      <c r="L38" s="2869"/>
      <c r="M38" s="2870"/>
      <c r="N38" s="2846"/>
      <c r="O38" s="2871"/>
      <c r="P38" s="2871"/>
      <c r="Q38" s="2872"/>
      <c r="R38" s="2873"/>
      <c r="S38" s="2826"/>
      <c r="T38" s="2826" t="s">
        <v>2335</v>
      </c>
      <c r="U38" s="2826"/>
      <c r="V38" s="2835"/>
    </row>
    <row r="39" spans="1:23" s="2839" customFormat="1" ht="13.2" customHeight="1">
      <c r="A39" s="2915">
        <v>9</v>
      </c>
      <c r="B39" s="2916" t="s">
        <v>2424</v>
      </c>
      <c r="C39" s="2883" t="e">
        <f>C38</f>
        <v>#DIV/0!</v>
      </c>
      <c r="D39" s="2916">
        <f>D38/(1+D34)^C36</f>
        <v>0</v>
      </c>
      <c r="E39" s="2916">
        <f>E38/(1+E34)^(C36+D36)</f>
        <v>0</v>
      </c>
      <c r="F39" s="2920"/>
      <c r="G39" s="2835"/>
      <c r="H39" s="2834"/>
      <c r="I39" s="2835"/>
      <c r="J39" s="3707"/>
      <c r="K39" s="3709"/>
      <c r="L39" s="2869"/>
      <c r="M39" s="2870"/>
      <c r="N39" s="2846"/>
      <c r="O39" s="2871"/>
      <c r="P39" s="2871"/>
      <c r="Q39" s="2872"/>
      <c r="R39" s="2873"/>
      <c r="S39" s="2826"/>
      <c r="T39" s="2826"/>
      <c r="U39" s="2826"/>
      <c r="V39" s="2835"/>
    </row>
    <row r="40" spans="1:23" s="2839" customFormat="1" ht="13.2" customHeight="1">
      <c r="A40" s="2974">
        <v>10</v>
      </c>
      <c r="B40" s="2916" t="s">
        <v>2425</v>
      </c>
      <c r="C40" s="2975" t="e">
        <f>C39+D39+E39</f>
        <v>#DIV/0!</v>
      </c>
      <c r="D40" s="2976"/>
      <c r="E40" s="2976"/>
      <c r="F40" s="2977"/>
      <c r="G40" s="2826"/>
      <c r="H40" s="2834"/>
      <c r="I40" s="2835"/>
      <c r="J40" s="3707"/>
      <c r="K40" s="3710"/>
      <c r="L40" s="2889" t="s">
        <v>2426</v>
      </c>
      <c r="M40" s="2890"/>
      <c r="N40" s="2890"/>
      <c r="O40" s="2891"/>
      <c r="P40" s="2891"/>
      <c r="Q40" s="2892"/>
      <c r="R40" s="2838">
        <f>SUM(R37:R39)</f>
        <v>0</v>
      </c>
      <c r="S40" s="2826"/>
      <c r="T40" s="2826"/>
      <c r="U40" s="2826"/>
      <c r="V40" s="2835"/>
    </row>
    <row r="41" spans="1:23" s="2839" customFormat="1" ht="13.2" customHeight="1" thickBot="1">
      <c r="A41" s="2978">
        <v>11</v>
      </c>
      <c r="B41" s="2979" t="s">
        <v>2427</v>
      </c>
      <c r="C41" s="2979" t="e">
        <f>ROUND(C40*10000/B4,0)</f>
        <v>#DIV/0!</v>
      </c>
      <c r="D41" s="2980"/>
      <c r="E41" s="2980"/>
      <c r="F41" s="2981"/>
      <c r="G41" s="2834"/>
      <c r="H41" s="2834"/>
      <c r="I41" s="2835"/>
      <c r="J41" s="2928">
        <v>2</v>
      </c>
      <c r="K41" s="2929" t="s">
        <v>2428</v>
      </c>
      <c r="L41" s="2930"/>
      <c r="M41" s="2930"/>
      <c r="N41" s="2930"/>
      <c r="O41" s="2930"/>
      <c r="P41" s="2931"/>
      <c r="Q41" s="2932"/>
      <c r="R41" s="2905">
        <f>ROUND(R40*Q41,0)</f>
        <v>0</v>
      </c>
      <c r="S41" s="2826"/>
      <c r="T41" s="2826"/>
      <c r="U41" s="2878"/>
      <c r="V41" s="2835"/>
    </row>
    <row r="42" spans="1:23" s="2839" customFormat="1" ht="13.2" customHeight="1">
      <c r="G42" s="2834"/>
      <c r="H42" s="2834"/>
      <c r="I42" s="2835"/>
      <c r="J42" s="3717">
        <v>3</v>
      </c>
      <c r="K42" s="2935" t="s">
        <v>2429</v>
      </c>
      <c r="L42" s="2936"/>
      <c r="M42" s="2937"/>
      <c r="N42" s="2938" t="s">
        <v>2430</v>
      </c>
      <c r="O42" s="2938" t="s">
        <v>2431</v>
      </c>
      <c r="P42" s="2939" t="s">
        <v>2432</v>
      </c>
      <c r="Q42" s="2939" t="s">
        <v>2433</v>
      </c>
      <c r="R42" s="2844" t="s">
        <v>2434</v>
      </c>
      <c r="S42" s="2878"/>
      <c r="T42" s="2878"/>
      <c r="U42" s="2826"/>
      <c r="V42" s="2835"/>
    </row>
    <row r="43" spans="1:23" ht="13.2" customHeight="1">
      <c r="A43" s="2839"/>
      <c r="B43" s="2839"/>
      <c r="C43" s="2839"/>
      <c r="D43" s="2839"/>
      <c r="E43" s="2839"/>
      <c r="F43" s="2839"/>
      <c r="I43" s="2821"/>
      <c r="J43" s="3718"/>
      <c r="K43" s="2942"/>
      <c r="L43" s="2943"/>
      <c r="M43" s="2944"/>
      <c r="N43" s="2870"/>
      <c r="O43" s="2870"/>
      <c r="P43" s="2870"/>
      <c r="Q43" s="2932"/>
      <c r="R43" s="2905">
        <f>ROUND(O43*N43*P43*(1-Q43)/10000,0)</f>
        <v>0</v>
      </c>
      <c r="S43" s="2826"/>
      <c r="T43" s="2826"/>
      <c r="V43" s="2982"/>
      <c r="W43" s="2983"/>
    </row>
    <row r="44" spans="1:23" ht="13.2" customHeight="1" thickBot="1">
      <c r="J44" s="2947">
        <v>6</v>
      </c>
      <c r="K44" s="2948" t="s">
        <v>2435</v>
      </c>
      <c r="L44" s="2984" t="s">
        <v>2436</v>
      </c>
      <c r="M44" s="2950"/>
      <c r="N44" s="2984" t="s">
        <v>2437</v>
      </c>
      <c r="O44" s="2950"/>
      <c r="P44" s="2984" t="s">
        <v>2438</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6" customWidth="1"/>
    <col min="2" max="2" width="26.6640625" style="1787" customWidth="1"/>
    <col min="3" max="3" width="11.109375" style="1787" customWidth="1"/>
    <col min="4" max="5" width="11.109375" style="1788" customWidth="1"/>
    <col min="6" max="6" width="9.44140625" style="1787" customWidth="1"/>
    <col min="7" max="7" width="31.88671875" style="1787" customWidth="1"/>
    <col min="8" max="25" width="9" style="1789" customWidth="1"/>
    <col min="26" max="254" width="9" style="1787" customWidth="1"/>
    <col min="255" max="16384" width="8.33203125" style="1787"/>
  </cols>
  <sheetData>
    <row r="1" spans="1:25" s="1673" customFormat="1" ht="21">
      <c r="A1" s="391" t="s">
        <v>551</v>
      </c>
      <c r="B1" s="679"/>
      <c r="C1" s="1783"/>
      <c r="D1" s="1783"/>
      <c r="E1" s="1783"/>
      <c r="F1" s="1783"/>
      <c r="G1" s="1717"/>
    </row>
    <row r="2" spans="1:25" s="1673" customFormat="1" ht="18" customHeight="1">
      <c r="A2" s="393" t="s">
        <v>427</v>
      </c>
      <c r="B2" s="395">
        <f ca="1">C23</f>
        <v>0</v>
      </c>
      <c r="C2" s="2768"/>
      <c r="D2" s="2768"/>
      <c r="E2" s="2768"/>
      <c r="F2" s="2768"/>
      <c r="G2" s="2768"/>
    </row>
    <row r="3" spans="1:25" s="1673" customFormat="1" ht="18" customHeight="1">
      <c r="A3" s="1171" t="s">
        <v>1218</v>
      </c>
      <c r="B3" s="395">
        <f ca="1">ROUND(B2*10000/'数据-汇总表'!E3,0)</f>
        <v>0</v>
      </c>
      <c r="C3" s="2768"/>
      <c r="D3" s="2768"/>
      <c r="E3" s="2768"/>
      <c r="F3" s="2768"/>
      <c r="G3" s="2768"/>
    </row>
    <row r="4" spans="1:25" s="1673" customFormat="1" ht="18" customHeight="1">
      <c r="A4" s="396" t="s">
        <v>428</v>
      </c>
      <c r="B4" s="397">
        <f ca="1">ROUND(B2*10000/'数据-汇总表'!D3,0)</f>
        <v>0</v>
      </c>
      <c r="C4" s="2728"/>
      <c r="D4" s="2768"/>
      <c r="E4" s="2768"/>
      <c r="F4" s="2768"/>
      <c r="G4" s="2768"/>
    </row>
    <row r="5" spans="1:25" s="1673" customFormat="1" ht="18" customHeight="1" thickBot="1">
      <c r="A5" s="399"/>
      <c r="B5" s="400">
        <f ca="1">ROUND(B2/('数据-汇总表'!D3/666.67),0)</f>
        <v>0</v>
      </c>
      <c r="C5" s="401" t="s">
        <v>429</v>
      </c>
      <c r="D5" s="2768"/>
      <c r="E5" s="2768"/>
      <c r="F5" s="2768"/>
      <c r="G5" s="2768"/>
    </row>
    <row r="6" spans="1:25" s="1784" customFormat="1" ht="13.5" customHeight="1">
      <c r="A6" s="680"/>
      <c r="B6" s="681" t="s">
        <v>552</v>
      </c>
      <c r="C6" s="682" t="s">
        <v>553</v>
      </c>
      <c r="D6" s="682" t="s">
        <v>554</v>
      </c>
      <c r="E6" s="683" t="s">
        <v>555</v>
      </c>
      <c r="F6" s="683" t="s">
        <v>556</v>
      </c>
      <c r="G6" s="2767" t="s">
        <v>2281</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1">
        <f>ROUND(D8*E8/10000,0)</f>
        <v>0</v>
      </c>
      <c r="D8" s="2771">
        <v>0</v>
      </c>
      <c r="E8" s="2772">
        <v>0</v>
      </c>
      <c r="F8" s="686"/>
      <c r="G8" s="687"/>
    </row>
    <row r="9" spans="1:25" s="1784" customFormat="1" ht="13.5" customHeight="1">
      <c r="A9" s="1982" t="s">
        <v>1787</v>
      </c>
      <c r="B9" s="1985" t="s">
        <v>1789</v>
      </c>
      <c r="C9" s="2771">
        <f>ROUND(D9*E9/10000,0)</f>
        <v>0</v>
      </c>
      <c r="D9" s="2771">
        <v>0</v>
      </c>
      <c r="E9" s="2772">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972</v>
      </c>
      <c r="D12" s="2771">
        <f>'数据-汇总表'!E5</f>
        <v>92580.400000000009</v>
      </c>
      <c r="E12" s="2771">
        <f>'数据-取费表'!B27</f>
        <v>105</v>
      </c>
      <c r="F12" s="691"/>
      <c r="G12" s="694"/>
    </row>
    <row r="13" spans="1:25" s="1784" customFormat="1" ht="13.5" customHeight="1">
      <c r="A13" s="1988" t="s">
        <v>1793</v>
      </c>
      <c r="B13" s="692" t="s">
        <v>560</v>
      </c>
      <c r="C13" s="693">
        <f>ROUND(D13*E13/10000,0)</f>
        <v>0</v>
      </c>
      <c r="D13" s="2771">
        <f>'数据-汇总表'!E6</f>
        <v>0</v>
      </c>
      <c r="E13" s="2771">
        <f>'数据-取费表'!B28</f>
        <v>105</v>
      </c>
      <c r="F13" s="691"/>
      <c r="G13" s="694"/>
    </row>
    <row r="14" spans="1:25" s="1784" customFormat="1" ht="13.5" customHeight="1">
      <c r="A14" s="1982" t="s">
        <v>1787</v>
      </c>
      <c r="B14" s="1987" t="s">
        <v>1790</v>
      </c>
      <c r="C14" s="2773">
        <f>ROUND(D14*E14/10000,0)</f>
        <v>0</v>
      </c>
      <c r="D14" s="2771">
        <v>0</v>
      </c>
      <c r="E14" s="2772">
        <v>0</v>
      </c>
      <c r="F14" s="1986"/>
      <c r="G14" s="1989" t="s">
        <v>1795</v>
      </c>
    </row>
    <row r="15" spans="1:25" s="1784" customFormat="1" ht="13.5" customHeight="1">
      <c r="A15" s="1982" t="s">
        <v>1792</v>
      </c>
      <c r="B15" s="1987" t="s">
        <v>1791</v>
      </c>
      <c r="C15" s="2773">
        <f>ROUND(D15*E15/10000,0)</f>
        <v>0</v>
      </c>
      <c r="D15" s="2771">
        <v>0</v>
      </c>
      <c r="E15" s="2772">
        <v>0</v>
      </c>
      <c r="F15" s="1986"/>
      <c r="G15" s="1989" t="s">
        <v>1796</v>
      </c>
    </row>
    <row r="16" spans="1:25" s="1785" customFormat="1" ht="48">
      <c r="A16" s="1982">
        <v>3</v>
      </c>
      <c r="B16" s="684" t="s">
        <v>563</v>
      </c>
      <c r="C16" s="2773">
        <f>ROUND(D16*E16/10000,0)</f>
        <v>0</v>
      </c>
      <c r="D16" s="2771">
        <v>0</v>
      </c>
      <c r="E16" s="2772">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6.4">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5.2">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0.96399999999999997</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2"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4.4">
      <c r="A4" s="463" t="s">
        <v>470</v>
      </c>
      <c r="B4" s="464"/>
      <c r="C4" s="3602" t="s">
        <v>471</v>
      </c>
      <c r="D4" s="3603"/>
      <c r="E4" s="3637" t="s">
        <v>472</v>
      </c>
      <c r="F4" s="3638"/>
      <c r="G4" s="3602" t="s">
        <v>473</v>
      </c>
      <c r="H4" s="3603"/>
      <c r="I4" s="3602" t="s">
        <v>474</v>
      </c>
      <c r="J4" s="3603"/>
      <c r="K4" s="465" t="s">
        <v>475</v>
      </c>
      <c r="L4" s="1742"/>
      <c r="M4" s="1743"/>
      <c r="N4" s="1743"/>
      <c r="O4" s="1743"/>
      <c r="P4" s="3604" t="s">
        <v>476</v>
      </c>
      <c r="Q4" s="3605"/>
      <c r="R4" s="3610" t="s">
        <v>472</v>
      </c>
      <c r="S4" s="3611"/>
      <c r="T4" s="3610" t="s">
        <v>473</v>
      </c>
      <c r="U4" s="3611"/>
      <c r="V4" s="3597" t="s">
        <v>474</v>
      </c>
      <c r="W4" s="3597"/>
      <c r="X4" s="1303"/>
      <c r="Y4" s="3610" t="s">
        <v>476</v>
      </c>
      <c r="Z4" s="3611"/>
      <c r="AA4" s="3599" t="s">
        <v>472</v>
      </c>
      <c r="AB4" s="3597" t="s">
        <v>473</v>
      </c>
      <c r="AC4" s="3599" t="s">
        <v>474</v>
      </c>
    </row>
    <row r="5" spans="1:29">
      <c r="A5" s="466"/>
      <c r="B5" s="467"/>
      <c r="C5" s="3618" t="s">
        <v>2192</v>
      </c>
      <c r="D5" s="3619"/>
      <c r="E5" s="3639" t="s">
        <v>2193</v>
      </c>
      <c r="F5" s="3640"/>
      <c r="G5" s="3618" t="s">
        <v>2194</v>
      </c>
      <c r="H5" s="3619"/>
      <c r="I5" s="3618" t="s">
        <v>2195</v>
      </c>
      <c r="J5" s="3619"/>
      <c r="K5" s="465"/>
      <c r="L5" s="1742"/>
      <c r="M5" s="1743"/>
      <c r="N5" s="1743"/>
      <c r="O5" s="1743"/>
      <c r="P5" s="3606"/>
      <c r="Q5" s="3607"/>
      <c r="R5" s="3612"/>
      <c r="S5" s="3613"/>
      <c r="T5" s="3612"/>
      <c r="U5" s="3613"/>
      <c r="V5" s="3597"/>
      <c r="W5" s="3597"/>
      <c r="X5" s="1303"/>
      <c r="Y5" s="3612"/>
      <c r="Z5" s="3613"/>
      <c r="AA5" s="3600"/>
      <c r="AB5" s="3597"/>
      <c r="AC5" s="3600"/>
    </row>
    <row r="6" spans="1:29" ht="15" thickBot="1">
      <c r="A6" s="468"/>
      <c r="B6" s="469"/>
      <c r="C6" s="3616" t="s">
        <v>2196</v>
      </c>
      <c r="D6" s="3617"/>
      <c r="E6" s="3635" t="s">
        <v>2196</v>
      </c>
      <c r="F6" s="3636"/>
      <c r="G6" s="3616" t="s">
        <v>2196</v>
      </c>
      <c r="H6" s="3617"/>
      <c r="I6" s="3616" t="s">
        <v>2196</v>
      </c>
      <c r="J6" s="3617"/>
      <c r="K6" s="465" t="s">
        <v>477</v>
      </c>
      <c r="L6" s="1742"/>
      <c r="M6" s="1743"/>
      <c r="N6" s="1743"/>
      <c r="O6" s="1743"/>
      <c r="P6" s="3608"/>
      <c r="Q6" s="3609"/>
      <c r="R6" s="3612"/>
      <c r="S6" s="3613"/>
      <c r="T6" s="3614"/>
      <c r="U6" s="3615"/>
      <c r="V6" s="3597"/>
      <c r="W6" s="3597"/>
      <c r="X6" s="1303"/>
      <c r="Y6" s="3614"/>
      <c r="Z6" s="3615"/>
      <c r="AA6" s="3601"/>
      <c r="AB6" s="3597"/>
      <c r="AC6" s="3601"/>
    </row>
    <row r="7" spans="1:29" s="1060" customFormat="1" ht="15" thickBot="1">
      <c r="A7" s="2209"/>
      <c r="B7" s="2216" t="s">
        <v>478</v>
      </c>
      <c r="C7" s="470">
        <f>'数据-取费表'!B2</f>
        <v>45730</v>
      </c>
      <c r="D7" s="471">
        <v>100</v>
      </c>
      <c r="E7" s="472"/>
      <c r="F7" s="473">
        <f>SUMIF(58:58,YEAR(E7)&amp;"-"&amp;MONTH(E7),59:59)</f>
        <v>0</v>
      </c>
      <c r="G7" s="472"/>
      <c r="H7" s="471">
        <f>SUMIF(58:58,YEAR(G7)&amp;"-"&amp;MONTH(G7),59:59)</f>
        <v>0</v>
      </c>
      <c r="I7" s="472"/>
      <c r="J7" s="471">
        <f>SUMIF(58:58,YEAR(I7)&amp;"-"&amp;MONTH(I7),59:59)</f>
        <v>0</v>
      </c>
      <c r="K7" s="88"/>
      <c r="L7" s="1744"/>
      <c r="M7" s="1641"/>
      <c r="N7" s="1641"/>
      <c r="O7" s="1641"/>
      <c r="P7" s="3626" t="s">
        <v>479</v>
      </c>
      <c r="Q7" s="3628"/>
      <c r="R7" s="1304" t="s">
        <v>5</v>
      </c>
      <c r="S7" s="1305">
        <f t="shared" ref="S7:S15" si="0">F7</f>
        <v>0</v>
      </c>
      <c r="T7" s="1304" t="s">
        <v>5</v>
      </c>
      <c r="U7" s="1305">
        <f t="shared" ref="U7:U15" si="1">H7</f>
        <v>0</v>
      </c>
      <c r="V7" s="1304" t="s">
        <v>5</v>
      </c>
      <c r="W7" s="1305">
        <f t="shared" ref="W7:W15" si="2">J7</f>
        <v>0</v>
      </c>
      <c r="X7" s="1306"/>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26" t="s">
        <v>482</v>
      </c>
      <c r="Q8" s="3627"/>
      <c r="R8" s="1304" t="s">
        <v>5</v>
      </c>
      <c r="S8" s="1305">
        <f t="shared" si="0"/>
        <v>0</v>
      </c>
      <c r="T8" s="1304" t="s">
        <v>5</v>
      </c>
      <c r="U8" s="1305">
        <f t="shared" si="1"/>
        <v>0</v>
      </c>
      <c r="V8" s="1304" t="s">
        <v>5</v>
      </c>
      <c r="W8" s="1305">
        <f t="shared" si="2"/>
        <v>0</v>
      </c>
      <c r="X8" s="1306"/>
      <c r="Y8" s="3626" t="s">
        <v>482</v>
      </c>
      <c r="Z8" s="3627"/>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96" t="s">
        <v>484</v>
      </c>
      <c r="Q9" s="818" t="str">
        <f t="shared" ref="Q9:Q15" si="6">B9</f>
        <v>用途</v>
      </c>
      <c r="R9" s="1304" t="s">
        <v>5</v>
      </c>
      <c r="S9" s="1305">
        <f t="shared" si="0"/>
        <v>100</v>
      </c>
      <c r="T9" s="1304" t="s">
        <v>5</v>
      </c>
      <c r="U9" s="1305">
        <f t="shared" si="1"/>
        <v>100</v>
      </c>
      <c r="V9" s="1304" t="s">
        <v>5</v>
      </c>
      <c r="W9" s="1305">
        <f t="shared" si="2"/>
        <v>100</v>
      </c>
      <c r="X9" s="1306"/>
      <c r="Y9" s="3540" t="s">
        <v>485</v>
      </c>
      <c r="Z9" s="997" t="str">
        <f t="shared" ref="Z9:Z15" si="7">Q9</f>
        <v>用途</v>
      </c>
      <c r="AA9" s="997">
        <f t="shared" si="3"/>
        <v>1</v>
      </c>
      <c r="AB9" s="997">
        <f t="shared" si="4"/>
        <v>1</v>
      </c>
      <c r="AC9" s="997">
        <f t="shared" si="5"/>
        <v>1</v>
      </c>
    </row>
    <row r="10" spans="1:29" s="1133" customFormat="1" ht="28.8">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96"/>
      <c r="Q11" s="818" t="str">
        <f t="shared" si="6"/>
        <v>容积率</v>
      </c>
      <c r="R11" s="1304" t="s">
        <v>5</v>
      </c>
      <c r="S11" s="1305" t="e">
        <f t="shared" si="0"/>
        <v>#N/A</v>
      </c>
      <c r="T11" s="1304" t="s">
        <v>5</v>
      </c>
      <c r="U11" s="1305" t="e">
        <f t="shared" si="1"/>
        <v>#N/A</v>
      </c>
      <c r="V11" s="1304" t="s">
        <v>5</v>
      </c>
      <c r="W11" s="1305" t="e">
        <f t="shared" si="2"/>
        <v>#N/A</v>
      </c>
      <c r="X11" s="1306"/>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96"/>
      <c r="Q12" s="818">
        <f t="shared" si="6"/>
        <v>111</v>
      </c>
      <c r="R12" s="1304" t="s">
        <v>5</v>
      </c>
      <c r="S12" s="1305">
        <f t="shared" si="0"/>
        <v>100</v>
      </c>
      <c r="T12" s="1304" t="s">
        <v>5</v>
      </c>
      <c r="U12" s="1305">
        <f t="shared" si="1"/>
        <v>100</v>
      </c>
      <c r="V12" s="1304" t="s">
        <v>5</v>
      </c>
      <c r="W12" s="1305">
        <f t="shared" si="2"/>
        <v>100</v>
      </c>
      <c r="X12" s="1306"/>
      <c r="Y12" s="3540"/>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96"/>
      <c r="Q13" s="818">
        <f t="shared" si="6"/>
        <v>111</v>
      </c>
      <c r="R13" s="1304" t="s">
        <v>5</v>
      </c>
      <c r="S13" s="1305">
        <f t="shared" si="0"/>
        <v>100</v>
      </c>
      <c r="T13" s="1304" t="s">
        <v>5</v>
      </c>
      <c r="U13" s="1305">
        <f t="shared" si="1"/>
        <v>100</v>
      </c>
      <c r="V13" s="1304" t="s">
        <v>5</v>
      </c>
      <c r="W13" s="1305">
        <f t="shared" si="2"/>
        <v>100</v>
      </c>
      <c r="X13" s="1306"/>
      <c r="Y13" s="3540"/>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96"/>
      <c r="Q14" s="818">
        <f t="shared" si="6"/>
        <v>111</v>
      </c>
      <c r="R14" s="1304" t="s">
        <v>5</v>
      </c>
      <c r="S14" s="1305">
        <f t="shared" si="0"/>
        <v>100</v>
      </c>
      <c r="T14" s="1304" t="s">
        <v>5</v>
      </c>
      <c r="U14" s="1305">
        <f t="shared" si="1"/>
        <v>100</v>
      </c>
      <c r="V14" s="1304" t="s">
        <v>5</v>
      </c>
      <c r="W14" s="1305">
        <f t="shared" si="2"/>
        <v>100</v>
      </c>
      <c r="X14" s="1306"/>
      <c r="Y14" s="3540"/>
      <c r="Z14" s="997">
        <f t="shared" si="7"/>
        <v>111</v>
      </c>
      <c r="AA14" s="997">
        <f t="shared" si="3"/>
        <v>1</v>
      </c>
      <c r="AB14" s="997">
        <f t="shared" si="4"/>
        <v>1</v>
      </c>
      <c r="AC14" s="997">
        <f t="shared" si="5"/>
        <v>1</v>
      </c>
    </row>
    <row r="15" spans="1:29" ht="82.8">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29" t="s">
        <v>489</v>
      </c>
      <c r="Q15" s="1307" t="str">
        <f t="shared" si="6"/>
        <v>商业繁华度</v>
      </c>
      <c r="R15" s="1308" t="s">
        <v>5</v>
      </c>
      <c r="S15" s="1309">
        <f t="shared" si="0"/>
        <v>100</v>
      </c>
      <c r="T15" s="1308" t="s">
        <v>5</v>
      </c>
      <c r="U15" s="1309">
        <f t="shared" si="1"/>
        <v>100</v>
      </c>
      <c r="V15" s="1308" t="s">
        <v>5</v>
      </c>
      <c r="W15" s="1309">
        <f t="shared" si="2"/>
        <v>100</v>
      </c>
      <c r="X15" s="1303"/>
      <c r="Y15" s="3629"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0"/>
      <c r="Q16" s="1307"/>
      <c r="R16" s="1308"/>
      <c r="S16" s="1309"/>
      <c r="T16" s="1308"/>
      <c r="U16" s="1309"/>
      <c r="V16" s="1308"/>
      <c r="W16" s="1309"/>
      <c r="X16" s="1303"/>
      <c r="Y16" s="3630"/>
      <c r="Z16" s="1310"/>
      <c r="AA16" s="1310">
        <v>1</v>
      </c>
      <c r="AB16" s="1310">
        <v>1</v>
      </c>
      <c r="AC16" s="1310">
        <v>1</v>
      </c>
    </row>
    <row r="17" spans="1:29" ht="96.6">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0"/>
      <c r="Q17" s="1307" t="str">
        <f>B17</f>
        <v>交通便捷度</v>
      </c>
      <c r="R17" s="1308" t="s">
        <v>5</v>
      </c>
      <c r="S17" s="1309">
        <f>F17</f>
        <v>100</v>
      </c>
      <c r="T17" s="1308" t="s">
        <v>5</v>
      </c>
      <c r="U17" s="1309">
        <f>H17</f>
        <v>100</v>
      </c>
      <c r="V17" s="1308" t="s">
        <v>5</v>
      </c>
      <c r="W17" s="1309">
        <f>J17</f>
        <v>100</v>
      </c>
      <c r="X17" s="1303"/>
      <c r="Y17" s="363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0"/>
      <c r="Q18" s="1307"/>
      <c r="R18" s="1308"/>
      <c r="S18" s="1309"/>
      <c r="T18" s="1308"/>
      <c r="U18" s="1309"/>
      <c r="V18" s="1308"/>
      <c r="W18" s="1309"/>
      <c r="X18" s="1303"/>
      <c r="Y18" s="3630"/>
      <c r="Z18" s="1310"/>
      <c r="AA18" s="1310">
        <v>1</v>
      </c>
      <c r="AB18" s="1310">
        <v>1</v>
      </c>
      <c r="AC18" s="1310">
        <v>1</v>
      </c>
    </row>
    <row r="19" spans="1:29" ht="41.4">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0"/>
      <c r="Q19" s="1307" t="str">
        <f>B19</f>
        <v>公共配套设施</v>
      </c>
      <c r="R19" s="1308" t="s">
        <v>5</v>
      </c>
      <c r="S19" s="1309">
        <f>F19</f>
        <v>100</v>
      </c>
      <c r="T19" s="1308" t="s">
        <v>5</v>
      </c>
      <c r="U19" s="1309">
        <f>H19</f>
        <v>100</v>
      </c>
      <c r="V19" s="1308" t="s">
        <v>5</v>
      </c>
      <c r="W19" s="1309">
        <f>J19</f>
        <v>100</v>
      </c>
      <c r="X19" s="1303"/>
      <c r="Y19" s="3630"/>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0"/>
      <c r="Q20" s="1307"/>
      <c r="R20" s="1308"/>
      <c r="S20" s="1309"/>
      <c r="T20" s="1308"/>
      <c r="U20" s="1309"/>
      <c r="V20" s="1308"/>
      <c r="W20" s="1309"/>
      <c r="X20" s="1303"/>
      <c r="Y20" s="3630"/>
      <c r="Z20" s="1310"/>
      <c r="AA20" s="1310">
        <v>1</v>
      </c>
      <c r="AB20" s="1310">
        <v>1</v>
      </c>
      <c r="AC20" s="1310">
        <v>1</v>
      </c>
    </row>
    <row r="21" spans="1:29" ht="41.4">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0"/>
      <c r="Q21" s="1307" t="str">
        <f>B21</f>
        <v>基础设施水平</v>
      </c>
      <c r="R21" s="1308" t="s">
        <v>5</v>
      </c>
      <c r="S21" s="1309">
        <f>F21</f>
        <v>100</v>
      </c>
      <c r="T21" s="1308" t="s">
        <v>5</v>
      </c>
      <c r="U21" s="1309">
        <f>H21</f>
        <v>100</v>
      </c>
      <c r="V21" s="1308" t="s">
        <v>5</v>
      </c>
      <c r="W21" s="1309">
        <f>J21</f>
        <v>100</v>
      </c>
      <c r="X21" s="1303"/>
      <c r="Y21" s="363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0"/>
      <c r="Q22" s="1307"/>
      <c r="R22" s="1308"/>
      <c r="S22" s="1309"/>
      <c r="T22" s="1308"/>
      <c r="U22" s="1309"/>
      <c r="V22" s="1308"/>
      <c r="W22" s="1309"/>
      <c r="X22" s="1303"/>
      <c r="Y22" s="3630"/>
      <c r="Z22" s="1310"/>
      <c r="AA22" s="1310">
        <v>1</v>
      </c>
      <c r="AB22" s="1310">
        <v>1</v>
      </c>
      <c r="AC22" s="1310">
        <v>1</v>
      </c>
    </row>
    <row r="23" spans="1:29" ht="55.2">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0"/>
      <c r="Q23" s="1307" t="str">
        <f>B23</f>
        <v>自然及人文环境</v>
      </c>
      <c r="R23" s="1308" t="s">
        <v>5</v>
      </c>
      <c r="S23" s="1309">
        <f>F23</f>
        <v>100</v>
      </c>
      <c r="T23" s="1308" t="s">
        <v>5</v>
      </c>
      <c r="U23" s="1309">
        <f>H23</f>
        <v>100</v>
      </c>
      <c r="V23" s="1308" t="s">
        <v>5</v>
      </c>
      <c r="W23" s="1309">
        <f>J23</f>
        <v>100</v>
      </c>
      <c r="X23" s="1303"/>
      <c r="Y23" s="363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0"/>
      <c r="Q24" s="1307"/>
      <c r="R24" s="1308"/>
      <c r="S24" s="1309"/>
      <c r="T24" s="1308"/>
      <c r="U24" s="1309"/>
      <c r="V24" s="1308"/>
      <c r="W24" s="1309"/>
      <c r="X24" s="1303"/>
      <c r="Y24" s="3630"/>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0"/>
      <c r="Q25" s="1307" t="str">
        <f t="shared" ref="Q25:Q46" si="8">B25</f>
        <v>临街状况</v>
      </c>
      <c r="R25" s="1308" t="s">
        <v>5</v>
      </c>
      <c r="S25" s="1309">
        <f>F25</f>
        <v>100</v>
      </c>
      <c r="T25" s="1308" t="s">
        <v>5</v>
      </c>
      <c r="U25" s="1309">
        <f>H25</f>
        <v>100</v>
      </c>
      <c r="V25" s="1308" t="s">
        <v>5</v>
      </c>
      <c r="W25" s="1309">
        <f>J25</f>
        <v>100</v>
      </c>
      <c r="X25" s="1303"/>
      <c r="Y25" s="3630"/>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0"/>
      <c r="Q26" s="1307" t="str">
        <f t="shared" si="8"/>
        <v>平面位置/可视性</v>
      </c>
      <c r="R26" s="1308" t="s">
        <v>5</v>
      </c>
      <c r="S26" s="1309">
        <f>F26</f>
        <v>100</v>
      </c>
      <c r="T26" s="1308" t="s">
        <v>5</v>
      </c>
      <c r="U26" s="1309">
        <f>H26</f>
        <v>100</v>
      </c>
      <c r="V26" s="1308" t="s">
        <v>5</v>
      </c>
      <c r="W26" s="1309">
        <f>J26</f>
        <v>100</v>
      </c>
      <c r="X26" s="1303"/>
      <c r="Y26" s="3630"/>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0"/>
      <c r="Q27" s="818" t="str">
        <f t="shared" si="8"/>
        <v>人流量</v>
      </c>
      <c r="R27" s="1304" t="s">
        <v>5</v>
      </c>
      <c r="S27" s="1305">
        <f>F27</f>
        <v>100</v>
      </c>
      <c r="T27" s="1304" t="s">
        <v>5</v>
      </c>
      <c r="U27" s="1305">
        <f>H27</f>
        <v>100</v>
      </c>
      <c r="V27" s="1304" t="s">
        <v>5</v>
      </c>
      <c r="W27" s="1305">
        <f>J27</f>
        <v>100</v>
      </c>
      <c r="X27" s="1306"/>
      <c r="Y27" s="3630"/>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0"/>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0"/>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0"/>
      <c r="Q29" s="1307">
        <f t="shared" si="8"/>
        <v>111</v>
      </c>
      <c r="R29" s="1308" t="s">
        <v>5</v>
      </c>
      <c r="S29" s="1309">
        <f t="shared" si="9"/>
        <v>100</v>
      </c>
      <c r="T29" s="1308" t="s">
        <v>5</v>
      </c>
      <c r="U29" s="1309">
        <f t="shared" si="10"/>
        <v>100</v>
      </c>
      <c r="V29" s="1308" t="s">
        <v>5</v>
      </c>
      <c r="W29" s="1309">
        <f t="shared" si="11"/>
        <v>100</v>
      </c>
      <c r="X29" s="1303"/>
      <c r="Y29" s="363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0"/>
      <c r="Q30" s="1307">
        <f t="shared" si="8"/>
        <v>111</v>
      </c>
      <c r="R30" s="1308" t="s">
        <v>5</v>
      </c>
      <c r="S30" s="1309">
        <f t="shared" si="9"/>
        <v>100</v>
      </c>
      <c r="T30" s="1308" t="s">
        <v>5</v>
      </c>
      <c r="U30" s="1309">
        <f t="shared" si="10"/>
        <v>100</v>
      </c>
      <c r="V30" s="1308" t="s">
        <v>5</v>
      </c>
      <c r="W30" s="1309">
        <f t="shared" si="11"/>
        <v>100</v>
      </c>
      <c r="X30" s="1303"/>
      <c r="Y30" s="3630"/>
      <c r="Z30" s="1310">
        <f t="shared" si="12"/>
        <v>111</v>
      </c>
      <c r="AA30" s="1310">
        <f t="shared" si="3"/>
        <v>1</v>
      </c>
      <c r="AB30" s="1310">
        <f t="shared" si="4"/>
        <v>1</v>
      </c>
      <c r="AC30" s="1310">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0"/>
      <c r="Q31" s="1307">
        <f t="shared" si="8"/>
        <v>111</v>
      </c>
      <c r="R31" s="1308" t="s">
        <v>5</v>
      </c>
      <c r="S31" s="1309">
        <f t="shared" si="9"/>
        <v>100</v>
      </c>
      <c r="T31" s="1308" t="s">
        <v>5</v>
      </c>
      <c r="U31" s="1309">
        <f t="shared" si="10"/>
        <v>100</v>
      </c>
      <c r="V31" s="1308" t="s">
        <v>5</v>
      </c>
      <c r="W31" s="1309">
        <f t="shared" si="11"/>
        <v>100</v>
      </c>
      <c r="X31" s="1303"/>
      <c r="Y31" s="3630"/>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1" t="s">
        <v>499</v>
      </c>
      <c r="Q32" s="1307" t="str">
        <f t="shared" si="8"/>
        <v>商业类型</v>
      </c>
      <c r="R32" s="1308" t="s">
        <v>5</v>
      </c>
      <c r="S32" s="1309">
        <f t="shared" si="9"/>
        <v>100</v>
      </c>
      <c r="T32" s="1308" t="s">
        <v>5</v>
      </c>
      <c r="U32" s="1309">
        <f t="shared" si="10"/>
        <v>100</v>
      </c>
      <c r="V32" s="1308" t="s">
        <v>5</v>
      </c>
      <c r="W32" s="1309">
        <f t="shared" si="11"/>
        <v>100</v>
      </c>
      <c r="X32" s="1303"/>
      <c r="Y32" s="3632"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2"/>
      <c r="Q33" s="819" t="str">
        <f t="shared" si="8"/>
        <v>项目建筑规模</v>
      </c>
      <c r="R33" s="1311" t="s">
        <v>5</v>
      </c>
      <c r="S33" s="1312" t="e">
        <f t="shared" si="9"/>
        <v>#N/A</v>
      </c>
      <c r="T33" s="1311" t="s">
        <v>5</v>
      </c>
      <c r="U33" s="1312" t="e">
        <f t="shared" si="10"/>
        <v>#N/A</v>
      </c>
      <c r="V33" s="1311" t="s">
        <v>5</v>
      </c>
      <c r="W33" s="1312" t="e">
        <f t="shared" si="11"/>
        <v>#N/A</v>
      </c>
      <c r="X33" s="1313"/>
      <c r="Y33" s="3632"/>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2"/>
      <c r="Q34" s="1307" t="str">
        <f t="shared" si="8"/>
        <v>建筑结构</v>
      </c>
      <c r="R34" s="1308" t="s">
        <v>5</v>
      </c>
      <c r="S34" s="1309">
        <f t="shared" si="9"/>
        <v>100</v>
      </c>
      <c r="T34" s="1308" t="s">
        <v>5</v>
      </c>
      <c r="U34" s="1309">
        <f t="shared" si="10"/>
        <v>100</v>
      </c>
      <c r="V34" s="1308" t="s">
        <v>5</v>
      </c>
      <c r="W34" s="1309">
        <f t="shared" si="11"/>
        <v>100</v>
      </c>
      <c r="X34" s="1303"/>
      <c r="Y34" s="3632"/>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2"/>
      <c r="Q35" s="1307" t="str">
        <f t="shared" si="8"/>
        <v>公共部分装修</v>
      </c>
      <c r="R35" s="1308" t="s">
        <v>5</v>
      </c>
      <c r="S35" s="1309">
        <f t="shared" si="9"/>
        <v>100</v>
      </c>
      <c r="T35" s="1308" t="s">
        <v>5</v>
      </c>
      <c r="U35" s="1309">
        <f t="shared" si="10"/>
        <v>100</v>
      </c>
      <c r="V35" s="1308" t="s">
        <v>5</v>
      </c>
      <c r="W35" s="1309">
        <f t="shared" si="11"/>
        <v>100</v>
      </c>
      <c r="X35" s="1303"/>
      <c r="Y35" s="3632"/>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2"/>
      <c r="Q36" s="1307" t="str">
        <f t="shared" si="8"/>
        <v>成新度</v>
      </c>
      <c r="R36" s="1308" t="s">
        <v>5</v>
      </c>
      <c r="S36" s="1309" t="e">
        <f t="shared" si="9"/>
        <v>#N/A</v>
      </c>
      <c r="T36" s="1308" t="s">
        <v>5</v>
      </c>
      <c r="U36" s="1309" t="e">
        <f t="shared" si="10"/>
        <v>#N/A</v>
      </c>
      <c r="V36" s="1308" t="s">
        <v>5</v>
      </c>
      <c r="W36" s="1309" t="e">
        <f t="shared" si="11"/>
        <v>#N/A</v>
      </c>
      <c r="X36" s="1303"/>
      <c r="Y36" s="3632"/>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2"/>
      <c r="Q37" s="818" t="str">
        <f t="shared" si="8"/>
        <v>市政基础设施</v>
      </c>
      <c r="R37" s="1304" t="s">
        <v>5</v>
      </c>
      <c r="S37" s="1305">
        <f t="shared" si="9"/>
        <v>100</v>
      </c>
      <c r="T37" s="1304" t="s">
        <v>5</v>
      </c>
      <c r="U37" s="1305">
        <f t="shared" si="10"/>
        <v>100</v>
      </c>
      <c r="V37" s="1304" t="s">
        <v>5</v>
      </c>
      <c r="W37" s="1305">
        <f t="shared" si="11"/>
        <v>100</v>
      </c>
      <c r="X37" s="1306"/>
      <c r="Y37" s="363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2" t="s">
        <v>706</v>
      </c>
      <c r="Q38" s="1307" t="str">
        <f t="shared" si="8"/>
        <v>业态</v>
      </c>
      <c r="R38" s="1308" t="s">
        <v>5</v>
      </c>
      <c r="S38" s="1309">
        <f t="shared" si="9"/>
        <v>100</v>
      </c>
      <c r="T38" s="1308" t="s">
        <v>5</v>
      </c>
      <c r="U38" s="1309">
        <f t="shared" si="10"/>
        <v>100</v>
      </c>
      <c r="V38" s="1308" t="s">
        <v>5</v>
      </c>
      <c r="W38" s="1309">
        <f t="shared" si="11"/>
        <v>100</v>
      </c>
      <c r="X38" s="1303"/>
      <c r="Y38" s="3632"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2"/>
      <c r="Q39" s="1307" t="str">
        <f t="shared" si="8"/>
        <v>层高</v>
      </c>
      <c r="R39" s="1308" t="s">
        <v>5</v>
      </c>
      <c r="S39" s="1309">
        <f t="shared" si="9"/>
        <v>100</v>
      </c>
      <c r="T39" s="1308" t="s">
        <v>5</v>
      </c>
      <c r="U39" s="1309">
        <f t="shared" si="10"/>
        <v>100</v>
      </c>
      <c r="V39" s="1308" t="s">
        <v>5</v>
      </c>
      <c r="W39" s="1309">
        <f t="shared" si="11"/>
        <v>100</v>
      </c>
      <c r="X39" s="1303"/>
      <c r="Y39" s="3632"/>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2"/>
      <c r="Q40" s="1307" t="str">
        <f t="shared" si="8"/>
        <v>单套建筑面积</v>
      </c>
      <c r="R40" s="1308" t="s">
        <v>5</v>
      </c>
      <c r="S40" s="1309">
        <f t="shared" si="9"/>
        <v>100</v>
      </c>
      <c r="T40" s="1308" t="s">
        <v>5</v>
      </c>
      <c r="U40" s="1309">
        <f t="shared" si="10"/>
        <v>100</v>
      </c>
      <c r="V40" s="1308" t="s">
        <v>5</v>
      </c>
      <c r="W40" s="1309">
        <f t="shared" si="11"/>
        <v>100</v>
      </c>
      <c r="X40" s="1303"/>
      <c r="Y40" s="3632"/>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2"/>
      <c r="Q41" s="819" t="str">
        <f t="shared" si="8"/>
        <v>进深比</v>
      </c>
      <c r="R41" s="1311" t="s">
        <v>5</v>
      </c>
      <c r="S41" s="1312">
        <f t="shared" si="9"/>
        <v>100</v>
      </c>
      <c r="T41" s="1311" t="s">
        <v>5</v>
      </c>
      <c r="U41" s="1312">
        <f t="shared" si="10"/>
        <v>100</v>
      </c>
      <c r="V41" s="1311" t="s">
        <v>5</v>
      </c>
      <c r="W41" s="1312">
        <f t="shared" si="11"/>
        <v>100</v>
      </c>
      <c r="X41" s="1313"/>
      <c r="Y41" s="3632"/>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2"/>
      <c r="Q42" s="1307" t="str">
        <f t="shared" si="8"/>
        <v>内部装修</v>
      </c>
      <c r="R42" s="1308" t="s">
        <v>5</v>
      </c>
      <c r="S42" s="1309">
        <f t="shared" si="9"/>
        <v>100</v>
      </c>
      <c r="T42" s="1308" t="s">
        <v>5</v>
      </c>
      <c r="U42" s="1309">
        <f t="shared" si="10"/>
        <v>100</v>
      </c>
      <c r="V42" s="1308" t="s">
        <v>5</v>
      </c>
      <c r="W42" s="1309">
        <f t="shared" si="11"/>
        <v>100</v>
      </c>
      <c r="X42" s="1303"/>
      <c r="Y42" s="3632"/>
      <c r="Z42" s="1310" t="str">
        <f t="shared" si="12"/>
        <v>内部装修</v>
      </c>
      <c r="AA42" s="1310">
        <f t="shared" si="3"/>
        <v>1</v>
      </c>
      <c r="AB42" s="1310">
        <f t="shared" si="4"/>
        <v>1</v>
      </c>
      <c r="AC42" s="1310">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2"/>
      <c r="Q43" s="1307" t="str">
        <f t="shared" si="8"/>
        <v>内部装修维护情况</v>
      </c>
      <c r="R43" s="1308" t="s">
        <v>5</v>
      </c>
      <c r="S43" s="1309">
        <f t="shared" si="9"/>
        <v>100</v>
      </c>
      <c r="T43" s="1308" t="s">
        <v>5</v>
      </c>
      <c r="U43" s="1309">
        <f t="shared" si="10"/>
        <v>100</v>
      </c>
      <c r="V43" s="1308" t="s">
        <v>5</v>
      </c>
      <c r="W43" s="1309">
        <f t="shared" si="11"/>
        <v>100</v>
      </c>
      <c r="X43" s="1303"/>
      <c r="Y43" s="363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2"/>
      <c r="Q44" s="818">
        <f t="shared" si="8"/>
        <v>111</v>
      </c>
      <c r="R44" s="1304" t="s">
        <v>5</v>
      </c>
      <c r="S44" s="1305">
        <f t="shared" si="9"/>
        <v>100</v>
      </c>
      <c r="T44" s="1304" t="s">
        <v>5</v>
      </c>
      <c r="U44" s="1305">
        <f t="shared" si="10"/>
        <v>100</v>
      </c>
      <c r="V44" s="1304" t="s">
        <v>5</v>
      </c>
      <c r="W44" s="1305">
        <f t="shared" si="11"/>
        <v>100</v>
      </c>
      <c r="X44" s="1306"/>
      <c r="Y44" s="363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2"/>
      <c r="Q45" s="1307">
        <f t="shared" si="8"/>
        <v>111</v>
      </c>
      <c r="R45" s="1308" t="s">
        <v>5</v>
      </c>
      <c r="S45" s="1309">
        <f t="shared" si="9"/>
        <v>100</v>
      </c>
      <c r="T45" s="1308" t="s">
        <v>5</v>
      </c>
      <c r="U45" s="1309">
        <f t="shared" si="10"/>
        <v>100</v>
      </c>
      <c r="V45" s="1308" t="s">
        <v>5</v>
      </c>
      <c r="W45" s="1309">
        <f t="shared" si="11"/>
        <v>100</v>
      </c>
      <c r="X45" s="1303"/>
      <c r="Y45" s="3632"/>
      <c r="Z45" s="1310">
        <f t="shared" si="12"/>
        <v>111</v>
      </c>
      <c r="AA45" s="1310">
        <f t="shared" si="3"/>
        <v>1</v>
      </c>
      <c r="AB45" s="1310">
        <f t="shared" si="4"/>
        <v>1</v>
      </c>
      <c r="AC45" s="1310">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0"/>
      <c r="Q46" s="1307">
        <f t="shared" si="8"/>
        <v>111</v>
      </c>
      <c r="R46" s="1308" t="s">
        <v>5</v>
      </c>
      <c r="S46" s="1309">
        <f t="shared" si="9"/>
        <v>100</v>
      </c>
      <c r="T46" s="1308" t="s">
        <v>5</v>
      </c>
      <c r="U46" s="1309">
        <f t="shared" si="10"/>
        <v>100</v>
      </c>
      <c r="V46" s="1308" t="s">
        <v>5</v>
      </c>
      <c r="W46" s="1309">
        <f t="shared" si="11"/>
        <v>100</v>
      </c>
      <c r="X46" s="1303"/>
      <c r="Y46" s="3720"/>
      <c r="Z46" s="1310">
        <f t="shared" si="12"/>
        <v>111</v>
      </c>
      <c r="AA46" s="1310">
        <f t="shared" si="3"/>
        <v>1</v>
      </c>
      <c r="AB46" s="1310">
        <f t="shared" si="4"/>
        <v>1</v>
      </c>
      <c r="AC46" s="1310">
        <f t="shared" si="5"/>
        <v>1</v>
      </c>
    </row>
    <row r="47" spans="1:29" ht="14.4">
      <c r="A47" s="556" t="s">
        <v>683</v>
      </c>
      <c r="B47" s="812"/>
      <c r="C47" s="2082" t="s">
        <v>0</v>
      </c>
      <c r="D47" s="559"/>
      <c r="E47" s="560"/>
      <c r="F47" s="561"/>
      <c r="G47" s="562"/>
      <c r="H47" s="563"/>
      <c r="I47" s="560"/>
      <c r="J47" s="563"/>
      <c r="K47" s="1336"/>
      <c r="L47" s="1752"/>
      <c r="M47" s="1743"/>
      <c r="N47" s="1743"/>
      <c r="O47" s="1743"/>
      <c r="P47" s="3596" t="str">
        <f>A47</f>
        <v>成交单价（元/平方米）</v>
      </c>
      <c r="Q47" s="3596"/>
      <c r="R47" s="3597">
        <f>E47</f>
        <v>0</v>
      </c>
      <c r="S47" s="3597"/>
      <c r="T47" s="3597">
        <f>G47</f>
        <v>0</v>
      </c>
      <c r="U47" s="3597"/>
      <c r="V47" s="3597">
        <f>I47</f>
        <v>0</v>
      </c>
      <c r="W47" s="3597"/>
      <c r="X47" s="799"/>
      <c r="Y47" s="1315"/>
      <c r="Z47" s="799"/>
      <c r="AA47" s="799"/>
      <c r="AB47" s="799"/>
      <c r="AC47" s="799"/>
    </row>
    <row r="48" spans="1:29" ht="15" thickBot="1">
      <c r="A48" s="564" t="s">
        <v>2042</v>
      </c>
      <c r="B48" s="813"/>
      <c r="C48" s="2083" t="e">
        <f>R49</f>
        <v>#DIV/0!</v>
      </c>
      <c r="D48" s="2550" t="s">
        <v>2261</v>
      </c>
      <c r="E48" s="2084" t="e">
        <f>R48</f>
        <v>#DIV/0!</v>
      </c>
      <c r="F48" s="2551"/>
      <c r="G48" s="2083" t="e">
        <f>T48</f>
        <v>#DIV/0!</v>
      </c>
      <c r="H48" s="2551"/>
      <c r="I48" s="2084" t="e">
        <f>V48</f>
        <v>#DIV/0!</v>
      </c>
      <c r="J48" s="2551"/>
      <c r="K48" s="2558">
        <f>F48+H48+J48</f>
        <v>0</v>
      </c>
      <c r="L48" s="1752"/>
      <c r="M48" s="1743"/>
      <c r="N48" s="1743"/>
      <c r="O48" s="1743"/>
      <c r="P48" s="3596" t="str">
        <f>A48</f>
        <v>比较价格（元/平方米）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9"/>
      <c r="Y48" s="799"/>
      <c r="Z48" s="799"/>
      <c r="AA48" s="799"/>
      <c r="AB48" s="799"/>
      <c r="AC48" s="799"/>
    </row>
    <row r="49" spans="1:29" ht="15" thickBot="1">
      <c r="A49" s="568" t="s">
        <v>2198</v>
      </c>
      <c r="B49" s="569"/>
      <c r="C49" s="469" t="e">
        <f>R49</f>
        <v>#DIV/0!</v>
      </c>
      <c r="D49" s="469"/>
      <c r="E49" s="469"/>
      <c r="F49" s="469"/>
      <c r="G49" s="469"/>
      <c r="H49" s="469"/>
      <c r="I49" s="469"/>
      <c r="J49" s="469"/>
      <c r="K49" s="1337"/>
      <c r="L49" s="1752"/>
      <c r="M49" s="1743"/>
      <c r="N49" s="1743"/>
      <c r="O49" s="1743"/>
      <c r="P49" s="3633" t="str">
        <f>A49</f>
        <v>估价对象XX用房的比较价格（楼面单价，元/平方米）</v>
      </c>
      <c r="Q49" s="3634"/>
      <c r="R49" s="3719" t="e">
        <f>IF(F1="售价",ROUND(IF(D48="简单平均",AVERAGE(R48:V48),R48*F48+T48*H48+V48*J48),0),ROUND(IF(D48="简单平均",AVERAGE(R48:V48),R48*F48+T48*H48+V48*J48),1))</f>
        <v>#DIV/0!</v>
      </c>
      <c r="S49" s="3719"/>
      <c r="T49" s="3719"/>
      <c r="U49" s="3719"/>
      <c r="V49" s="3719"/>
      <c r="W49" s="3719"/>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4" t="str">
        <f>YEAR(C7)&amp;"-"&amp;MONTH(C7)</f>
        <v>2025-3</v>
      </c>
      <c r="D58" s="2116">
        <f>EDATE(C58,-1)</f>
        <v>45689</v>
      </c>
      <c r="E58" s="2116">
        <f t="shared" ref="E58:O58" si="13">EDATE(D58,-1)</f>
        <v>45658</v>
      </c>
      <c r="F58" s="2116">
        <f t="shared" si="13"/>
        <v>45627</v>
      </c>
      <c r="G58" s="2116">
        <f t="shared" si="13"/>
        <v>45597</v>
      </c>
      <c r="H58" s="2116">
        <f t="shared" si="13"/>
        <v>45566</v>
      </c>
      <c r="I58" s="2116">
        <f t="shared" si="13"/>
        <v>45536</v>
      </c>
      <c r="J58" s="2116">
        <f t="shared" si="13"/>
        <v>45505</v>
      </c>
      <c r="K58" s="2116">
        <f t="shared" si="13"/>
        <v>45474</v>
      </c>
      <c r="L58" s="2116">
        <f t="shared" si="13"/>
        <v>45444</v>
      </c>
      <c r="M58" s="2116">
        <f t="shared" si="13"/>
        <v>45413</v>
      </c>
      <c r="N58" s="2116">
        <f t="shared" si="13"/>
        <v>45383</v>
      </c>
      <c r="O58" s="2116">
        <f t="shared" si="13"/>
        <v>45352</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ht="14.4">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4.4"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4.4"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2" t="s">
        <v>1429</v>
      </c>
    </row>
    <row r="6" spans="1:4" ht="87">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92580.4平方米。</v>
      </c>
    </row>
    <row r="7" spans="1:4" ht="87">
      <c r="A7" s="2179" t="s">
        <v>2030</v>
      </c>
    </row>
    <row r="8" spans="1:4" ht="17.399999999999999">
      <c r="A8" s="1492" t="s">
        <v>1430</v>
      </c>
    </row>
    <row r="9" spans="1:4" ht="87">
      <c r="A9" s="1489"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2025年3月14日</v>
      </c>
    </row>
    <row r="12" spans="1:4" ht="17.399999999999999">
      <c r="A12" s="1494" t="s">
        <v>1543</v>
      </c>
    </row>
    <row r="13" spans="1:4" ht="17.399999999999999">
      <c r="A13" s="1489" t="s">
        <v>1589</v>
      </c>
    </row>
    <row r="14" spans="1:4" ht="34.799999999999997">
      <c r="A14" s="1489" t="str">
        <f>"根据"&amp;项目基本情况!F12&amp;"，本次评估估价对象证载（地类）用途为"&amp;项目基本情况!B12&amp;"。"</f>
        <v>根据《国有土地使用证》[]，本次评估估价对象证载（地类）用途为住宅用地。</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根据《国有土地使用证》[]，估价对象（分摊）出让国有建设用地使用权面积为42082平方米。根据《建设工程规划许可证》[]、《出让合同》[]，估价对象规划建筑面积为92580.4平方米。</v>
      </c>
    </row>
    <row r="21" spans="1:1" ht="87">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9" t="s">
        <v>1592</v>
      </c>
    </row>
    <row r="23" spans="1:1" ht="17.399999999999999">
      <c r="A23" s="2181" t="s">
        <v>2031</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26" spans="1:1" ht="52.2">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9" t="str">
        <f>IF(项目基本情况!E9="——","",定义!C57)</f>
        <v/>
      </c>
    </row>
    <row r="29" spans="1:1" ht="17.399999999999999">
      <c r="A29" s="1494" t="s">
        <v>1545</v>
      </c>
    </row>
    <row r="30" spans="1:1" ht="87">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8"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4.4">
      <c r="A4" s="463" t="s">
        <v>470</v>
      </c>
      <c r="B4" s="464"/>
      <c r="C4" s="3602" t="s">
        <v>471</v>
      </c>
      <c r="D4" s="3603"/>
      <c r="E4" s="3637" t="s">
        <v>472</v>
      </c>
      <c r="F4" s="3638"/>
      <c r="G4" s="3602" t="s">
        <v>473</v>
      </c>
      <c r="H4" s="3603"/>
      <c r="I4" s="3602" t="s">
        <v>474</v>
      </c>
      <c r="J4" s="3603"/>
      <c r="K4" s="465" t="s">
        <v>475</v>
      </c>
      <c r="L4" s="1742"/>
      <c r="M4" s="1743"/>
      <c r="N4" s="1743"/>
      <c r="O4" s="1743"/>
      <c r="P4" s="3724" t="s">
        <v>476</v>
      </c>
      <c r="Q4" s="3605"/>
      <c r="R4" s="3610" t="s">
        <v>472</v>
      </c>
      <c r="S4" s="3611"/>
      <c r="T4" s="3610" t="s">
        <v>473</v>
      </c>
      <c r="U4" s="3611"/>
      <c r="V4" s="3597" t="s">
        <v>474</v>
      </c>
      <c r="W4" s="3597"/>
      <c r="X4" s="1303"/>
      <c r="Y4" s="3610" t="s">
        <v>476</v>
      </c>
      <c r="Z4" s="3611"/>
      <c r="AA4" s="3599" t="s">
        <v>472</v>
      </c>
      <c r="AB4" s="3599" t="s">
        <v>473</v>
      </c>
      <c r="AC4" s="3599" t="s">
        <v>474</v>
      </c>
    </row>
    <row r="5" spans="1:29">
      <c r="A5" s="466"/>
      <c r="B5" s="467"/>
      <c r="C5" s="3618" t="s">
        <v>2192</v>
      </c>
      <c r="D5" s="3619"/>
      <c r="E5" s="3639" t="s">
        <v>2193</v>
      </c>
      <c r="F5" s="3640"/>
      <c r="G5" s="3618" t="s">
        <v>2194</v>
      </c>
      <c r="H5" s="3619"/>
      <c r="I5" s="3618" t="s">
        <v>2195</v>
      </c>
      <c r="J5" s="3619"/>
      <c r="K5" s="465"/>
      <c r="L5" s="1742"/>
      <c r="M5" s="1743"/>
      <c r="N5" s="1743"/>
      <c r="O5" s="1743"/>
      <c r="P5" s="3725"/>
      <c r="Q5" s="3607"/>
      <c r="R5" s="3612"/>
      <c r="S5" s="3613"/>
      <c r="T5" s="3612"/>
      <c r="U5" s="3613"/>
      <c r="V5" s="3597"/>
      <c r="W5" s="3597"/>
      <c r="X5" s="1303"/>
      <c r="Y5" s="3612"/>
      <c r="Z5" s="3613"/>
      <c r="AA5" s="3600"/>
      <c r="AB5" s="3600"/>
      <c r="AC5" s="3600"/>
    </row>
    <row r="6" spans="1:29" ht="15" thickBot="1">
      <c r="A6" s="468"/>
      <c r="B6" s="469"/>
      <c r="C6" s="3616" t="s">
        <v>2196</v>
      </c>
      <c r="D6" s="3617"/>
      <c r="E6" s="3635" t="s">
        <v>2196</v>
      </c>
      <c r="F6" s="3636"/>
      <c r="G6" s="3616" t="s">
        <v>2196</v>
      </c>
      <c r="H6" s="3617"/>
      <c r="I6" s="3616" t="s">
        <v>2196</v>
      </c>
      <c r="J6" s="3617"/>
      <c r="K6" s="465" t="s">
        <v>477</v>
      </c>
      <c r="L6" s="1742"/>
      <c r="M6" s="1743"/>
      <c r="N6" s="1743"/>
      <c r="O6" s="1743"/>
      <c r="P6" s="3726"/>
      <c r="Q6" s="3609"/>
      <c r="R6" s="3612"/>
      <c r="S6" s="3613"/>
      <c r="T6" s="3614"/>
      <c r="U6" s="3615"/>
      <c r="V6" s="3597"/>
      <c r="W6" s="3597"/>
      <c r="X6" s="1303"/>
      <c r="Y6" s="3614"/>
      <c r="Z6" s="3615"/>
      <c r="AA6" s="3601"/>
      <c r="AB6" s="3601"/>
      <c r="AC6" s="3601"/>
    </row>
    <row r="7" spans="1:29" s="1060" customFormat="1" ht="15" thickBot="1">
      <c r="A7" s="2209"/>
      <c r="B7" s="2216" t="s">
        <v>478</v>
      </c>
      <c r="C7" s="470">
        <f>'数据-取费表'!B2</f>
        <v>45730</v>
      </c>
      <c r="D7" s="471">
        <v>100</v>
      </c>
      <c r="E7" s="472"/>
      <c r="F7" s="473">
        <f>SUMIF(59:59,YEAR(E7)&amp;"-"&amp;MONTH(E7),60:60)</f>
        <v>0</v>
      </c>
      <c r="G7" s="472"/>
      <c r="H7" s="471">
        <f>SUMIF(59:59,YEAR(G7)&amp;"-"&amp;MONTH(G7),60:60)</f>
        <v>0</v>
      </c>
      <c r="I7" s="472"/>
      <c r="J7" s="471">
        <f>SUMIF(59:59,YEAR(I7)&amp;"-"&amp;MONTH(I7),60:60)</f>
        <v>0</v>
      </c>
      <c r="K7" s="88"/>
      <c r="L7" s="1744"/>
      <c r="M7" s="1641"/>
      <c r="N7" s="1641"/>
      <c r="O7" s="1641"/>
      <c r="P7" s="3628" t="s">
        <v>479</v>
      </c>
      <c r="Q7" s="3628"/>
      <c r="R7" s="1304" t="s">
        <v>5</v>
      </c>
      <c r="S7" s="1305">
        <f t="shared" ref="S7:S15" si="0">F7</f>
        <v>0</v>
      </c>
      <c r="T7" s="1304" t="s">
        <v>5</v>
      </c>
      <c r="U7" s="1305">
        <f t="shared" ref="U7:U15" si="1">H7</f>
        <v>0</v>
      </c>
      <c r="V7" s="1304" t="s">
        <v>5</v>
      </c>
      <c r="W7" s="1305">
        <f t="shared" ref="W7:W15" si="2">J7</f>
        <v>0</v>
      </c>
      <c r="X7" s="1306"/>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28" t="s">
        <v>482</v>
      </c>
      <c r="Q8" s="3627"/>
      <c r="R8" s="1304" t="s">
        <v>5</v>
      </c>
      <c r="S8" s="1305">
        <f t="shared" si="0"/>
        <v>0</v>
      </c>
      <c r="T8" s="1304" t="s">
        <v>5</v>
      </c>
      <c r="U8" s="1305">
        <f t="shared" si="1"/>
        <v>0</v>
      </c>
      <c r="V8" s="1304" t="s">
        <v>5</v>
      </c>
      <c r="W8" s="1305">
        <f t="shared" si="2"/>
        <v>0</v>
      </c>
      <c r="X8" s="1306"/>
      <c r="Y8" s="3626" t="s">
        <v>482</v>
      </c>
      <c r="Z8" s="3627"/>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96" t="s">
        <v>484</v>
      </c>
      <c r="Q9" s="818" t="str">
        <f t="shared" ref="Q9:Q15" si="6">B9</f>
        <v>用途</v>
      </c>
      <c r="R9" s="1304" t="s">
        <v>5</v>
      </c>
      <c r="S9" s="1305">
        <f t="shared" si="0"/>
        <v>100</v>
      </c>
      <c r="T9" s="1304" t="s">
        <v>5</v>
      </c>
      <c r="U9" s="1305">
        <f t="shared" si="1"/>
        <v>100</v>
      </c>
      <c r="V9" s="1304" t="s">
        <v>5</v>
      </c>
      <c r="W9" s="1305">
        <f t="shared" si="2"/>
        <v>100</v>
      </c>
      <c r="X9" s="1306"/>
      <c r="Y9" s="3540" t="s">
        <v>485</v>
      </c>
      <c r="Z9" s="997" t="str">
        <f t="shared" ref="Z9:Z15" si="7">Q9</f>
        <v>用途</v>
      </c>
      <c r="AA9" s="997">
        <f t="shared" si="3"/>
        <v>1</v>
      </c>
      <c r="AB9" s="997">
        <f t="shared" si="4"/>
        <v>1</v>
      </c>
      <c r="AC9" s="997">
        <f t="shared" si="5"/>
        <v>1</v>
      </c>
    </row>
    <row r="10" spans="1:29" s="1133" customFormat="1" ht="28.8">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96"/>
      <c r="Q11" s="818" t="str">
        <f t="shared" si="6"/>
        <v>容积率</v>
      </c>
      <c r="R11" s="1304" t="s">
        <v>5</v>
      </c>
      <c r="S11" s="1305" t="e">
        <f t="shared" si="0"/>
        <v>#N/A</v>
      </c>
      <c r="T11" s="1304" t="s">
        <v>5</v>
      </c>
      <c r="U11" s="1305" t="e">
        <f t="shared" si="1"/>
        <v>#N/A</v>
      </c>
      <c r="V11" s="1304" t="s">
        <v>5</v>
      </c>
      <c r="W11" s="1305" t="e">
        <f t="shared" si="2"/>
        <v>#N/A</v>
      </c>
      <c r="X11" s="1306"/>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96"/>
      <c r="Q12" s="818">
        <f t="shared" si="6"/>
        <v>111</v>
      </c>
      <c r="R12" s="1304" t="s">
        <v>5</v>
      </c>
      <c r="S12" s="1305">
        <f t="shared" si="0"/>
        <v>100</v>
      </c>
      <c r="T12" s="1304" t="s">
        <v>5</v>
      </c>
      <c r="U12" s="1305">
        <f t="shared" si="1"/>
        <v>100</v>
      </c>
      <c r="V12" s="1304" t="s">
        <v>5</v>
      </c>
      <c r="W12" s="1305">
        <f t="shared" si="2"/>
        <v>100</v>
      </c>
      <c r="X12" s="1306"/>
      <c r="Y12" s="3540"/>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96"/>
      <c r="Q13" s="818">
        <f t="shared" si="6"/>
        <v>111</v>
      </c>
      <c r="R13" s="1304" t="s">
        <v>5</v>
      </c>
      <c r="S13" s="1305">
        <f t="shared" si="0"/>
        <v>100</v>
      </c>
      <c r="T13" s="1304" t="s">
        <v>5</v>
      </c>
      <c r="U13" s="1305">
        <f t="shared" si="1"/>
        <v>100</v>
      </c>
      <c r="V13" s="1304" t="s">
        <v>5</v>
      </c>
      <c r="W13" s="1305">
        <f t="shared" si="2"/>
        <v>100</v>
      </c>
      <c r="X13" s="1306"/>
      <c r="Y13" s="3540"/>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96"/>
      <c r="Q14" s="818">
        <f t="shared" si="6"/>
        <v>111</v>
      </c>
      <c r="R14" s="1304" t="s">
        <v>5</v>
      </c>
      <c r="S14" s="1305">
        <f t="shared" si="0"/>
        <v>100</v>
      </c>
      <c r="T14" s="1304" t="s">
        <v>5</v>
      </c>
      <c r="U14" s="1305">
        <f t="shared" si="1"/>
        <v>100</v>
      </c>
      <c r="V14" s="1304" t="s">
        <v>5</v>
      </c>
      <c r="W14" s="1305">
        <f t="shared" si="2"/>
        <v>100</v>
      </c>
      <c r="X14" s="1306"/>
      <c r="Y14" s="3540"/>
      <c r="Z14" s="997">
        <f t="shared" si="7"/>
        <v>111</v>
      </c>
      <c r="AA14" s="997">
        <f t="shared" si="3"/>
        <v>1</v>
      </c>
      <c r="AB14" s="997">
        <f t="shared" si="4"/>
        <v>1</v>
      </c>
      <c r="AC14" s="997">
        <f t="shared" si="5"/>
        <v>1</v>
      </c>
    </row>
    <row r="15" spans="1:29" ht="82.8">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29" t="s">
        <v>489</v>
      </c>
      <c r="Q15" s="1307" t="str">
        <f t="shared" si="6"/>
        <v>办公集聚程度</v>
      </c>
      <c r="R15" s="1308" t="s">
        <v>5</v>
      </c>
      <c r="S15" s="1309">
        <f t="shared" si="0"/>
        <v>100</v>
      </c>
      <c r="T15" s="1308" t="s">
        <v>5</v>
      </c>
      <c r="U15" s="1309">
        <f t="shared" si="1"/>
        <v>100</v>
      </c>
      <c r="V15" s="1308" t="s">
        <v>5</v>
      </c>
      <c r="W15" s="1309">
        <f t="shared" si="2"/>
        <v>100</v>
      </c>
      <c r="X15" s="1303"/>
      <c r="Y15" s="3629"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0"/>
      <c r="Q16" s="1307"/>
      <c r="R16" s="1308"/>
      <c r="S16" s="1309"/>
      <c r="T16" s="1308"/>
      <c r="U16" s="1309"/>
      <c r="V16" s="1308"/>
      <c r="W16" s="1309"/>
      <c r="X16" s="1303"/>
      <c r="Y16" s="3630"/>
      <c r="Z16" s="1310"/>
      <c r="AA16" s="1310">
        <v>1</v>
      </c>
      <c r="AB16" s="1310">
        <v>1</v>
      </c>
      <c r="AC16" s="1310">
        <v>1</v>
      </c>
    </row>
    <row r="17" spans="1:29" ht="96.6">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0"/>
      <c r="Q17" s="1307" t="str">
        <f>B17</f>
        <v>交通便捷度</v>
      </c>
      <c r="R17" s="1308" t="s">
        <v>5</v>
      </c>
      <c r="S17" s="1309">
        <f>F17</f>
        <v>100</v>
      </c>
      <c r="T17" s="1308" t="s">
        <v>5</v>
      </c>
      <c r="U17" s="1309">
        <f>H17</f>
        <v>100</v>
      </c>
      <c r="V17" s="1308" t="s">
        <v>5</v>
      </c>
      <c r="W17" s="1309">
        <f>J17</f>
        <v>100</v>
      </c>
      <c r="X17" s="1303"/>
      <c r="Y17" s="3630"/>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0"/>
      <c r="Q18" s="1307"/>
      <c r="R18" s="1308"/>
      <c r="S18" s="1309"/>
      <c r="T18" s="1308"/>
      <c r="U18" s="1309"/>
      <c r="V18" s="1308"/>
      <c r="W18" s="1309"/>
      <c r="X18" s="1303"/>
      <c r="Y18" s="3630"/>
      <c r="Z18" s="1310"/>
      <c r="AA18" s="1310">
        <v>1</v>
      </c>
      <c r="AB18" s="1310">
        <v>1</v>
      </c>
      <c r="AC18" s="1310">
        <v>1</v>
      </c>
    </row>
    <row r="19" spans="1:29" ht="41.4">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0"/>
      <c r="Q19" s="1307" t="str">
        <f>B19</f>
        <v>公共配套设施</v>
      </c>
      <c r="R19" s="1308" t="s">
        <v>5</v>
      </c>
      <c r="S19" s="1309">
        <f>F19</f>
        <v>100</v>
      </c>
      <c r="T19" s="1308" t="s">
        <v>5</v>
      </c>
      <c r="U19" s="1309">
        <f>H19</f>
        <v>100</v>
      </c>
      <c r="V19" s="1308" t="s">
        <v>5</v>
      </c>
      <c r="W19" s="1309">
        <f>J19</f>
        <v>100</v>
      </c>
      <c r="X19" s="1303"/>
      <c r="Y19" s="3630"/>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0"/>
      <c r="Q20" s="1307"/>
      <c r="R20" s="1308"/>
      <c r="S20" s="1309"/>
      <c r="T20" s="1308"/>
      <c r="U20" s="1309"/>
      <c r="V20" s="1308"/>
      <c r="W20" s="1309"/>
      <c r="X20" s="1303"/>
      <c r="Y20" s="3630"/>
      <c r="Z20" s="1310"/>
      <c r="AA20" s="1310">
        <v>1</v>
      </c>
      <c r="AB20" s="1310">
        <v>1</v>
      </c>
      <c r="AC20" s="1310">
        <v>1</v>
      </c>
    </row>
    <row r="21" spans="1:29" ht="41.4">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0"/>
      <c r="Q21" s="1307" t="str">
        <f>B21</f>
        <v>基础设施水平</v>
      </c>
      <c r="R21" s="1308" t="s">
        <v>5</v>
      </c>
      <c r="S21" s="1309">
        <f>F21</f>
        <v>100</v>
      </c>
      <c r="T21" s="1308" t="s">
        <v>5</v>
      </c>
      <c r="U21" s="1309">
        <f>H21</f>
        <v>100</v>
      </c>
      <c r="V21" s="1308" t="s">
        <v>5</v>
      </c>
      <c r="W21" s="1309">
        <f>J21</f>
        <v>100</v>
      </c>
      <c r="X21" s="1303"/>
      <c r="Y21" s="3630"/>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0"/>
      <c r="Q22" s="1307"/>
      <c r="R22" s="1308"/>
      <c r="S22" s="1309"/>
      <c r="T22" s="1308"/>
      <c r="U22" s="1309"/>
      <c r="V22" s="1308"/>
      <c r="W22" s="1309"/>
      <c r="X22" s="1303"/>
      <c r="Y22" s="3630"/>
      <c r="Z22" s="1310"/>
      <c r="AA22" s="1310">
        <v>1</v>
      </c>
      <c r="AB22" s="1310">
        <v>1</v>
      </c>
      <c r="AC22" s="1310">
        <v>1</v>
      </c>
    </row>
    <row r="23" spans="1:29" ht="55.2">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0"/>
      <c r="Q23" s="1307" t="str">
        <f>B23</f>
        <v>环境质量</v>
      </c>
      <c r="R23" s="1308" t="s">
        <v>5</v>
      </c>
      <c r="S23" s="1309">
        <f>F23</f>
        <v>100</v>
      </c>
      <c r="T23" s="1308" t="s">
        <v>5</v>
      </c>
      <c r="U23" s="1309">
        <f>H23</f>
        <v>100</v>
      </c>
      <c r="V23" s="1308" t="s">
        <v>5</v>
      </c>
      <c r="W23" s="1309">
        <f>J23</f>
        <v>100</v>
      </c>
      <c r="X23" s="1303"/>
      <c r="Y23" s="3630"/>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0"/>
      <c r="Q24" s="1307"/>
      <c r="R24" s="1308"/>
      <c r="S24" s="1309"/>
      <c r="T24" s="1308"/>
      <c r="U24" s="1309"/>
      <c r="V24" s="1308"/>
      <c r="W24" s="1309"/>
      <c r="X24" s="1303"/>
      <c r="Y24" s="3630"/>
      <c r="Z24" s="1310"/>
      <c r="AA24" s="1310">
        <v>1</v>
      </c>
      <c r="AB24" s="1310">
        <v>1</v>
      </c>
      <c r="AC24" s="1310">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0"/>
      <c r="Q25" s="1307" t="str">
        <f>B25</f>
        <v>毗邻道路的类型与等级</v>
      </c>
      <c r="R25" s="1308" t="s">
        <v>5</v>
      </c>
      <c r="S25" s="1309">
        <f>F25</f>
        <v>100</v>
      </c>
      <c r="T25" s="1308" t="s">
        <v>5</v>
      </c>
      <c r="U25" s="1309">
        <f>H25</f>
        <v>100</v>
      </c>
      <c r="V25" s="1308" t="s">
        <v>5</v>
      </c>
      <c r="W25" s="1309">
        <f>J25</f>
        <v>100</v>
      </c>
      <c r="X25" s="1303"/>
      <c r="Y25" s="3630"/>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0"/>
      <c r="Q26" s="1307"/>
      <c r="R26" s="1308"/>
      <c r="S26" s="1309"/>
      <c r="T26" s="1308"/>
      <c r="U26" s="1309"/>
      <c r="V26" s="1308"/>
      <c r="W26" s="1309"/>
      <c r="X26" s="1303"/>
      <c r="Y26" s="3630"/>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0"/>
      <c r="Q27" s="1307" t="str">
        <f t="shared" ref="Q27:Q47" si="8">B27</f>
        <v>楼层</v>
      </c>
      <c r="R27" s="1308" t="s">
        <v>5</v>
      </c>
      <c r="S27" s="1309">
        <f>F27</f>
        <v>100</v>
      </c>
      <c r="T27" s="1308" t="s">
        <v>5</v>
      </c>
      <c r="U27" s="1309">
        <f>H27</f>
        <v>100</v>
      </c>
      <c r="V27" s="1308" t="s">
        <v>5</v>
      </c>
      <c r="W27" s="1309">
        <f>J27</f>
        <v>100</v>
      </c>
      <c r="X27" s="1303"/>
      <c r="Y27" s="3630"/>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0"/>
      <c r="Q28" s="818" t="str">
        <f t="shared" si="8"/>
        <v>朝向</v>
      </c>
      <c r="R28" s="1304" t="s">
        <v>5</v>
      </c>
      <c r="S28" s="1305">
        <f>F28</f>
        <v>100</v>
      </c>
      <c r="T28" s="1304" t="s">
        <v>5</v>
      </c>
      <c r="U28" s="1305">
        <f>H28</f>
        <v>100</v>
      </c>
      <c r="V28" s="1304" t="s">
        <v>5</v>
      </c>
      <c r="W28" s="1305">
        <f>J28</f>
        <v>100</v>
      </c>
      <c r="X28" s="1306"/>
      <c r="Y28" s="3630"/>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0"/>
      <c r="Q29" s="1307">
        <f t="shared" si="8"/>
        <v>111</v>
      </c>
      <c r="R29" s="1308" t="s">
        <v>5</v>
      </c>
      <c r="S29" s="1309">
        <f t="shared" ref="S29:S47" si="9">F29</f>
        <v>100</v>
      </c>
      <c r="T29" s="1308" t="s">
        <v>5</v>
      </c>
      <c r="U29" s="1309">
        <f t="shared" ref="U29:U47" si="10">H29</f>
        <v>100</v>
      </c>
      <c r="V29" s="1308" t="s">
        <v>5</v>
      </c>
      <c r="W29" s="1309">
        <f t="shared" ref="W29:W47" si="11">J29</f>
        <v>100</v>
      </c>
      <c r="X29" s="1303"/>
      <c r="Y29" s="3630"/>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0"/>
      <c r="Q30" s="1307">
        <f t="shared" si="8"/>
        <v>111</v>
      </c>
      <c r="R30" s="1308" t="s">
        <v>5</v>
      </c>
      <c r="S30" s="1309">
        <f t="shared" si="9"/>
        <v>100</v>
      </c>
      <c r="T30" s="1308" t="s">
        <v>5</v>
      </c>
      <c r="U30" s="1309">
        <f t="shared" si="10"/>
        <v>100</v>
      </c>
      <c r="V30" s="1308" t="s">
        <v>5</v>
      </c>
      <c r="W30" s="1309">
        <f t="shared" si="11"/>
        <v>100</v>
      </c>
      <c r="X30" s="1303"/>
      <c r="Y30" s="3630"/>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0"/>
      <c r="Q31" s="1307">
        <f t="shared" si="8"/>
        <v>111</v>
      </c>
      <c r="R31" s="1308" t="s">
        <v>5</v>
      </c>
      <c r="S31" s="1309">
        <f t="shared" si="9"/>
        <v>100</v>
      </c>
      <c r="T31" s="1308" t="s">
        <v>5</v>
      </c>
      <c r="U31" s="1309">
        <f t="shared" si="10"/>
        <v>100</v>
      </c>
      <c r="V31" s="1308" t="s">
        <v>5</v>
      </c>
      <c r="W31" s="1309">
        <f t="shared" si="11"/>
        <v>100</v>
      </c>
      <c r="X31" s="1303"/>
      <c r="Y31" s="3630"/>
      <c r="Z31" s="1310">
        <f t="shared" si="12"/>
        <v>111</v>
      </c>
      <c r="AA31" s="1310">
        <f t="shared" si="3"/>
        <v>1</v>
      </c>
      <c r="AB31" s="1310">
        <f t="shared" si="4"/>
        <v>1</v>
      </c>
      <c r="AC31" s="1310">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0"/>
      <c r="Q32" s="1307">
        <f t="shared" si="8"/>
        <v>111</v>
      </c>
      <c r="R32" s="1308" t="s">
        <v>5</v>
      </c>
      <c r="S32" s="1309">
        <f t="shared" si="9"/>
        <v>100</v>
      </c>
      <c r="T32" s="1308" t="s">
        <v>5</v>
      </c>
      <c r="U32" s="1309">
        <f t="shared" si="10"/>
        <v>100</v>
      </c>
      <c r="V32" s="1308" t="s">
        <v>5</v>
      </c>
      <c r="W32" s="1309">
        <f t="shared" si="11"/>
        <v>100</v>
      </c>
      <c r="X32" s="1303"/>
      <c r="Y32" s="3630"/>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1" t="s">
        <v>499</v>
      </c>
      <c r="Q33" s="1307" t="str">
        <f t="shared" si="8"/>
        <v>建筑类型</v>
      </c>
      <c r="R33" s="1308" t="s">
        <v>5</v>
      </c>
      <c r="S33" s="1309">
        <f t="shared" si="9"/>
        <v>100</v>
      </c>
      <c r="T33" s="1308" t="s">
        <v>5</v>
      </c>
      <c r="U33" s="1309">
        <f t="shared" si="10"/>
        <v>100</v>
      </c>
      <c r="V33" s="1308" t="s">
        <v>5</v>
      </c>
      <c r="W33" s="1309">
        <f t="shared" si="11"/>
        <v>100</v>
      </c>
      <c r="X33" s="1303"/>
      <c r="Y33" s="3632"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2"/>
      <c r="Q34" s="819" t="str">
        <f t="shared" si="8"/>
        <v>项目建筑规模</v>
      </c>
      <c r="R34" s="1311" t="s">
        <v>5</v>
      </c>
      <c r="S34" s="1312" t="e">
        <f t="shared" si="9"/>
        <v>#N/A</v>
      </c>
      <c r="T34" s="1311" t="s">
        <v>5</v>
      </c>
      <c r="U34" s="1312" t="e">
        <f t="shared" si="10"/>
        <v>#N/A</v>
      </c>
      <c r="V34" s="1311" t="s">
        <v>5</v>
      </c>
      <c r="W34" s="1312" t="e">
        <f t="shared" si="11"/>
        <v>#N/A</v>
      </c>
      <c r="X34" s="1313"/>
      <c r="Y34" s="3632"/>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2"/>
      <c r="Q35" s="1307" t="str">
        <f t="shared" si="8"/>
        <v>建筑结构</v>
      </c>
      <c r="R35" s="1308" t="s">
        <v>5</v>
      </c>
      <c r="S35" s="1309">
        <f t="shared" si="9"/>
        <v>100</v>
      </c>
      <c r="T35" s="1308" t="s">
        <v>5</v>
      </c>
      <c r="U35" s="1309">
        <f t="shared" si="10"/>
        <v>100</v>
      </c>
      <c r="V35" s="1308" t="s">
        <v>5</v>
      </c>
      <c r="W35" s="1309">
        <f t="shared" si="11"/>
        <v>100</v>
      </c>
      <c r="X35" s="1303"/>
      <c r="Y35" s="3632"/>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2"/>
      <c r="Q36" s="1307" t="str">
        <f t="shared" si="8"/>
        <v>公共部分装修</v>
      </c>
      <c r="R36" s="1308" t="s">
        <v>5</v>
      </c>
      <c r="S36" s="1309">
        <f t="shared" si="9"/>
        <v>100</v>
      </c>
      <c r="T36" s="1308" t="s">
        <v>5</v>
      </c>
      <c r="U36" s="1309">
        <f t="shared" si="10"/>
        <v>100</v>
      </c>
      <c r="V36" s="1308" t="s">
        <v>5</v>
      </c>
      <c r="W36" s="1309">
        <f t="shared" si="11"/>
        <v>100</v>
      </c>
      <c r="X36" s="1303"/>
      <c r="Y36" s="3632"/>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2"/>
      <c r="Q37" s="1307" t="str">
        <f t="shared" si="8"/>
        <v>成新度</v>
      </c>
      <c r="R37" s="1308" t="s">
        <v>5</v>
      </c>
      <c r="S37" s="1309" t="e">
        <f t="shared" si="9"/>
        <v>#N/A</v>
      </c>
      <c r="T37" s="1308" t="s">
        <v>5</v>
      </c>
      <c r="U37" s="1309" t="e">
        <f t="shared" si="10"/>
        <v>#N/A</v>
      </c>
      <c r="V37" s="1308" t="s">
        <v>5</v>
      </c>
      <c r="W37" s="1309" t="e">
        <f t="shared" si="11"/>
        <v>#N/A</v>
      </c>
      <c r="X37" s="1303"/>
      <c r="Y37" s="3632"/>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2"/>
      <c r="Q38" s="818" t="str">
        <f t="shared" si="8"/>
        <v>写字楼等级</v>
      </c>
      <c r="R38" s="1304" t="s">
        <v>5</v>
      </c>
      <c r="S38" s="1305">
        <f t="shared" si="9"/>
        <v>100</v>
      </c>
      <c r="T38" s="1304" t="s">
        <v>5</v>
      </c>
      <c r="U38" s="1305">
        <f t="shared" si="10"/>
        <v>100</v>
      </c>
      <c r="V38" s="1304" t="s">
        <v>5</v>
      </c>
      <c r="W38" s="1305">
        <f t="shared" si="11"/>
        <v>100</v>
      </c>
      <c r="X38" s="1306"/>
      <c r="Y38" s="363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2" t="s">
        <v>499</v>
      </c>
      <c r="Q39" s="1307" t="str">
        <f t="shared" si="8"/>
        <v>物业管理</v>
      </c>
      <c r="R39" s="1308" t="s">
        <v>5</v>
      </c>
      <c r="S39" s="1309">
        <f t="shared" si="9"/>
        <v>100</v>
      </c>
      <c r="T39" s="1308" t="s">
        <v>5</v>
      </c>
      <c r="U39" s="1309">
        <f t="shared" si="10"/>
        <v>100</v>
      </c>
      <c r="V39" s="1308" t="s">
        <v>5</v>
      </c>
      <c r="W39" s="1309">
        <f t="shared" si="11"/>
        <v>100</v>
      </c>
      <c r="X39" s="1303"/>
      <c r="Y39" s="3632"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2"/>
      <c r="Q40" s="1307" t="str">
        <f t="shared" si="8"/>
        <v>市政基础设施</v>
      </c>
      <c r="R40" s="1308" t="s">
        <v>5</v>
      </c>
      <c r="S40" s="1309">
        <f t="shared" si="9"/>
        <v>100</v>
      </c>
      <c r="T40" s="1308" t="s">
        <v>5</v>
      </c>
      <c r="U40" s="1309">
        <f t="shared" si="10"/>
        <v>100</v>
      </c>
      <c r="V40" s="1308" t="s">
        <v>5</v>
      </c>
      <c r="W40" s="1309">
        <f t="shared" si="11"/>
        <v>100</v>
      </c>
      <c r="X40" s="1303"/>
      <c r="Y40" s="3632"/>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2"/>
      <c r="Q41" s="1307" t="str">
        <f t="shared" si="8"/>
        <v>层高</v>
      </c>
      <c r="R41" s="1308" t="s">
        <v>5</v>
      </c>
      <c r="S41" s="1309">
        <f t="shared" si="9"/>
        <v>100</v>
      </c>
      <c r="T41" s="1308" t="s">
        <v>5</v>
      </c>
      <c r="U41" s="1309">
        <f t="shared" si="10"/>
        <v>100</v>
      </c>
      <c r="V41" s="1308" t="s">
        <v>5</v>
      </c>
      <c r="W41" s="1309">
        <f t="shared" si="11"/>
        <v>100</v>
      </c>
      <c r="X41" s="1303"/>
      <c r="Y41" s="3632"/>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2"/>
      <c r="Q42" s="819" t="str">
        <f t="shared" si="8"/>
        <v>单套建筑面积</v>
      </c>
      <c r="R42" s="1311" t="s">
        <v>5</v>
      </c>
      <c r="S42" s="1312">
        <f t="shared" si="9"/>
        <v>100</v>
      </c>
      <c r="T42" s="1311" t="s">
        <v>5</v>
      </c>
      <c r="U42" s="1312">
        <f t="shared" si="10"/>
        <v>100</v>
      </c>
      <c r="V42" s="1311" t="s">
        <v>5</v>
      </c>
      <c r="W42" s="1312">
        <f t="shared" si="11"/>
        <v>100</v>
      </c>
      <c r="X42" s="1313"/>
      <c r="Y42" s="3632"/>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2"/>
      <c r="Q43" s="1307" t="str">
        <f t="shared" si="8"/>
        <v>内部装修</v>
      </c>
      <c r="R43" s="1308" t="s">
        <v>5</v>
      </c>
      <c r="S43" s="1309">
        <f t="shared" si="9"/>
        <v>100</v>
      </c>
      <c r="T43" s="1308" t="s">
        <v>5</v>
      </c>
      <c r="U43" s="1309">
        <f t="shared" si="10"/>
        <v>100</v>
      </c>
      <c r="V43" s="1308" t="s">
        <v>5</v>
      </c>
      <c r="W43" s="1309">
        <f t="shared" si="11"/>
        <v>100</v>
      </c>
      <c r="X43" s="1303"/>
      <c r="Y43" s="3632"/>
      <c r="Z43" s="1310" t="str">
        <f t="shared" si="12"/>
        <v>内部装修</v>
      </c>
      <c r="AA43" s="1310">
        <f t="shared" si="3"/>
        <v>1</v>
      </c>
      <c r="AB43" s="1310">
        <f t="shared" si="4"/>
        <v>1</v>
      </c>
      <c r="AC43" s="1310">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2"/>
      <c r="Q44" s="1307" t="str">
        <f t="shared" si="8"/>
        <v>内部装修维护情况</v>
      </c>
      <c r="R44" s="1308" t="s">
        <v>5</v>
      </c>
      <c r="S44" s="1309">
        <f t="shared" si="9"/>
        <v>100</v>
      </c>
      <c r="T44" s="1308" t="s">
        <v>5</v>
      </c>
      <c r="U44" s="1309">
        <f t="shared" si="10"/>
        <v>100</v>
      </c>
      <c r="V44" s="1308" t="s">
        <v>5</v>
      </c>
      <c r="W44" s="1309">
        <f t="shared" si="11"/>
        <v>100</v>
      </c>
      <c r="X44" s="1303"/>
      <c r="Y44" s="3632"/>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2"/>
      <c r="Q45" s="818">
        <f t="shared" si="8"/>
        <v>111</v>
      </c>
      <c r="R45" s="1304" t="s">
        <v>5</v>
      </c>
      <c r="S45" s="1305">
        <f t="shared" si="9"/>
        <v>100</v>
      </c>
      <c r="T45" s="1304" t="s">
        <v>5</v>
      </c>
      <c r="U45" s="1305">
        <f t="shared" si="10"/>
        <v>100</v>
      </c>
      <c r="V45" s="1304" t="s">
        <v>5</v>
      </c>
      <c r="W45" s="1305">
        <f t="shared" si="11"/>
        <v>100</v>
      </c>
      <c r="X45" s="1306"/>
      <c r="Y45" s="363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2"/>
      <c r="Q46" s="1307">
        <f t="shared" si="8"/>
        <v>111</v>
      </c>
      <c r="R46" s="1308" t="s">
        <v>5</v>
      </c>
      <c r="S46" s="1309">
        <f t="shared" si="9"/>
        <v>100</v>
      </c>
      <c r="T46" s="1308" t="s">
        <v>5</v>
      </c>
      <c r="U46" s="1309">
        <f t="shared" si="10"/>
        <v>100</v>
      </c>
      <c r="V46" s="1308" t="s">
        <v>5</v>
      </c>
      <c r="W46" s="1309">
        <f t="shared" si="11"/>
        <v>100</v>
      </c>
      <c r="X46" s="1303"/>
      <c r="Y46" s="3632"/>
      <c r="Z46" s="1310">
        <f t="shared" si="12"/>
        <v>111</v>
      </c>
      <c r="AA46" s="1310">
        <f t="shared" si="3"/>
        <v>1</v>
      </c>
      <c r="AB46" s="1310">
        <f t="shared" si="4"/>
        <v>1</v>
      </c>
      <c r="AC46" s="1310">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0"/>
      <c r="Q47" s="1307">
        <f t="shared" si="8"/>
        <v>111</v>
      </c>
      <c r="R47" s="1308" t="s">
        <v>5</v>
      </c>
      <c r="S47" s="1309">
        <f t="shared" si="9"/>
        <v>100</v>
      </c>
      <c r="T47" s="1308" t="s">
        <v>5</v>
      </c>
      <c r="U47" s="1309">
        <f t="shared" si="10"/>
        <v>100</v>
      </c>
      <c r="V47" s="1308" t="s">
        <v>5</v>
      </c>
      <c r="W47" s="1309">
        <f t="shared" si="11"/>
        <v>100</v>
      </c>
      <c r="X47" s="1303"/>
      <c r="Y47" s="3720"/>
      <c r="Z47" s="1310">
        <f t="shared" si="12"/>
        <v>111</v>
      </c>
      <c r="AA47" s="1310">
        <f t="shared" si="3"/>
        <v>1</v>
      </c>
      <c r="AB47" s="1310">
        <f t="shared" si="4"/>
        <v>1</v>
      </c>
      <c r="AC47" s="1310">
        <f t="shared" si="5"/>
        <v>1</v>
      </c>
    </row>
    <row r="48" spans="1:29" ht="14.4">
      <c r="A48" s="556" t="s">
        <v>683</v>
      </c>
      <c r="B48" s="812"/>
      <c r="C48" s="2082" t="s">
        <v>0</v>
      </c>
      <c r="D48" s="559"/>
      <c r="E48" s="560"/>
      <c r="F48" s="561"/>
      <c r="G48" s="562"/>
      <c r="H48" s="563"/>
      <c r="I48" s="560"/>
      <c r="J48" s="563"/>
      <c r="K48" s="1336"/>
      <c r="L48" s="1752"/>
      <c r="M48" s="1743"/>
      <c r="N48" s="1743"/>
      <c r="O48" s="1743"/>
      <c r="P48" s="3634" t="str">
        <f>A48</f>
        <v>成交单价（元/平方米）</v>
      </c>
      <c r="Q48" s="3596"/>
      <c r="R48" s="3597">
        <f>E48</f>
        <v>0</v>
      </c>
      <c r="S48" s="3597"/>
      <c r="T48" s="3597">
        <f>G48</f>
        <v>0</v>
      </c>
      <c r="U48" s="3597"/>
      <c r="V48" s="3597">
        <f>I48</f>
        <v>0</v>
      </c>
      <c r="W48" s="3597"/>
      <c r="X48" s="799"/>
      <c r="Y48" s="1315"/>
      <c r="Z48" s="799"/>
      <c r="AA48" s="799"/>
      <c r="AB48" s="799"/>
      <c r="AC48" s="799"/>
    </row>
    <row r="49" spans="1:29" ht="15" thickBot="1">
      <c r="A49" s="564" t="s">
        <v>2042</v>
      </c>
      <c r="B49" s="813"/>
      <c r="C49" s="2083" t="e">
        <f>R50</f>
        <v>#DIV/0!</v>
      </c>
      <c r="D49" s="2550" t="s">
        <v>2261</v>
      </c>
      <c r="E49" s="2084" t="e">
        <f>R49</f>
        <v>#DIV/0!</v>
      </c>
      <c r="F49" s="2551"/>
      <c r="G49" s="2083" t="e">
        <f>T49</f>
        <v>#DIV/0!</v>
      </c>
      <c r="H49" s="2551"/>
      <c r="I49" s="2084" t="e">
        <f>V49</f>
        <v>#DIV/0!</v>
      </c>
      <c r="J49" s="2551"/>
      <c r="K49" s="2558">
        <f>F49+H49+J49</f>
        <v>0</v>
      </c>
      <c r="L49" s="1752"/>
      <c r="M49" s="1743"/>
      <c r="N49" s="1743"/>
      <c r="O49" s="1743"/>
      <c r="P49" s="3634" t="str">
        <f>A49</f>
        <v>比较价格（元/平方米）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799"/>
      <c r="Y49" s="799"/>
      <c r="Z49" s="799"/>
      <c r="AA49" s="799"/>
      <c r="AB49" s="799"/>
      <c r="AC49" s="799"/>
    </row>
    <row r="50" spans="1:29" ht="15" thickBot="1">
      <c r="A50" s="568" t="s">
        <v>2198</v>
      </c>
      <c r="B50" s="569"/>
      <c r="C50" s="469" t="e">
        <f>R50</f>
        <v>#DIV/0!</v>
      </c>
      <c r="D50" s="469"/>
      <c r="E50" s="469"/>
      <c r="F50" s="469"/>
      <c r="G50" s="469"/>
      <c r="H50" s="469"/>
      <c r="I50" s="469"/>
      <c r="J50" s="469"/>
      <c r="K50" s="1337"/>
      <c r="L50" s="1752"/>
      <c r="M50" s="1743"/>
      <c r="N50" s="1743"/>
      <c r="O50" s="1743"/>
      <c r="P50" s="3723" t="str">
        <f>A50</f>
        <v>估价对象XX用房的比较价格（楼面单价，元/平方米）</v>
      </c>
      <c r="Q50" s="3634"/>
      <c r="R50" s="3719" t="e">
        <f>IF(F1="售价",ROUND(IF(D49="简单平均",AVERAGE(R49:V49),R49*F49+T49*H49+V49*J49),0),ROUND(IF(D49="简单平均",AVERAGE(R49:V49),R49*F49+T49*H49+V49*J49),1))</f>
        <v>#DIV/0!</v>
      </c>
      <c r="S50" s="3719"/>
      <c r="T50" s="3719"/>
      <c r="U50" s="3719"/>
      <c r="V50" s="3719"/>
      <c r="W50" s="3719"/>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2.2"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4.4">
      <c r="A59" s="592" t="s">
        <v>478</v>
      </c>
      <c r="B59" s="593"/>
      <c r="C59" s="2114" t="str">
        <f>YEAR(C7)&amp;"-"&amp;MONTH(C7)</f>
        <v>2025-3</v>
      </c>
      <c r="D59" s="2116">
        <f>EDATE(C59,-1)</f>
        <v>45689</v>
      </c>
      <c r="E59" s="2116">
        <f t="shared" ref="E59:O59" si="13">EDATE(D59,-1)</f>
        <v>45658</v>
      </c>
      <c r="F59" s="2116">
        <f t="shared" si="13"/>
        <v>45627</v>
      </c>
      <c r="G59" s="2116">
        <f t="shared" si="13"/>
        <v>45597</v>
      </c>
      <c r="H59" s="2116">
        <f t="shared" si="13"/>
        <v>45566</v>
      </c>
      <c r="I59" s="2116">
        <f t="shared" si="13"/>
        <v>45536</v>
      </c>
      <c r="J59" s="2116">
        <f t="shared" si="13"/>
        <v>45505</v>
      </c>
      <c r="K59" s="2116">
        <f t="shared" si="13"/>
        <v>45474</v>
      </c>
      <c r="L59" s="2116">
        <f t="shared" si="13"/>
        <v>45444</v>
      </c>
      <c r="M59" s="2116">
        <f t="shared" si="13"/>
        <v>45413</v>
      </c>
      <c r="N59" s="2116">
        <f t="shared" si="13"/>
        <v>45383</v>
      </c>
      <c r="O59" s="2116">
        <f t="shared" si="13"/>
        <v>45352</v>
      </c>
      <c r="P59" s="1808"/>
      <c r="Q59" s="1766"/>
      <c r="R59" s="1766"/>
      <c r="S59" s="1766"/>
      <c r="T59" s="1766"/>
      <c r="U59" s="1766"/>
      <c r="V59" s="1766"/>
      <c r="W59" s="1766"/>
      <c r="X59" s="1766"/>
      <c r="Y59" s="1766"/>
      <c r="Z59" s="1766"/>
      <c r="AA59" s="1766"/>
      <c r="AB59" s="1766"/>
      <c r="AC59" s="1766"/>
    </row>
    <row r="60" spans="1:29" s="1060" customFormat="1">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4.4">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4.4"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ht="14.4">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4.4"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9.4"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4.4"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4.4"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4.4"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4.4"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4.4"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4.4"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4.4"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ht="14.4">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9.4"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4.4"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4.4"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4.4"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4.4"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4.4"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4.4"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4.4"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4.4"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4.4"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ht="14.4">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4.4"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4.4"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4.4"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4.4"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4.4"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4.4"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4.4"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4.4"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4.4">
      <c r="A4" s="463" t="s">
        <v>470</v>
      </c>
      <c r="B4" s="464"/>
      <c r="C4" s="3602" t="s">
        <v>471</v>
      </c>
      <c r="D4" s="3603"/>
      <c r="E4" s="3637" t="s">
        <v>472</v>
      </c>
      <c r="F4" s="3638"/>
      <c r="G4" s="3602" t="s">
        <v>473</v>
      </c>
      <c r="H4" s="3603"/>
      <c r="I4" s="3602" t="s">
        <v>474</v>
      </c>
      <c r="J4" s="3603"/>
      <c r="K4" s="465" t="s">
        <v>475</v>
      </c>
      <c r="L4" s="1742"/>
      <c r="M4" s="1743"/>
      <c r="N4" s="1743"/>
      <c r="O4" s="1743"/>
      <c r="P4" s="3604" t="s">
        <v>476</v>
      </c>
      <c r="Q4" s="3605"/>
      <c r="R4" s="3610" t="s">
        <v>472</v>
      </c>
      <c r="S4" s="3611"/>
      <c r="T4" s="3610" t="s">
        <v>473</v>
      </c>
      <c r="U4" s="3611"/>
      <c r="V4" s="3597" t="s">
        <v>474</v>
      </c>
      <c r="W4" s="3597"/>
      <c r="X4" s="1303"/>
      <c r="Y4" s="3610" t="s">
        <v>476</v>
      </c>
      <c r="Z4" s="3611"/>
      <c r="AA4" s="3599" t="s">
        <v>472</v>
      </c>
      <c r="AB4" s="3600" t="s">
        <v>473</v>
      </c>
      <c r="AC4" s="3599" t="s">
        <v>474</v>
      </c>
    </row>
    <row r="5" spans="1:29">
      <c r="A5" s="466"/>
      <c r="B5" s="467"/>
      <c r="C5" s="3618" t="s">
        <v>2192</v>
      </c>
      <c r="D5" s="3619"/>
      <c r="E5" s="3639" t="s">
        <v>2193</v>
      </c>
      <c r="F5" s="3640"/>
      <c r="G5" s="3618" t="s">
        <v>2194</v>
      </c>
      <c r="H5" s="3619"/>
      <c r="I5" s="3618" t="s">
        <v>2195</v>
      </c>
      <c r="J5" s="3619"/>
      <c r="K5" s="465"/>
      <c r="L5" s="1742"/>
      <c r="M5" s="1743"/>
      <c r="N5" s="1743"/>
      <c r="O5" s="1743"/>
      <c r="P5" s="3606"/>
      <c r="Q5" s="3607"/>
      <c r="R5" s="3612"/>
      <c r="S5" s="3613"/>
      <c r="T5" s="3612"/>
      <c r="U5" s="3613"/>
      <c r="V5" s="3597"/>
      <c r="W5" s="3597"/>
      <c r="X5" s="1303"/>
      <c r="Y5" s="3612"/>
      <c r="Z5" s="3613"/>
      <c r="AA5" s="3600"/>
      <c r="AB5" s="3600"/>
      <c r="AC5" s="3600"/>
    </row>
    <row r="6" spans="1:29" ht="15" thickBot="1">
      <c r="A6" s="468"/>
      <c r="B6" s="469"/>
      <c r="C6" s="3616" t="s">
        <v>2196</v>
      </c>
      <c r="D6" s="3617"/>
      <c r="E6" s="3635" t="s">
        <v>2196</v>
      </c>
      <c r="F6" s="3636"/>
      <c r="G6" s="3616" t="s">
        <v>2196</v>
      </c>
      <c r="H6" s="3617"/>
      <c r="I6" s="3616" t="s">
        <v>2196</v>
      </c>
      <c r="J6" s="3617"/>
      <c r="K6" s="465" t="s">
        <v>477</v>
      </c>
      <c r="L6" s="1742"/>
      <c r="M6" s="1743"/>
      <c r="N6" s="1743"/>
      <c r="O6" s="1743"/>
      <c r="P6" s="3608"/>
      <c r="Q6" s="3609"/>
      <c r="R6" s="3612"/>
      <c r="S6" s="3613"/>
      <c r="T6" s="3614"/>
      <c r="U6" s="3615"/>
      <c r="V6" s="3597"/>
      <c r="W6" s="3597"/>
      <c r="X6" s="1303"/>
      <c r="Y6" s="3614"/>
      <c r="Z6" s="3615"/>
      <c r="AA6" s="3601"/>
      <c r="AB6" s="3601"/>
      <c r="AC6" s="3601"/>
    </row>
    <row r="7" spans="1:29" s="1060" customFormat="1" ht="15" thickBot="1">
      <c r="A7" s="2209"/>
      <c r="B7" s="2216" t="s">
        <v>478</v>
      </c>
      <c r="C7" s="470">
        <f>'数据-取费表'!B2</f>
        <v>45730</v>
      </c>
      <c r="D7" s="471">
        <v>100</v>
      </c>
      <c r="E7" s="472"/>
      <c r="F7" s="473">
        <f>SUMIF(52:52,YEAR(E7)&amp;"-"&amp;MONTH(E7),53:53)</f>
        <v>0</v>
      </c>
      <c r="G7" s="472"/>
      <c r="H7" s="471">
        <f>SUMIF(52:52,YEAR(G7)&amp;"-"&amp;MONTH(G7),53:53)</f>
        <v>0</v>
      </c>
      <c r="I7" s="472"/>
      <c r="J7" s="471">
        <f>SUMIF(52:52,YEAR(I7)&amp;"-"&amp;MONTH(I7),53:53)</f>
        <v>0</v>
      </c>
      <c r="K7" s="88"/>
      <c r="L7" s="1744"/>
      <c r="M7" s="1641"/>
      <c r="N7" s="1641"/>
      <c r="O7" s="1641"/>
      <c r="P7" s="3626" t="s">
        <v>479</v>
      </c>
      <c r="Q7" s="3628"/>
      <c r="R7" s="1304" t="s">
        <v>5</v>
      </c>
      <c r="S7" s="1305">
        <f t="shared" ref="S7:S15" si="0">F7</f>
        <v>0</v>
      </c>
      <c r="T7" s="1304" t="s">
        <v>5</v>
      </c>
      <c r="U7" s="1305">
        <f t="shared" ref="U7:U15" si="1">H7</f>
        <v>0</v>
      </c>
      <c r="V7" s="1304" t="s">
        <v>5</v>
      </c>
      <c r="W7" s="1305">
        <f t="shared" ref="W7:W15" si="2">J7</f>
        <v>0</v>
      </c>
      <c r="X7" s="1306"/>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26" t="s">
        <v>482</v>
      </c>
      <c r="Q8" s="3627"/>
      <c r="R8" s="1304" t="s">
        <v>5</v>
      </c>
      <c r="S8" s="1305">
        <f t="shared" si="0"/>
        <v>0</v>
      </c>
      <c r="T8" s="1304" t="s">
        <v>5</v>
      </c>
      <c r="U8" s="1305">
        <f t="shared" si="1"/>
        <v>0</v>
      </c>
      <c r="V8" s="1304" t="s">
        <v>5</v>
      </c>
      <c r="W8" s="1305">
        <f t="shared" si="2"/>
        <v>0</v>
      </c>
      <c r="X8" s="1306"/>
      <c r="Y8" s="3626" t="s">
        <v>482</v>
      </c>
      <c r="Z8" s="3627"/>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96" t="s">
        <v>484</v>
      </c>
      <c r="Q9" s="818" t="str">
        <f t="shared" ref="Q9:Q15" si="6">B9</f>
        <v>用途</v>
      </c>
      <c r="R9" s="1304" t="s">
        <v>5</v>
      </c>
      <c r="S9" s="1305">
        <f t="shared" si="0"/>
        <v>100</v>
      </c>
      <c r="T9" s="1304" t="s">
        <v>5</v>
      </c>
      <c r="U9" s="1305">
        <f t="shared" si="1"/>
        <v>100</v>
      </c>
      <c r="V9" s="1304" t="s">
        <v>5</v>
      </c>
      <c r="W9" s="1305">
        <f t="shared" si="2"/>
        <v>100</v>
      </c>
      <c r="X9" s="1306"/>
      <c r="Y9" s="3540" t="s">
        <v>485</v>
      </c>
      <c r="Z9" s="997" t="str">
        <f t="shared" ref="Z9:Z15" si="7">Q9</f>
        <v>用途</v>
      </c>
      <c r="AA9" s="997">
        <f t="shared" si="3"/>
        <v>1</v>
      </c>
      <c r="AB9" s="997">
        <f t="shared" si="4"/>
        <v>1</v>
      </c>
      <c r="AC9" s="997">
        <f t="shared" si="5"/>
        <v>1</v>
      </c>
    </row>
    <row r="10" spans="1:29" s="1133" customFormat="1" ht="28.8">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96"/>
      <c r="Q11" s="818" t="str">
        <f t="shared" si="6"/>
        <v>容积率</v>
      </c>
      <c r="R11" s="1304" t="s">
        <v>5</v>
      </c>
      <c r="S11" s="1305" t="e">
        <f t="shared" si="0"/>
        <v>#N/A</v>
      </c>
      <c r="T11" s="1304" t="s">
        <v>5</v>
      </c>
      <c r="U11" s="1305" t="e">
        <f t="shared" si="1"/>
        <v>#N/A</v>
      </c>
      <c r="V11" s="1304" t="s">
        <v>5</v>
      </c>
      <c r="W11" s="1305" t="e">
        <f t="shared" si="2"/>
        <v>#N/A</v>
      </c>
      <c r="X11" s="1306"/>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96"/>
      <c r="Q12" s="818">
        <f t="shared" si="6"/>
        <v>111</v>
      </c>
      <c r="R12" s="1304" t="s">
        <v>5</v>
      </c>
      <c r="S12" s="1305">
        <f t="shared" si="0"/>
        <v>100</v>
      </c>
      <c r="T12" s="1304" t="s">
        <v>5</v>
      </c>
      <c r="U12" s="1305">
        <f t="shared" si="1"/>
        <v>100</v>
      </c>
      <c r="V12" s="1304" t="s">
        <v>5</v>
      </c>
      <c r="W12" s="1305">
        <f t="shared" si="2"/>
        <v>100</v>
      </c>
      <c r="X12" s="1306"/>
      <c r="Y12" s="3540"/>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96"/>
      <c r="Q13" s="818">
        <f t="shared" si="6"/>
        <v>111</v>
      </c>
      <c r="R13" s="1304" t="s">
        <v>5</v>
      </c>
      <c r="S13" s="1305">
        <f t="shared" si="0"/>
        <v>100</v>
      </c>
      <c r="T13" s="1304" t="s">
        <v>5</v>
      </c>
      <c r="U13" s="1305">
        <f t="shared" si="1"/>
        <v>100</v>
      </c>
      <c r="V13" s="1304" t="s">
        <v>5</v>
      </c>
      <c r="W13" s="1305">
        <f t="shared" si="2"/>
        <v>100</v>
      </c>
      <c r="X13" s="1306"/>
      <c r="Y13" s="3540"/>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96"/>
      <c r="Q14" s="818">
        <f t="shared" si="6"/>
        <v>111</v>
      </c>
      <c r="R14" s="1304" t="s">
        <v>5</v>
      </c>
      <c r="S14" s="1305">
        <f t="shared" si="0"/>
        <v>100</v>
      </c>
      <c r="T14" s="1304" t="s">
        <v>5</v>
      </c>
      <c r="U14" s="1305">
        <f t="shared" si="1"/>
        <v>100</v>
      </c>
      <c r="V14" s="1304" t="s">
        <v>5</v>
      </c>
      <c r="W14" s="1305">
        <f t="shared" si="2"/>
        <v>100</v>
      </c>
      <c r="X14" s="1306"/>
      <c r="Y14" s="3540"/>
      <c r="Z14" s="997">
        <f t="shared" si="7"/>
        <v>111</v>
      </c>
      <c r="AA14" s="997">
        <f t="shared" si="3"/>
        <v>1</v>
      </c>
      <c r="AB14" s="997">
        <f t="shared" si="4"/>
        <v>1</v>
      </c>
      <c r="AC14" s="997">
        <f t="shared" si="5"/>
        <v>1</v>
      </c>
    </row>
    <row r="15" spans="1:29" ht="69">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29" t="s">
        <v>489</v>
      </c>
      <c r="Q15" s="1307" t="str">
        <f t="shared" si="6"/>
        <v>产业集聚程度</v>
      </c>
      <c r="R15" s="1308" t="s">
        <v>5</v>
      </c>
      <c r="S15" s="1309">
        <f t="shared" si="0"/>
        <v>100</v>
      </c>
      <c r="T15" s="1308" t="s">
        <v>5</v>
      </c>
      <c r="U15" s="1309">
        <f t="shared" si="1"/>
        <v>100</v>
      </c>
      <c r="V15" s="1308" t="s">
        <v>5</v>
      </c>
      <c r="W15" s="1309">
        <f t="shared" si="2"/>
        <v>100</v>
      </c>
      <c r="X15" s="1303"/>
      <c r="Y15" s="3629"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0"/>
      <c r="Q16" s="1307"/>
      <c r="R16" s="1308"/>
      <c r="S16" s="1309"/>
      <c r="T16" s="1308"/>
      <c r="U16" s="1309"/>
      <c r="V16" s="1308"/>
      <c r="W16" s="1309"/>
      <c r="X16" s="1303"/>
      <c r="Y16" s="3630"/>
      <c r="Z16" s="1310"/>
      <c r="AA16" s="1310">
        <v>1</v>
      </c>
      <c r="AB16" s="1310">
        <v>1</v>
      </c>
      <c r="AC16" s="1310">
        <v>1</v>
      </c>
    </row>
    <row r="17" spans="1:29" ht="96.6">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0"/>
      <c r="Q17" s="1307" t="str">
        <f>B17</f>
        <v>交通便捷度</v>
      </c>
      <c r="R17" s="1308" t="s">
        <v>5</v>
      </c>
      <c r="S17" s="1309">
        <f>F17</f>
        <v>100</v>
      </c>
      <c r="T17" s="1308" t="s">
        <v>5</v>
      </c>
      <c r="U17" s="1309">
        <f>H17</f>
        <v>100</v>
      </c>
      <c r="V17" s="1308" t="s">
        <v>5</v>
      </c>
      <c r="W17" s="1309">
        <f>J17</f>
        <v>100</v>
      </c>
      <c r="X17" s="1303"/>
      <c r="Y17" s="363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0"/>
      <c r="Q18" s="1307"/>
      <c r="R18" s="1308"/>
      <c r="S18" s="1309"/>
      <c r="T18" s="1308"/>
      <c r="U18" s="1309"/>
      <c r="V18" s="1308"/>
      <c r="W18" s="1309"/>
      <c r="X18" s="1303"/>
      <c r="Y18" s="3630"/>
      <c r="Z18" s="1310"/>
      <c r="AA18" s="1310">
        <v>1</v>
      </c>
      <c r="AB18" s="1310">
        <v>1</v>
      </c>
      <c r="AC18" s="1310">
        <v>1</v>
      </c>
    </row>
    <row r="19" spans="1:29" ht="41.4">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0"/>
      <c r="Q19" s="1307" t="str">
        <f>B19</f>
        <v>公共配套设施</v>
      </c>
      <c r="R19" s="1308" t="s">
        <v>5</v>
      </c>
      <c r="S19" s="1309">
        <f>F19</f>
        <v>100</v>
      </c>
      <c r="T19" s="1308" t="s">
        <v>5</v>
      </c>
      <c r="U19" s="1309">
        <f>H19</f>
        <v>100</v>
      </c>
      <c r="V19" s="1308" t="s">
        <v>5</v>
      </c>
      <c r="W19" s="1309">
        <f>J19</f>
        <v>100</v>
      </c>
      <c r="X19" s="1303"/>
      <c r="Y19" s="3630"/>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0"/>
      <c r="Q20" s="1307"/>
      <c r="R20" s="1308"/>
      <c r="S20" s="1309"/>
      <c r="T20" s="1308"/>
      <c r="U20" s="1309"/>
      <c r="V20" s="1308"/>
      <c r="W20" s="1309"/>
      <c r="X20" s="1303"/>
      <c r="Y20" s="3630"/>
      <c r="Z20" s="1310"/>
      <c r="AA20" s="1310">
        <v>1</v>
      </c>
      <c r="AB20" s="1310">
        <v>1</v>
      </c>
      <c r="AC20" s="1310">
        <v>1</v>
      </c>
    </row>
    <row r="21" spans="1:29" ht="41.4">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0"/>
      <c r="Q21" s="1307" t="str">
        <f>B21</f>
        <v>基础设施水平</v>
      </c>
      <c r="R21" s="1308" t="s">
        <v>5</v>
      </c>
      <c r="S21" s="1309">
        <f>F21</f>
        <v>100</v>
      </c>
      <c r="T21" s="1308" t="s">
        <v>5</v>
      </c>
      <c r="U21" s="1309">
        <f>H21</f>
        <v>100</v>
      </c>
      <c r="V21" s="1308" t="s">
        <v>5</v>
      </c>
      <c r="W21" s="1309">
        <f>J21</f>
        <v>100</v>
      </c>
      <c r="X21" s="1303"/>
      <c r="Y21" s="3630"/>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0"/>
      <c r="Q22" s="1307"/>
      <c r="R22" s="1308"/>
      <c r="S22" s="1309"/>
      <c r="T22" s="1308"/>
      <c r="U22" s="1309"/>
      <c r="V22" s="1308"/>
      <c r="W22" s="1309"/>
      <c r="X22" s="1303"/>
      <c r="Y22" s="3630"/>
      <c r="Z22" s="1310"/>
      <c r="AA22" s="1310">
        <v>1</v>
      </c>
      <c r="AB22" s="1310">
        <v>1</v>
      </c>
      <c r="AC22" s="1310">
        <v>1</v>
      </c>
    </row>
    <row r="23" spans="1:29" ht="82.8">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0"/>
      <c r="Q23" s="1307" t="str">
        <f>B23</f>
        <v>环境质量</v>
      </c>
      <c r="R23" s="1308" t="s">
        <v>5</v>
      </c>
      <c r="S23" s="1309">
        <f>F23</f>
        <v>100</v>
      </c>
      <c r="T23" s="1308" t="s">
        <v>5</v>
      </c>
      <c r="U23" s="1309">
        <f>H23</f>
        <v>100</v>
      </c>
      <c r="V23" s="1308" t="s">
        <v>5</v>
      </c>
      <c r="W23" s="1309">
        <f>J23</f>
        <v>100</v>
      </c>
      <c r="X23" s="1303"/>
      <c r="Y23" s="3630"/>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0"/>
      <c r="Q24" s="1307"/>
      <c r="R24" s="1308"/>
      <c r="S24" s="1309"/>
      <c r="T24" s="1308"/>
      <c r="U24" s="1309"/>
      <c r="V24" s="1308"/>
      <c r="W24" s="1309"/>
      <c r="X24" s="1303"/>
      <c r="Y24" s="3630"/>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0"/>
      <c r="Q25" s="1307">
        <f>B25</f>
        <v>111</v>
      </c>
      <c r="R25" s="1308" t="s">
        <v>5</v>
      </c>
      <c r="S25" s="1309">
        <f>F25</f>
        <v>100</v>
      </c>
      <c r="T25" s="1308" t="s">
        <v>5</v>
      </c>
      <c r="U25" s="1309">
        <f>H25</f>
        <v>100</v>
      </c>
      <c r="V25" s="1308" t="s">
        <v>5</v>
      </c>
      <c r="W25" s="1309">
        <f>J25</f>
        <v>100</v>
      </c>
      <c r="X25" s="1303"/>
      <c r="Y25" s="3630"/>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0"/>
      <c r="Q26" s="1307">
        <f t="shared" ref="Q26:Q40" si="8">B26</f>
        <v>111</v>
      </c>
      <c r="R26" s="1308" t="s">
        <v>5</v>
      </c>
      <c r="S26" s="1309">
        <f>F26</f>
        <v>100</v>
      </c>
      <c r="T26" s="1308" t="s">
        <v>5</v>
      </c>
      <c r="U26" s="1309">
        <f>H26</f>
        <v>100</v>
      </c>
      <c r="V26" s="1308" t="s">
        <v>5</v>
      </c>
      <c r="W26" s="1309">
        <f>J26</f>
        <v>100</v>
      </c>
      <c r="X26" s="1303"/>
      <c r="Y26" s="3630"/>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0"/>
      <c r="Q27" s="818">
        <f t="shared" si="8"/>
        <v>111</v>
      </c>
      <c r="R27" s="1304" t="s">
        <v>5</v>
      </c>
      <c r="S27" s="1305">
        <f>F27</f>
        <v>100</v>
      </c>
      <c r="T27" s="1304" t="s">
        <v>5</v>
      </c>
      <c r="U27" s="1305">
        <f>H27</f>
        <v>100</v>
      </c>
      <c r="V27" s="1304" t="s">
        <v>5</v>
      </c>
      <c r="W27" s="1305">
        <f>J27</f>
        <v>100</v>
      </c>
      <c r="X27" s="1306"/>
      <c r="Y27" s="3630"/>
      <c r="Z27" s="997">
        <f>Q27</f>
        <v>111</v>
      </c>
      <c r="AA27" s="1310">
        <f>D27/F27</f>
        <v>1</v>
      </c>
      <c r="AB27" s="1310">
        <f>D27/H27</f>
        <v>1</v>
      </c>
      <c r="AC27" s="1310">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0"/>
      <c r="Q28" s="1307">
        <f t="shared" si="8"/>
        <v>111</v>
      </c>
      <c r="R28" s="1308" t="s">
        <v>5</v>
      </c>
      <c r="S28" s="1309">
        <f t="shared" ref="S28:S40" si="9">F28</f>
        <v>100</v>
      </c>
      <c r="T28" s="1308" t="s">
        <v>5</v>
      </c>
      <c r="U28" s="1309">
        <f t="shared" ref="U28:U40" si="10">H28</f>
        <v>100</v>
      </c>
      <c r="V28" s="1308" t="s">
        <v>5</v>
      </c>
      <c r="W28" s="1309">
        <f t="shared" ref="W28:W40" si="11">J28</f>
        <v>100</v>
      </c>
      <c r="X28" s="1303"/>
      <c r="Y28" s="3630"/>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1" t="s">
        <v>499</v>
      </c>
      <c r="Q29" s="1307" t="str">
        <f t="shared" si="8"/>
        <v>建筑类型</v>
      </c>
      <c r="R29" s="1308" t="s">
        <v>5</v>
      </c>
      <c r="S29" s="1309">
        <f t="shared" si="9"/>
        <v>100</v>
      </c>
      <c r="T29" s="1308" t="s">
        <v>5</v>
      </c>
      <c r="U29" s="1309">
        <f t="shared" si="10"/>
        <v>100</v>
      </c>
      <c r="V29" s="1308" t="s">
        <v>5</v>
      </c>
      <c r="W29" s="1309">
        <f t="shared" si="11"/>
        <v>100</v>
      </c>
      <c r="X29" s="1303"/>
      <c r="Y29" s="3632"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2"/>
      <c r="Q30" s="819" t="str">
        <f t="shared" si="8"/>
        <v>项目建筑规模</v>
      </c>
      <c r="R30" s="1311" t="s">
        <v>5</v>
      </c>
      <c r="S30" s="1312" t="e">
        <f t="shared" si="9"/>
        <v>#N/A</v>
      </c>
      <c r="T30" s="1311" t="s">
        <v>5</v>
      </c>
      <c r="U30" s="1312" t="e">
        <f t="shared" si="10"/>
        <v>#N/A</v>
      </c>
      <c r="V30" s="1311" t="s">
        <v>5</v>
      </c>
      <c r="W30" s="1312" t="e">
        <f t="shared" si="11"/>
        <v>#N/A</v>
      </c>
      <c r="X30" s="1313"/>
      <c r="Y30" s="3632"/>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2"/>
      <c r="Q31" s="1307" t="str">
        <f t="shared" si="8"/>
        <v>建筑结构</v>
      </c>
      <c r="R31" s="1308" t="s">
        <v>5</v>
      </c>
      <c r="S31" s="1309">
        <f t="shared" si="9"/>
        <v>100</v>
      </c>
      <c r="T31" s="1308" t="s">
        <v>5</v>
      </c>
      <c r="U31" s="1309">
        <f t="shared" si="10"/>
        <v>100</v>
      </c>
      <c r="V31" s="1308" t="s">
        <v>5</v>
      </c>
      <c r="W31" s="1309">
        <f t="shared" si="11"/>
        <v>100</v>
      </c>
      <c r="X31" s="1303"/>
      <c r="Y31" s="3632"/>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2"/>
      <c r="Q32" s="1307" t="str">
        <f t="shared" si="8"/>
        <v>公共部分装修</v>
      </c>
      <c r="R32" s="1308" t="s">
        <v>5</v>
      </c>
      <c r="S32" s="1309">
        <f t="shared" si="9"/>
        <v>100</v>
      </c>
      <c r="T32" s="1308" t="s">
        <v>5</v>
      </c>
      <c r="U32" s="1309">
        <f t="shared" si="10"/>
        <v>100</v>
      </c>
      <c r="V32" s="1308" t="s">
        <v>5</v>
      </c>
      <c r="W32" s="1309">
        <f t="shared" si="11"/>
        <v>100</v>
      </c>
      <c r="X32" s="1303"/>
      <c r="Y32" s="3632"/>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2"/>
      <c r="Q33" s="1307" t="str">
        <f t="shared" si="8"/>
        <v>成新度</v>
      </c>
      <c r="R33" s="1308" t="s">
        <v>5</v>
      </c>
      <c r="S33" s="1309" t="e">
        <f t="shared" si="9"/>
        <v>#N/A</v>
      </c>
      <c r="T33" s="1308" t="s">
        <v>5</v>
      </c>
      <c r="U33" s="1309" t="e">
        <f t="shared" si="10"/>
        <v>#N/A</v>
      </c>
      <c r="V33" s="1308" t="s">
        <v>5</v>
      </c>
      <c r="W33" s="1309" t="e">
        <f t="shared" si="11"/>
        <v>#N/A</v>
      </c>
      <c r="X33" s="1303"/>
      <c r="Y33" s="3632"/>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2"/>
      <c r="Q34" s="818" t="str">
        <f t="shared" si="8"/>
        <v>物业管理</v>
      </c>
      <c r="R34" s="1304" t="s">
        <v>5</v>
      </c>
      <c r="S34" s="1305">
        <f t="shared" si="9"/>
        <v>100</v>
      </c>
      <c r="T34" s="1304" t="s">
        <v>5</v>
      </c>
      <c r="U34" s="1305">
        <f t="shared" si="10"/>
        <v>100</v>
      </c>
      <c r="V34" s="1304" t="s">
        <v>5</v>
      </c>
      <c r="W34" s="1305">
        <f t="shared" si="11"/>
        <v>100</v>
      </c>
      <c r="X34" s="1306"/>
      <c r="Y34" s="3632"/>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2" t="s">
        <v>499</v>
      </c>
      <c r="Q35" s="1307" t="str">
        <f t="shared" si="8"/>
        <v>市政基础设施</v>
      </c>
      <c r="R35" s="1308" t="s">
        <v>5</v>
      </c>
      <c r="S35" s="1309">
        <f t="shared" si="9"/>
        <v>100</v>
      </c>
      <c r="T35" s="1308" t="s">
        <v>5</v>
      </c>
      <c r="U35" s="1309">
        <f t="shared" si="10"/>
        <v>100</v>
      </c>
      <c r="V35" s="1308" t="s">
        <v>5</v>
      </c>
      <c r="W35" s="1309">
        <f t="shared" si="11"/>
        <v>100</v>
      </c>
      <c r="X35" s="1303"/>
      <c r="Y35" s="3632"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2"/>
      <c r="Q36" s="1307" t="str">
        <f t="shared" si="8"/>
        <v>内部装修</v>
      </c>
      <c r="R36" s="1308" t="s">
        <v>5</v>
      </c>
      <c r="S36" s="1309">
        <f t="shared" si="9"/>
        <v>100</v>
      </c>
      <c r="T36" s="1308" t="s">
        <v>5</v>
      </c>
      <c r="U36" s="1309">
        <f t="shared" si="10"/>
        <v>100</v>
      </c>
      <c r="V36" s="1308" t="s">
        <v>5</v>
      </c>
      <c r="W36" s="1309">
        <f t="shared" si="11"/>
        <v>100</v>
      </c>
      <c r="X36" s="1303"/>
      <c r="Y36" s="3632"/>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2"/>
      <c r="Q37" s="1307" t="str">
        <f t="shared" si="8"/>
        <v>内部装修状况</v>
      </c>
      <c r="R37" s="1308" t="s">
        <v>5</v>
      </c>
      <c r="S37" s="1309">
        <f t="shared" si="9"/>
        <v>100</v>
      </c>
      <c r="T37" s="1308" t="s">
        <v>5</v>
      </c>
      <c r="U37" s="1309">
        <f t="shared" si="10"/>
        <v>100</v>
      </c>
      <c r="V37" s="1308" t="s">
        <v>5</v>
      </c>
      <c r="W37" s="1309">
        <f t="shared" si="11"/>
        <v>100</v>
      </c>
      <c r="X37" s="1303"/>
      <c r="Y37" s="3632"/>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2"/>
      <c r="Q38" s="819">
        <f t="shared" si="8"/>
        <v>111</v>
      </c>
      <c r="R38" s="1311" t="s">
        <v>5</v>
      </c>
      <c r="S38" s="1312">
        <f t="shared" si="9"/>
        <v>100</v>
      </c>
      <c r="T38" s="1311" t="s">
        <v>5</v>
      </c>
      <c r="U38" s="1312">
        <f t="shared" si="10"/>
        <v>100</v>
      </c>
      <c r="V38" s="1311" t="s">
        <v>5</v>
      </c>
      <c r="W38" s="1312">
        <f t="shared" si="11"/>
        <v>100</v>
      </c>
      <c r="X38" s="1313"/>
      <c r="Y38" s="3632"/>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2"/>
      <c r="Q39" s="1307">
        <f t="shared" si="8"/>
        <v>111</v>
      </c>
      <c r="R39" s="1308" t="s">
        <v>5</v>
      </c>
      <c r="S39" s="1309">
        <f t="shared" si="9"/>
        <v>100</v>
      </c>
      <c r="T39" s="1308" t="s">
        <v>5</v>
      </c>
      <c r="U39" s="1309">
        <f t="shared" si="10"/>
        <v>100</v>
      </c>
      <c r="V39" s="1308" t="s">
        <v>5</v>
      </c>
      <c r="W39" s="1309">
        <f t="shared" si="11"/>
        <v>100</v>
      </c>
      <c r="X39" s="1303"/>
      <c r="Y39" s="3632"/>
      <c r="Z39" s="1310">
        <f t="shared" si="12"/>
        <v>111</v>
      </c>
      <c r="AA39" s="1310">
        <f t="shared" si="3"/>
        <v>1</v>
      </c>
      <c r="AB39" s="1310">
        <f t="shared" si="4"/>
        <v>1</v>
      </c>
      <c r="AC39" s="1310">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0"/>
      <c r="Q40" s="1307">
        <f t="shared" si="8"/>
        <v>111</v>
      </c>
      <c r="R40" s="1308" t="s">
        <v>5</v>
      </c>
      <c r="S40" s="1309">
        <f t="shared" si="9"/>
        <v>100</v>
      </c>
      <c r="T40" s="1308" t="s">
        <v>5</v>
      </c>
      <c r="U40" s="1309">
        <f t="shared" si="10"/>
        <v>100</v>
      </c>
      <c r="V40" s="1308" t="s">
        <v>5</v>
      </c>
      <c r="W40" s="1309">
        <f t="shared" si="11"/>
        <v>100</v>
      </c>
      <c r="X40" s="1303"/>
      <c r="Y40" s="3720"/>
      <c r="Z40" s="1310">
        <f t="shared" si="12"/>
        <v>111</v>
      </c>
      <c r="AA40" s="1310">
        <f t="shared" si="3"/>
        <v>1</v>
      </c>
      <c r="AB40" s="1310">
        <f t="shared" si="4"/>
        <v>1</v>
      </c>
      <c r="AC40" s="1310">
        <f t="shared" si="5"/>
        <v>1</v>
      </c>
    </row>
    <row r="41" spans="1:29" ht="14.4">
      <c r="A41" s="556" t="s">
        <v>683</v>
      </c>
      <c r="B41" s="812"/>
      <c r="C41" s="2082" t="s">
        <v>0</v>
      </c>
      <c r="D41" s="559"/>
      <c r="E41" s="560"/>
      <c r="F41" s="561"/>
      <c r="G41" s="562"/>
      <c r="H41" s="563"/>
      <c r="I41" s="560"/>
      <c r="J41" s="563"/>
      <c r="K41" s="1336"/>
      <c r="L41" s="1752"/>
      <c r="M41" s="1743"/>
      <c r="N41" s="1743"/>
      <c r="O41" s="1743"/>
      <c r="P41" s="3596" t="str">
        <f>A41</f>
        <v>成交单价（元/平方米）</v>
      </c>
      <c r="Q41" s="3596"/>
      <c r="R41" s="3597">
        <f>E41</f>
        <v>0</v>
      </c>
      <c r="S41" s="3597"/>
      <c r="T41" s="3597">
        <f>G41</f>
        <v>0</v>
      </c>
      <c r="U41" s="3597"/>
      <c r="V41" s="3597">
        <f>I41</f>
        <v>0</v>
      </c>
      <c r="W41" s="3597"/>
      <c r="X41" s="799"/>
      <c r="Y41" s="1315"/>
      <c r="Z41" s="799"/>
      <c r="AA41" s="799"/>
      <c r="AB41" s="799"/>
      <c r="AC41" s="799"/>
    </row>
    <row r="42" spans="1:29" ht="15" thickBot="1">
      <c r="A42" s="564" t="s">
        <v>2042</v>
      </c>
      <c r="B42" s="813"/>
      <c r="C42" s="2083" t="e">
        <f>R43</f>
        <v>#DIV/0!</v>
      </c>
      <c r="D42" s="2550" t="s">
        <v>2261</v>
      </c>
      <c r="E42" s="2084" t="e">
        <f>R42</f>
        <v>#DIV/0!</v>
      </c>
      <c r="F42" s="2551"/>
      <c r="G42" s="2083" t="e">
        <f>T42</f>
        <v>#DIV/0!</v>
      </c>
      <c r="H42" s="2551"/>
      <c r="I42" s="2084" t="e">
        <f>V42</f>
        <v>#DIV/0!</v>
      </c>
      <c r="J42" s="2551"/>
      <c r="K42" s="2558">
        <f>F42+H42+J42</f>
        <v>0</v>
      </c>
      <c r="L42" s="1752"/>
      <c r="M42" s="1743"/>
      <c r="N42" s="1743"/>
      <c r="O42" s="1743"/>
      <c r="P42" s="3596" t="str">
        <f>A42</f>
        <v>比较价格（元/平方米）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799"/>
      <c r="Y42" s="799"/>
      <c r="Z42" s="799"/>
      <c r="AA42" s="799"/>
      <c r="AB42" s="799"/>
      <c r="AC42" s="799"/>
    </row>
    <row r="43" spans="1:29" ht="15" thickBot="1">
      <c r="A43" s="568" t="s">
        <v>2198</v>
      </c>
      <c r="B43" s="569"/>
      <c r="C43" s="469" t="e">
        <f>R43</f>
        <v>#DIV/0!</v>
      </c>
      <c r="D43" s="469"/>
      <c r="E43" s="469"/>
      <c r="F43" s="469"/>
      <c r="G43" s="469"/>
      <c r="H43" s="469"/>
      <c r="I43" s="469"/>
      <c r="J43" s="469"/>
      <c r="K43" s="1337"/>
      <c r="L43" s="1752"/>
      <c r="M43" s="1743"/>
      <c r="N43" s="1743"/>
      <c r="O43" s="1743"/>
      <c r="P43" s="3633" t="str">
        <f>A43</f>
        <v>估价对象XX用房的比较价格（楼面单价，元/平方米）</v>
      </c>
      <c r="Q43" s="3634"/>
      <c r="R43" s="3719" t="e">
        <f>IF(F1="售价",ROUND(IF(D42="简单平均",AVERAGE(R42:V42),R42*F42+T42*H42+V42*J42),0),ROUND(IF(D42="简单平均",AVERAGE(R42:V42),R42*F42+T42*H42+V42*J42),1))</f>
        <v>#DIV/0!</v>
      </c>
      <c r="S43" s="3719"/>
      <c r="T43" s="3719"/>
      <c r="U43" s="3719"/>
      <c r="V43" s="3719"/>
      <c r="W43" s="3719"/>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2.2"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4.4">
      <c r="A52" s="592" t="s">
        <v>478</v>
      </c>
      <c r="B52" s="593"/>
      <c r="C52" s="2114" t="str">
        <f>YEAR(C7)&amp;"-"&amp;MONTH(C7)</f>
        <v>2025-3</v>
      </c>
      <c r="D52" s="2116">
        <f>EDATE(C52,-1)</f>
        <v>45689</v>
      </c>
      <c r="E52" s="2116">
        <f t="shared" ref="E52:O52" si="13">EDATE(D52,-1)</f>
        <v>45658</v>
      </c>
      <c r="F52" s="2116">
        <f t="shared" si="13"/>
        <v>45627</v>
      </c>
      <c r="G52" s="2116">
        <f t="shared" si="13"/>
        <v>45597</v>
      </c>
      <c r="H52" s="2116">
        <f t="shared" si="13"/>
        <v>45566</v>
      </c>
      <c r="I52" s="2116">
        <f t="shared" si="13"/>
        <v>45536</v>
      </c>
      <c r="J52" s="2116">
        <f t="shared" si="13"/>
        <v>45505</v>
      </c>
      <c r="K52" s="2116">
        <f t="shared" si="13"/>
        <v>45474</v>
      </c>
      <c r="L52" s="2116">
        <f t="shared" si="13"/>
        <v>45444</v>
      </c>
      <c r="M52" s="2116">
        <f t="shared" si="13"/>
        <v>45413</v>
      </c>
      <c r="N52" s="2116">
        <f t="shared" si="13"/>
        <v>45383</v>
      </c>
      <c r="O52" s="2116">
        <f t="shared" si="13"/>
        <v>45352</v>
      </c>
      <c r="P52" s="1766"/>
      <c r="Q52" s="1766"/>
      <c r="R52" s="1766"/>
      <c r="S52" s="1766"/>
      <c r="T52" s="1766"/>
      <c r="U52" s="1766"/>
      <c r="V52" s="1766"/>
      <c r="W52" s="1766"/>
      <c r="X52" s="1766"/>
      <c r="Y52" s="1766"/>
      <c r="Z52" s="1766"/>
      <c r="AA52" s="1766"/>
      <c r="AB52" s="1766"/>
      <c r="AC52" s="1766"/>
    </row>
    <row r="53" spans="1:29" s="1060" customFormat="1">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4.4">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4.4"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ht="14.4">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9.4"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4.4"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4.4"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4.4"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4.4"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4.4"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4.4"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4.4"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ht="14.4">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4.4"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4.4"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4.4"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4.4"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4.4"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4.4"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4.4"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4.4"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ht="14.4">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4.4"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4.4"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4.4"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4.4"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4.4"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4.4">
      <c r="A4" s="463" t="s">
        <v>737</v>
      </c>
      <c r="B4" s="464"/>
      <c r="C4" s="3602" t="s">
        <v>738</v>
      </c>
      <c r="D4" s="3603"/>
      <c r="E4" s="3602" t="s">
        <v>739</v>
      </c>
      <c r="F4" s="3603"/>
      <c r="G4" s="3602" t="s">
        <v>740</v>
      </c>
      <c r="H4" s="3603"/>
      <c r="I4" s="3602" t="s">
        <v>741</v>
      </c>
      <c r="J4" s="3603"/>
      <c r="K4" s="465" t="s">
        <v>742</v>
      </c>
      <c r="L4" s="1742"/>
      <c r="M4" s="1743"/>
      <c r="N4" s="1743"/>
      <c r="O4" s="1743"/>
      <c r="P4" s="3604" t="s">
        <v>743</v>
      </c>
      <c r="Q4" s="3605"/>
      <c r="R4" s="3610" t="s">
        <v>739</v>
      </c>
      <c r="S4" s="3611"/>
      <c r="T4" s="3610" t="s">
        <v>740</v>
      </c>
      <c r="U4" s="3611"/>
      <c r="V4" s="3597" t="s">
        <v>741</v>
      </c>
      <c r="W4" s="3597"/>
      <c r="X4" s="1303"/>
      <c r="Y4" s="3610" t="s">
        <v>743</v>
      </c>
      <c r="Z4" s="3611"/>
      <c r="AA4" s="3599" t="s">
        <v>739</v>
      </c>
      <c r="AB4" s="3600" t="s">
        <v>740</v>
      </c>
      <c r="AC4" s="3599" t="s">
        <v>741</v>
      </c>
    </row>
    <row r="5" spans="1:29">
      <c r="A5" s="466"/>
      <c r="B5" s="467"/>
      <c r="C5" s="3618" t="s">
        <v>2192</v>
      </c>
      <c r="D5" s="3619"/>
      <c r="E5" s="3618" t="s">
        <v>2193</v>
      </c>
      <c r="F5" s="3619"/>
      <c r="G5" s="3618" t="s">
        <v>2194</v>
      </c>
      <c r="H5" s="3619"/>
      <c r="I5" s="3618" t="s">
        <v>2195</v>
      </c>
      <c r="J5" s="3619"/>
      <c r="K5" s="465"/>
      <c r="L5" s="1742"/>
      <c r="M5" s="1743"/>
      <c r="N5" s="1743"/>
      <c r="O5" s="1743"/>
      <c r="P5" s="3606"/>
      <c r="Q5" s="3607"/>
      <c r="R5" s="3612"/>
      <c r="S5" s="3613"/>
      <c r="T5" s="3612"/>
      <c r="U5" s="3613"/>
      <c r="V5" s="3597"/>
      <c r="W5" s="3597"/>
      <c r="X5" s="1303"/>
      <c r="Y5" s="3612"/>
      <c r="Z5" s="3613"/>
      <c r="AA5" s="3600"/>
      <c r="AB5" s="3600"/>
      <c r="AC5" s="3600"/>
    </row>
    <row r="6" spans="1:29" ht="15" thickBot="1">
      <c r="A6" s="468"/>
      <c r="B6" s="469"/>
      <c r="C6" s="3616" t="s">
        <v>2196</v>
      </c>
      <c r="D6" s="3617"/>
      <c r="E6" s="3620" t="s">
        <v>2196</v>
      </c>
      <c r="F6" s="3621"/>
      <c r="G6" s="3616" t="s">
        <v>2196</v>
      </c>
      <c r="H6" s="3617"/>
      <c r="I6" s="3616" t="s">
        <v>2196</v>
      </c>
      <c r="J6" s="3617"/>
      <c r="K6" s="465" t="s">
        <v>477</v>
      </c>
      <c r="L6" s="1742"/>
      <c r="M6" s="1743"/>
      <c r="N6" s="1743"/>
      <c r="O6" s="1743"/>
      <c r="P6" s="3608"/>
      <c r="Q6" s="3609"/>
      <c r="R6" s="3612"/>
      <c r="S6" s="3613"/>
      <c r="T6" s="3614"/>
      <c r="U6" s="3615"/>
      <c r="V6" s="3597"/>
      <c r="W6" s="3597"/>
      <c r="X6" s="1303"/>
      <c r="Y6" s="3614"/>
      <c r="Z6" s="3615"/>
      <c r="AA6" s="3601"/>
      <c r="AB6" s="3601"/>
      <c r="AC6" s="3601"/>
    </row>
    <row r="7" spans="1:29" s="1060" customFormat="1" ht="15" thickBot="1">
      <c r="A7" s="2209"/>
      <c r="B7" s="2216" t="s">
        <v>478</v>
      </c>
      <c r="C7" s="470">
        <f>'数据-取费表'!B2</f>
        <v>45730</v>
      </c>
      <c r="D7" s="471">
        <v>100</v>
      </c>
      <c r="E7" s="472"/>
      <c r="F7" s="473">
        <f>SUMIF(48:48,YEAR(E7)&amp;"-"&amp;MONTH(E7),49:49)</f>
        <v>0</v>
      </c>
      <c r="G7" s="474"/>
      <c r="H7" s="471">
        <f>SUMIF(48:48,YEAR(G7)&amp;"-"&amp;MONTH(G7),49:49)</f>
        <v>0</v>
      </c>
      <c r="I7" s="474"/>
      <c r="J7" s="471">
        <f>SUMIF(48:48,YEAR(I7)&amp;"-"&amp;MONTH(I7),49:49)</f>
        <v>0</v>
      </c>
      <c r="K7" s="88"/>
      <c r="L7" s="1744"/>
      <c r="M7" s="1641"/>
      <c r="N7" s="1641"/>
      <c r="O7" s="1641"/>
      <c r="P7" s="3626" t="s">
        <v>479</v>
      </c>
      <c r="Q7" s="3628"/>
      <c r="R7" s="1304" t="s">
        <v>5</v>
      </c>
      <c r="S7" s="1305">
        <f t="shared" ref="S7:S14" si="0">F7</f>
        <v>0</v>
      </c>
      <c r="T7" s="1304" t="s">
        <v>5</v>
      </c>
      <c r="U7" s="1305">
        <f t="shared" ref="U7:U14" si="1">H7</f>
        <v>0</v>
      </c>
      <c r="V7" s="1304" t="s">
        <v>5</v>
      </c>
      <c r="W7" s="1305">
        <f t="shared" ref="W7:W14" si="2">J7</f>
        <v>0</v>
      </c>
      <c r="X7" s="1306"/>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26" t="s">
        <v>482</v>
      </c>
      <c r="Q8" s="3627"/>
      <c r="R8" s="1304" t="s">
        <v>5</v>
      </c>
      <c r="S8" s="1305">
        <f t="shared" si="0"/>
        <v>0</v>
      </c>
      <c r="T8" s="1304" t="s">
        <v>5</v>
      </c>
      <c r="U8" s="1305">
        <f t="shared" si="1"/>
        <v>0</v>
      </c>
      <c r="V8" s="1304" t="s">
        <v>5</v>
      </c>
      <c r="W8" s="1305">
        <f t="shared" si="2"/>
        <v>0</v>
      </c>
      <c r="X8" s="1306"/>
      <c r="Y8" s="3626" t="s">
        <v>482</v>
      </c>
      <c r="Z8" s="3627"/>
      <c r="AA8" s="997" t="e">
        <f t="shared" ref="AA8:AA36" si="3">D8/F8</f>
        <v>#DIV/0!</v>
      </c>
      <c r="AB8" s="997" t="e">
        <f t="shared" ref="AB8:AB36" si="4">D8/H8</f>
        <v>#DIV/0!</v>
      </c>
      <c r="AC8" s="997" t="e">
        <f t="shared" ref="AC8:AC36" si="5">D8/J8</f>
        <v>#DIV/0!</v>
      </c>
    </row>
    <row r="9" spans="1:29" s="1060" customFormat="1" ht="14.4">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96" t="s">
        <v>484</v>
      </c>
      <c r="Q9" s="818" t="str">
        <f t="shared" ref="Q9:Q14" si="6">B9</f>
        <v>用途</v>
      </c>
      <c r="R9" s="1304" t="s">
        <v>5</v>
      </c>
      <c r="S9" s="1305">
        <f t="shared" si="0"/>
        <v>100</v>
      </c>
      <c r="T9" s="1304" t="s">
        <v>5</v>
      </c>
      <c r="U9" s="1305">
        <f t="shared" si="1"/>
        <v>100</v>
      </c>
      <c r="V9" s="1304" t="s">
        <v>5</v>
      </c>
      <c r="W9" s="1305">
        <f t="shared" si="2"/>
        <v>100</v>
      </c>
      <c r="X9" s="1306"/>
      <c r="Y9" s="3540" t="s">
        <v>485</v>
      </c>
      <c r="Z9" s="997" t="str">
        <f t="shared" ref="Z9:Z14" si="7">Q9</f>
        <v>用途</v>
      </c>
      <c r="AA9" s="997">
        <f t="shared" si="3"/>
        <v>1</v>
      </c>
      <c r="AB9" s="997">
        <f t="shared" si="4"/>
        <v>1</v>
      </c>
      <c r="AC9" s="997">
        <f t="shared" si="5"/>
        <v>1</v>
      </c>
    </row>
    <row r="10" spans="1:29" s="1133" customFormat="1" ht="28.8">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96"/>
      <c r="Q11" s="818">
        <f t="shared" si="6"/>
        <v>111</v>
      </c>
      <c r="R11" s="1304" t="s">
        <v>5</v>
      </c>
      <c r="S11" s="1305">
        <f t="shared" si="0"/>
        <v>100</v>
      </c>
      <c r="T11" s="1304" t="s">
        <v>5</v>
      </c>
      <c r="U11" s="1305">
        <f t="shared" si="1"/>
        <v>100</v>
      </c>
      <c r="V11" s="1304" t="s">
        <v>5</v>
      </c>
      <c r="W11" s="1305">
        <f t="shared" si="2"/>
        <v>100</v>
      </c>
      <c r="X11" s="1306"/>
      <c r="Y11" s="3540"/>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96"/>
      <c r="Q12" s="818">
        <f t="shared" si="6"/>
        <v>111</v>
      </c>
      <c r="R12" s="1304" t="s">
        <v>5</v>
      </c>
      <c r="S12" s="1305">
        <f t="shared" si="0"/>
        <v>100</v>
      </c>
      <c r="T12" s="1304" t="s">
        <v>5</v>
      </c>
      <c r="U12" s="1305">
        <f t="shared" si="1"/>
        <v>100</v>
      </c>
      <c r="V12" s="1304" t="s">
        <v>5</v>
      </c>
      <c r="W12" s="1305">
        <f t="shared" si="2"/>
        <v>100</v>
      </c>
      <c r="X12" s="1306"/>
      <c r="Y12" s="3540"/>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96"/>
      <c r="Q13" s="818">
        <f t="shared" si="6"/>
        <v>111</v>
      </c>
      <c r="R13" s="1304" t="s">
        <v>5</v>
      </c>
      <c r="S13" s="1305">
        <f t="shared" si="0"/>
        <v>100</v>
      </c>
      <c r="T13" s="1304" t="s">
        <v>5</v>
      </c>
      <c r="U13" s="1305">
        <f t="shared" si="1"/>
        <v>100</v>
      </c>
      <c r="V13" s="1304" t="s">
        <v>5</v>
      </c>
      <c r="W13" s="1305">
        <f t="shared" si="2"/>
        <v>100</v>
      </c>
      <c r="X13" s="1306"/>
      <c r="Y13" s="3540"/>
      <c r="Z13" s="997">
        <f t="shared" si="7"/>
        <v>111</v>
      </c>
      <c r="AA13" s="997">
        <f t="shared" si="3"/>
        <v>1</v>
      </c>
      <c r="AB13" s="997">
        <f t="shared" si="4"/>
        <v>1</v>
      </c>
      <c r="AC13" s="997">
        <f t="shared" si="5"/>
        <v>1</v>
      </c>
    </row>
    <row r="14" spans="1:29" ht="96.6">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29" t="s">
        <v>489</v>
      </c>
      <c r="Q14" s="1307" t="str">
        <f t="shared" si="6"/>
        <v>交通便捷度</v>
      </c>
      <c r="R14" s="1308" t="s">
        <v>5</v>
      </c>
      <c r="S14" s="1309">
        <f t="shared" si="0"/>
        <v>100</v>
      </c>
      <c r="T14" s="1308" t="s">
        <v>5</v>
      </c>
      <c r="U14" s="1309">
        <f t="shared" si="1"/>
        <v>100</v>
      </c>
      <c r="V14" s="1308" t="s">
        <v>5</v>
      </c>
      <c r="W14" s="1309">
        <f t="shared" si="2"/>
        <v>100</v>
      </c>
      <c r="X14" s="1303"/>
      <c r="Y14" s="3629"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30"/>
      <c r="Q15" s="1307"/>
      <c r="R15" s="1308"/>
      <c r="S15" s="1309"/>
      <c r="T15" s="1308"/>
      <c r="U15" s="1309"/>
      <c r="V15" s="1308"/>
      <c r="W15" s="1309"/>
      <c r="X15" s="1303"/>
      <c r="Y15" s="3630"/>
      <c r="Z15" s="1310"/>
      <c r="AA15" s="1310">
        <v>1</v>
      </c>
      <c r="AB15" s="1310">
        <v>1</v>
      </c>
      <c r="AC15" s="1310">
        <v>1</v>
      </c>
    </row>
    <row r="16" spans="1:29" ht="41.4">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30"/>
      <c r="Q16" s="1307" t="str">
        <f>B16</f>
        <v>公共配套设施</v>
      </c>
      <c r="R16" s="1308" t="s">
        <v>5</v>
      </c>
      <c r="S16" s="1309">
        <f>F16</f>
        <v>100</v>
      </c>
      <c r="T16" s="1308" t="s">
        <v>5</v>
      </c>
      <c r="U16" s="1309">
        <f>H16</f>
        <v>100</v>
      </c>
      <c r="V16" s="1308" t="s">
        <v>5</v>
      </c>
      <c r="W16" s="1309">
        <f>J16</f>
        <v>100</v>
      </c>
      <c r="X16" s="1303"/>
      <c r="Y16" s="3630"/>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30"/>
      <c r="Q17" s="1307"/>
      <c r="R17" s="1308"/>
      <c r="S17" s="1309"/>
      <c r="T17" s="1308"/>
      <c r="U17" s="1309"/>
      <c r="V17" s="1308"/>
      <c r="W17" s="1309"/>
      <c r="X17" s="1303"/>
      <c r="Y17" s="3630"/>
      <c r="Z17" s="1310"/>
      <c r="AA17" s="1310">
        <v>1</v>
      </c>
      <c r="AB17" s="1310">
        <v>1</v>
      </c>
      <c r="AC17" s="1310">
        <v>1</v>
      </c>
    </row>
    <row r="18" spans="1:29" ht="41.4">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30"/>
      <c r="Q18" s="1307" t="str">
        <f>B18</f>
        <v>基础设施水平</v>
      </c>
      <c r="R18" s="1308" t="s">
        <v>5</v>
      </c>
      <c r="S18" s="1309">
        <f>F18</f>
        <v>100</v>
      </c>
      <c r="T18" s="1308" t="s">
        <v>5</v>
      </c>
      <c r="U18" s="1309">
        <f>H18</f>
        <v>100</v>
      </c>
      <c r="V18" s="1308" t="s">
        <v>5</v>
      </c>
      <c r="W18" s="1309">
        <f>J18</f>
        <v>100</v>
      </c>
      <c r="X18" s="1303"/>
      <c r="Y18" s="3630"/>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30"/>
      <c r="Q19" s="1307"/>
      <c r="R19" s="1308"/>
      <c r="S19" s="1309"/>
      <c r="T19" s="1308"/>
      <c r="U19" s="1309"/>
      <c r="V19" s="1308"/>
      <c r="W19" s="1309"/>
      <c r="X19" s="1303"/>
      <c r="Y19" s="3630"/>
      <c r="Z19" s="1310"/>
      <c r="AA19" s="1310">
        <v>1</v>
      </c>
      <c r="AB19" s="1310">
        <v>1</v>
      </c>
      <c r="AC19" s="1310">
        <v>1</v>
      </c>
    </row>
    <row r="20" spans="1:29" ht="55.2">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30"/>
      <c r="Q20" s="1307" t="str">
        <f>B20</f>
        <v>自然及人文环境</v>
      </c>
      <c r="R20" s="1308" t="s">
        <v>5</v>
      </c>
      <c r="S20" s="1309">
        <f>F20</f>
        <v>100</v>
      </c>
      <c r="T20" s="1308" t="s">
        <v>5</v>
      </c>
      <c r="U20" s="1309">
        <f>H20</f>
        <v>100</v>
      </c>
      <c r="V20" s="1308" t="s">
        <v>5</v>
      </c>
      <c r="W20" s="1309">
        <f>J20</f>
        <v>100</v>
      </c>
      <c r="X20" s="1303"/>
      <c r="Y20" s="3630"/>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30"/>
      <c r="Q21" s="1307"/>
      <c r="R21" s="1308"/>
      <c r="S21" s="1309"/>
      <c r="T21" s="1308"/>
      <c r="U21" s="1309"/>
      <c r="V21" s="1308"/>
      <c r="W21" s="1309"/>
      <c r="X21" s="1303"/>
      <c r="Y21" s="3630"/>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0"/>
      <c r="Q22" s="1307" t="str">
        <f>B22</f>
        <v>楼层</v>
      </c>
      <c r="R22" s="1308" t="s">
        <v>5</v>
      </c>
      <c r="S22" s="1309">
        <f>F22</f>
        <v>100</v>
      </c>
      <c r="T22" s="1308" t="s">
        <v>5</v>
      </c>
      <c r="U22" s="1309">
        <f>H22</f>
        <v>100</v>
      </c>
      <c r="V22" s="1308" t="s">
        <v>5</v>
      </c>
      <c r="W22" s="1309">
        <f>J22</f>
        <v>100</v>
      </c>
      <c r="X22" s="1303"/>
      <c r="Y22" s="3630"/>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0"/>
      <c r="Q23" s="1307">
        <f>B23</f>
        <v>111</v>
      </c>
      <c r="R23" s="1308" t="s">
        <v>5</v>
      </c>
      <c r="S23" s="1309">
        <f>F23</f>
        <v>100</v>
      </c>
      <c r="T23" s="1308" t="s">
        <v>5</v>
      </c>
      <c r="U23" s="1309">
        <f>H23</f>
        <v>100</v>
      </c>
      <c r="V23" s="1308" t="s">
        <v>5</v>
      </c>
      <c r="W23" s="1309">
        <f>J23</f>
        <v>100</v>
      </c>
      <c r="X23" s="1303"/>
      <c r="Y23" s="3630"/>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0"/>
      <c r="Q24" s="1307">
        <f t="shared" ref="Q24:Q36" si="8">B24</f>
        <v>111</v>
      </c>
      <c r="R24" s="1308" t="s">
        <v>5</v>
      </c>
      <c r="S24" s="1309">
        <f>F24</f>
        <v>100</v>
      </c>
      <c r="T24" s="1308" t="s">
        <v>5</v>
      </c>
      <c r="U24" s="1309">
        <f>H24</f>
        <v>100</v>
      </c>
      <c r="V24" s="1308" t="s">
        <v>5</v>
      </c>
      <c r="W24" s="1309">
        <f>J24</f>
        <v>100</v>
      </c>
      <c r="X24" s="1303"/>
      <c r="Y24" s="3630"/>
      <c r="Z24" s="1310">
        <f>Q24</f>
        <v>111</v>
      </c>
      <c r="AA24" s="1310">
        <f t="shared" si="3"/>
        <v>1</v>
      </c>
      <c r="AB24" s="1310">
        <f t="shared" si="4"/>
        <v>1</v>
      </c>
      <c r="AC24" s="1310">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0"/>
      <c r="Q25" s="818">
        <f t="shared" si="8"/>
        <v>111</v>
      </c>
      <c r="R25" s="1304" t="s">
        <v>5</v>
      </c>
      <c r="S25" s="1305">
        <f>F25</f>
        <v>100</v>
      </c>
      <c r="T25" s="1304" t="s">
        <v>5</v>
      </c>
      <c r="U25" s="1305">
        <f>H25</f>
        <v>100</v>
      </c>
      <c r="V25" s="1304" t="s">
        <v>5</v>
      </c>
      <c r="W25" s="1305">
        <f>J25</f>
        <v>100</v>
      </c>
      <c r="X25" s="1306"/>
      <c r="Y25" s="3630"/>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31"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2"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2"/>
      <c r="Q27" s="819" t="str">
        <f t="shared" si="8"/>
        <v>项目停车位配比</v>
      </c>
      <c r="R27" s="1311" t="s">
        <v>5</v>
      </c>
      <c r="S27" s="1312">
        <f t="shared" si="9"/>
        <v>100</v>
      </c>
      <c r="T27" s="1311" t="s">
        <v>5</v>
      </c>
      <c r="U27" s="1312">
        <f t="shared" si="10"/>
        <v>100</v>
      </c>
      <c r="V27" s="1311" t="s">
        <v>5</v>
      </c>
      <c r="W27" s="1312">
        <f t="shared" si="11"/>
        <v>100</v>
      </c>
      <c r="X27" s="1313"/>
      <c r="Y27" s="3632"/>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32"/>
      <c r="Q28" s="1307" t="str">
        <f t="shared" si="8"/>
        <v>公共部分装修</v>
      </c>
      <c r="R28" s="1308" t="s">
        <v>5</v>
      </c>
      <c r="S28" s="1309">
        <f t="shared" si="9"/>
        <v>100</v>
      </c>
      <c r="T28" s="1308" t="s">
        <v>5</v>
      </c>
      <c r="U28" s="1309">
        <f t="shared" si="10"/>
        <v>100</v>
      </c>
      <c r="V28" s="1308" t="s">
        <v>5</v>
      </c>
      <c r="W28" s="1309">
        <f t="shared" si="11"/>
        <v>100</v>
      </c>
      <c r="X28" s="1303"/>
      <c r="Y28" s="3632"/>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32"/>
      <c r="Q29" s="1307" t="str">
        <f t="shared" si="8"/>
        <v>成新率</v>
      </c>
      <c r="R29" s="1308" t="s">
        <v>5</v>
      </c>
      <c r="S29" s="1309" t="e">
        <f t="shared" si="9"/>
        <v>#N/A</v>
      </c>
      <c r="T29" s="1308" t="s">
        <v>5</v>
      </c>
      <c r="U29" s="1309" t="e">
        <f t="shared" si="10"/>
        <v>#N/A</v>
      </c>
      <c r="V29" s="1308" t="s">
        <v>5</v>
      </c>
      <c r="W29" s="1309" t="e">
        <f t="shared" si="11"/>
        <v>#N/A</v>
      </c>
      <c r="X29" s="1303"/>
      <c r="Y29" s="3632"/>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32"/>
      <c r="Q30" s="1307" t="str">
        <f t="shared" si="8"/>
        <v>物业等级</v>
      </c>
      <c r="R30" s="1308" t="s">
        <v>5</v>
      </c>
      <c r="S30" s="1309">
        <f t="shared" si="9"/>
        <v>100</v>
      </c>
      <c r="T30" s="1308" t="s">
        <v>5</v>
      </c>
      <c r="U30" s="1309">
        <f t="shared" si="10"/>
        <v>100</v>
      </c>
      <c r="V30" s="1308" t="s">
        <v>5</v>
      </c>
      <c r="W30" s="1309">
        <f t="shared" si="11"/>
        <v>100</v>
      </c>
      <c r="X30" s="1303"/>
      <c r="Y30" s="3632"/>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32"/>
      <c r="Q31" s="818" t="str">
        <f t="shared" si="8"/>
        <v>停车位面积</v>
      </c>
      <c r="R31" s="1304" t="s">
        <v>5</v>
      </c>
      <c r="S31" s="1305" t="e">
        <f t="shared" si="9"/>
        <v>#N/A</v>
      </c>
      <c r="T31" s="1304" t="s">
        <v>5</v>
      </c>
      <c r="U31" s="1305" t="e">
        <f t="shared" si="10"/>
        <v>#N/A</v>
      </c>
      <c r="V31" s="1304" t="s">
        <v>5</v>
      </c>
      <c r="W31" s="1305" t="e">
        <f t="shared" si="11"/>
        <v>#N/A</v>
      </c>
      <c r="X31" s="1306"/>
      <c r="Y31" s="3632"/>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32" t="s">
        <v>499</v>
      </c>
      <c r="Q32" s="1307" t="str">
        <f t="shared" si="8"/>
        <v>车位类型</v>
      </c>
      <c r="R32" s="1308" t="s">
        <v>5</v>
      </c>
      <c r="S32" s="1309">
        <f t="shared" si="9"/>
        <v>100</v>
      </c>
      <c r="T32" s="1308" t="s">
        <v>5</v>
      </c>
      <c r="U32" s="1309">
        <f t="shared" si="10"/>
        <v>100</v>
      </c>
      <c r="V32" s="1308" t="s">
        <v>5</v>
      </c>
      <c r="W32" s="1309">
        <f t="shared" si="11"/>
        <v>100</v>
      </c>
      <c r="X32" s="1303"/>
      <c r="Y32" s="3632"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32"/>
      <c r="Q33" s="1307" t="str">
        <f t="shared" si="8"/>
        <v>是否直接入户</v>
      </c>
      <c r="R33" s="1308" t="s">
        <v>5</v>
      </c>
      <c r="S33" s="1309">
        <f t="shared" si="9"/>
        <v>100</v>
      </c>
      <c r="T33" s="1308" t="s">
        <v>5</v>
      </c>
      <c r="U33" s="1309">
        <f t="shared" si="10"/>
        <v>100</v>
      </c>
      <c r="V33" s="1308" t="s">
        <v>5</v>
      </c>
      <c r="W33" s="1309">
        <f t="shared" si="11"/>
        <v>100</v>
      </c>
      <c r="X33" s="1303"/>
      <c r="Y33" s="3632"/>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2"/>
      <c r="Q34" s="1307">
        <f t="shared" si="8"/>
        <v>111</v>
      </c>
      <c r="R34" s="1308" t="s">
        <v>5</v>
      </c>
      <c r="S34" s="1309">
        <f t="shared" si="9"/>
        <v>100</v>
      </c>
      <c r="T34" s="1308" t="s">
        <v>5</v>
      </c>
      <c r="U34" s="1309">
        <f t="shared" si="10"/>
        <v>100</v>
      </c>
      <c r="V34" s="1308" t="s">
        <v>5</v>
      </c>
      <c r="W34" s="1309">
        <f t="shared" si="11"/>
        <v>100</v>
      </c>
      <c r="X34" s="1303"/>
      <c r="Y34" s="3632"/>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2"/>
      <c r="Q35" s="819">
        <f t="shared" si="8"/>
        <v>111</v>
      </c>
      <c r="R35" s="1311" t="s">
        <v>5</v>
      </c>
      <c r="S35" s="1312">
        <f t="shared" si="9"/>
        <v>100</v>
      </c>
      <c r="T35" s="1311" t="s">
        <v>5</v>
      </c>
      <c r="U35" s="1312">
        <f t="shared" si="10"/>
        <v>100</v>
      </c>
      <c r="V35" s="1311" t="s">
        <v>5</v>
      </c>
      <c r="W35" s="1312">
        <f t="shared" si="11"/>
        <v>100</v>
      </c>
      <c r="X35" s="1313"/>
      <c r="Y35" s="3632"/>
      <c r="Z35" s="1314">
        <f t="shared" si="12"/>
        <v>111</v>
      </c>
      <c r="AA35" s="1310">
        <f t="shared" si="3"/>
        <v>1</v>
      </c>
      <c r="AB35" s="1310">
        <f t="shared" si="4"/>
        <v>1</v>
      </c>
      <c r="AC35" s="1310">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2"/>
      <c r="Q36" s="1307">
        <f t="shared" si="8"/>
        <v>111</v>
      </c>
      <c r="R36" s="1308" t="s">
        <v>5</v>
      </c>
      <c r="S36" s="1309">
        <f t="shared" si="9"/>
        <v>100</v>
      </c>
      <c r="T36" s="1308" t="s">
        <v>5</v>
      </c>
      <c r="U36" s="1309">
        <f t="shared" si="10"/>
        <v>100</v>
      </c>
      <c r="V36" s="1308" t="s">
        <v>5</v>
      </c>
      <c r="W36" s="1309">
        <f t="shared" si="11"/>
        <v>100</v>
      </c>
      <c r="X36" s="1303"/>
      <c r="Y36" s="3632"/>
      <c r="Z36" s="1310">
        <f t="shared" si="12"/>
        <v>111</v>
      </c>
      <c r="AA36" s="1310">
        <f t="shared" si="3"/>
        <v>1</v>
      </c>
      <c r="AB36" s="1310">
        <f t="shared" si="4"/>
        <v>1</v>
      </c>
      <c r="AC36" s="1310">
        <f t="shared" si="5"/>
        <v>1</v>
      </c>
    </row>
    <row r="37" spans="1:29" ht="14.4">
      <c r="A37" s="1536" t="s">
        <v>1595</v>
      </c>
      <c r="B37" s="1537" t="s">
        <v>1596</v>
      </c>
      <c r="C37" s="2082" t="s">
        <v>0</v>
      </c>
      <c r="D37" s="559"/>
      <c r="E37" s="560"/>
      <c r="F37" s="561"/>
      <c r="G37" s="562"/>
      <c r="H37" s="563"/>
      <c r="I37" s="560"/>
      <c r="J37" s="563"/>
      <c r="K37" s="1336"/>
      <c r="L37" s="1752"/>
      <c r="M37" s="1743"/>
      <c r="N37" s="1743"/>
      <c r="O37" s="1743"/>
      <c r="P37" s="3596" t="str">
        <f>A37</f>
        <v>成交单价</v>
      </c>
      <c r="Q37" s="3596"/>
      <c r="R37" s="3597">
        <f>E37</f>
        <v>0</v>
      </c>
      <c r="S37" s="3597"/>
      <c r="T37" s="3597">
        <f>G37</f>
        <v>0</v>
      </c>
      <c r="U37" s="3597"/>
      <c r="V37" s="3597">
        <f>I37</f>
        <v>0</v>
      </c>
      <c r="W37" s="3597"/>
      <c r="X37" s="799"/>
      <c r="Y37" s="1315"/>
      <c r="Z37" s="799"/>
      <c r="AA37" s="799"/>
      <c r="AB37" s="799"/>
      <c r="AC37" s="799"/>
    </row>
    <row r="38" spans="1:29" ht="15" thickBot="1">
      <c r="A38" s="564" t="s">
        <v>2042</v>
      </c>
      <c r="B38" s="813"/>
      <c r="C38" s="2083" t="e">
        <f>R39</f>
        <v>#DIV/0!</v>
      </c>
      <c r="D38" s="2550" t="s">
        <v>2261</v>
      </c>
      <c r="E38" s="2084" t="e">
        <f>R38</f>
        <v>#DIV/0!</v>
      </c>
      <c r="F38" s="2551"/>
      <c r="G38" s="2083" t="e">
        <f>T38</f>
        <v>#DIV/0!</v>
      </c>
      <c r="H38" s="2551"/>
      <c r="I38" s="2084" t="e">
        <f>V38</f>
        <v>#DIV/0!</v>
      </c>
      <c r="J38" s="2551"/>
      <c r="K38" s="2558">
        <f>F38+H38+J38</f>
        <v>0</v>
      </c>
      <c r="L38" s="1752"/>
      <c r="M38" s="1743"/>
      <c r="N38" s="1743"/>
      <c r="O38" s="1743"/>
      <c r="P38" s="3596" t="str">
        <f>A38</f>
        <v>比较价格（元/平方米）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799"/>
      <c r="Y38" s="799"/>
      <c r="Z38" s="799"/>
      <c r="AA38" s="799"/>
      <c r="AB38" s="799"/>
      <c r="AC38" s="799"/>
    </row>
    <row r="39" spans="1:29" ht="15" thickBot="1">
      <c r="A39" s="568" t="s">
        <v>2198</v>
      </c>
      <c r="B39" s="569"/>
      <c r="C39" s="469" t="e">
        <f>R39</f>
        <v>#DIV/0!</v>
      </c>
      <c r="D39" s="469"/>
      <c r="E39" s="469"/>
      <c r="F39" s="469"/>
      <c r="G39" s="469"/>
      <c r="H39" s="469"/>
      <c r="I39" s="469"/>
      <c r="J39" s="469"/>
      <c r="K39" s="1337"/>
      <c r="L39" s="1752"/>
      <c r="M39" s="1743"/>
      <c r="N39" s="1743"/>
      <c r="O39" s="1743"/>
      <c r="P39" s="3633" t="str">
        <f>A39</f>
        <v>估价对象XX用房的比较价格（楼面单价，元/平方米）</v>
      </c>
      <c r="Q39" s="3634"/>
      <c r="R39" s="3719" t="e">
        <f>IF(F1="售价",ROUND(IF(D38="简单平均",AVERAGE(R38:W38),R38*F38+T38*H38+V38*J38),0),ROUND(IF(D38="简单平均",AVERAGE(R38:V38),R38*F38+T38*H38+V38*J38),1))</f>
        <v>#DIV/0!</v>
      </c>
      <c r="S39" s="3719"/>
      <c r="T39" s="3719"/>
      <c r="U39" s="3719"/>
      <c r="V39" s="3719"/>
      <c r="W39" s="3719"/>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2.2"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4.4">
      <c r="A48" s="592" t="s">
        <v>478</v>
      </c>
      <c r="B48" s="593"/>
      <c r="C48" s="2114" t="str">
        <f>YEAR(C7)&amp;"-"&amp;MONTH(C7)</f>
        <v>2025-3</v>
      </c>
      <c r="D48" s="2116">
        <f>EDATE(C48,-1)</f>
        <v>45689</v>
      </c>
      <c r="E48" s="2116">
        <f t="shared" ref="E48:O48" si="13">EDATE(D48,-1)</f>
        <v>45658</v>
      </c>
      <c r="F48" s="2116">
        <f t="shared" si="13"/>
        <v>45627</v>
      </c>
      <c r="G48" s="2116">
        <f t="shared" si="13"/>
        <v>45597</v>
      </c>
      <c r="H48" s="2116">
        <f t="shared" si="13"/>
        <v>45566</v>
      </c>
      <c r="I48" s="2116">
        <f t="shared" si="13"/>
        <v>45536</v>
      </c>
      <c r="J48" s="2116">
        <f t="shared" si="13"/>
        <v>45505</v>
      </c>
      <c r="K48" s="2116">
        <f t="shared" si="13"/>
        <v>45474</v>
      </c>
      <c r="L48" s="2116">
        <f t="shared" si="13"/>
        <v>45444</v>
      </c>
      <c r="M48" s="2116">
        <f t="shared" si="13"/>
        <v>45413</v>
      </c>
      <c r="N48" s="2116">
        <f t="shared" si="13"/>
        <v>45383</v>
      </c>
      <c r="O48" s="2116">
        <f t="shared" si="13"/>
        <v>45352</v>
      </c>
      <c r="P48" s="1766"/>
      <c r="Q48" s="1766"/>
      <c r="R48" s="1766"/>
      <c r="S48" s="1766"/>
      <c r="T48" s="1766"/>
      <c r="U48" s="1766"/>
      <c r="V48" s="1766"/>
      <c r="W48" s="1766"/>
      <c r="X48" s="1766"/>
      <c r="Y48" s="1766"/>
      <c r="Z48" s="1766"/>
      <c r="AA48" s="1766"/>
      <c r="AB48" s="1766"/>
      <c r="AC48" s="1766"/>
    </row>
    <row r="49" spans="1:29" s="1060" customFormat="1">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4.4">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4.4"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ht="14.4">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4.4"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9.4"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4.4"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4.4"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4.4"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4.4"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4.4"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4.4"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4.4"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4.4"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4.4"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4.4"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4.4"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9.4"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4.4"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4.4"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4.4"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4.4"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4.4"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4.4"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4.4"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4.4"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4.4">
      <c r="A4" s="463" t="s">
        <v>737</v>
      </c>
      <c r="B4" s="464"/>
      <c r="C4" s="3602" t="s">
        <v>738</v>
      </c>
      <c r="D4" s="3603"/>
      <c r="E4" s="3637" t="s">
        <v>739</v>
      </c>
      <c r="F4" s="3638"/>
      <c r="G4" s="3602" t="s">
        <v>740</v>
      </c>
      <c r="H4" s="3603"/>
      <c r="I4" s="3602" t="s">
        <v>741</v>
      </c>
      <c r="J4" s="3603"/>
      <c r="K4" s="465" t="s">
        <v>742</v>
      </c>
      <c r="L4" s="1742"/>
      <c r="M4" s="1743"/>
      <c r="N4" s="1743"/>
      <c r="O4" s="1743"/>
      <c r="P4" s="3604" t="s">
        <v>743</v>
      </c>
      <c r="Q4" s="3605"/>
      <c r="R4" s="3610" t="s">
        <v>739</v>
      </c>
      <c r="S4" s="3611"/>
      <c r="T4" s="3610" t="s">
        <v>740</v>
      </c>
      <c r="U4" s="3611"/>
      <c r="V4" s="3597" t="s">
        <v>741</v>
      </c>
      <c r="W4" s="3597"/>
      <c r="X4" s="1303"/>
      <c r="Y4" s="3610" t="s">
        <v>743</v>
      </c>
      <c r="Z4" s="3611"/>
      <c r="AA4" s="3599" t="s">
        <v>739</v>
      </c>
      <c r="AB4" s="3600" t="s">
        <v>740</v>
      </c>
      <c r="AC4" s="3599" t="s">
        <v>741</v>
      </c>
    </row>
    <row r="5" spans="1:29">
      <c r="A5" s="466"/>
      <c r="B5" s="467"/>
      <c r="C5" s="3618" t="s">
        <v>2192</v>
      </c>
      <c r="D5" s="3619"/>
      <c r="E5" s="3639" t="s">
        <v>2193</v>
      </c>
      <c r="F5" s="3640"/>
      <c r="G5" s="3618" t="s">
        <v>2194</v>
      </c>
      <c r="H5" s="3619"/>
      <c r="I5" s="3618" t="s">
        <v>2195</v>
      </c>
      <c r="J5" s="3619"/>
      <c r="K5" s="465"/>
      <c r="L5" s="1742"/>
      <c r="M5" s="1743"/>
      <c r="N5" s="1743"/>
      <c r="O5" s="1743"/>
      <c r="P5" s="3606"/>
      <c r="Q5" s="3607"/>
      <c r="R5" s="3612"/>
      <c r="S5" s="3613"/>
      <c r="T5" s="3612"/>
      <c r="U5" s="3613"/>
      <c r="V5" s="3597"/>
      <c r="W5" s="3597"/>
      <c r="X5" s="1303"/>
      <c r="Y5" s="3612"/>
      <c r="Z5" s="3613"/>
      <c r="AA5" s="3600"/>
      <c r="AB5" s="3600"/>
      <c r="AC5" s="3600"/>
    </row>
    <row r="6" spans="1:29" ht="15" thickBot="1">
      <c r="A6" s="468"/>
      <c r="B6" s="469"/>
      <c r="C6" s="3616" t="s">
        <v>2196</v>
      </c>
      <c r="D6" s="3617"/>
      <c r="E6" s="3635" t="s">
        <v>2196</v>
      </c>
      <c r="F6" s="3636"/>
      <c r="G6" s="3616" t="s">
        <v>2196</v>
      </c>
      <c r="H6" s="3617"/>
      <c r="I6" s="3616" t="s">
        <v>2196</v>
      </c>
      <c r="J6" s="3617"/>
      <c r="K6" s="465" t="s">
        <v>477</v>
      </c>
      <c r="L6" s="1742"/>
      <c r="M6" s="1743"/>
      <c r="N6" s="1743"/>
      <c r="O6" s="1743"/>
      <c r="P6" s="3608"/>
      <c r="Q6" s="3609"/>
      <c r="R6" s="3612"/>
      <c r="S6" s="3613"/>
      <c r="T6" s="3614"/>
      <c r="U6" s="3615"/>
      <c r="V6" s="3597"/>
      <c r="W6" s="3597"/>
      <c r="X6" s="1303"/>
      <c r="Y6" s="3614"/>
      <c r="Z6" s="3615"/>
      <c r="AA6" s="3601"/>
      <c r="AB6" s="3601"/>
      <c r="AC6" s="3601"/>
    </row>
    <row r="7" spans="1:29" s="1060" customFormat="1" ht="15" thickBot="1">
      <c r="A7" s="2209"/>
      <c r="B7" s="2216" t="s">
        <v>478</v>
      </c>
      <c r="C7" s="470">
        <f>'数据-取费表'!B2</f>
        <v>45730</v>
      </c>
      <c r="D7" s="471">
        <v>100</v>
      </c>
      <c r="E7" s="472"/>
      <c r="F7" s="473">
        <f>SUMIF(46:46,YEAR(E7)&amp;"-"&amp;MONTH(E7),47:47)</f>
        <v>0</v>
      </c>
      <c r="G7" s="474"/>
      <c r="H7" s="471">
        <f>SUMIF(46:46,YEAR(G7)&amp;"-"&amp;MONTH(G7),47:47)</f>
        <v>0</v>
      </c>
      <c r="I7" s="474"/>
      <c r="J7" s="471">
        <f>SUMIF(46:46,YEAR(I7)&amp;"-"&amp;MONTH(I7),47:47)</f>
        <v>0</v>
      </c>
      <c r="K7" s="88"/>
      <c r="L7" s="1744"/>
      <c r="M7" s="1641"/>
      <c r="N7" s="1641"/>
      <c r="O7" s="1641"/>
      <c r="P7" s="3626" t="s">
        <v>479</v>
      </c>
      <c r="Q7" s="3628"/>
      <c r="R7" s="1304" t="s">
        <v>5</v>
      </c>
      <c r="S7" s="1305">
        <f t="shared" ref="S7:S14" si="0">F7</f>
        <v>0</v>
      </c>
      <c r="T7" s="1304" t="s">
        <v>5</v>
      </c>
      <c r="U7" s="1305">
        <f t="shared" ref="U7:U14" si="1">H7</f>
        <v>0</v>
      </c>
      <c r="V7" s="1304" t="s">
        <v>5</v>
      </c>
      <c r="W7" s="1305">
        <f t="shared" ref="W7:W14" si="2">J7</f>
        <v>0</v>
      </c>
      <c r="X7" s="1306"/>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26" t="s">
        <v>482</v>
      </c>
      <c r="Q8" s="3627"/>
      <c r="R8" s="1304" t="s">
        <v>5</v>
      </c>
      <c r="S8" s="1305">
        <f t="shared" si="0"/>
        <v>0</v>
      </c>
      <c r="T8" s="1304" t="s">
        <v>5</v>
      </c>
      <c r="U8" s="1305">
        <f t="shared" si="1"/>
        <v>0</v>
      </c>
      <c r="V8" s="1304" t="s">
        <v>5</v>
      </c>
      <c r="W8" s="1305">
        <f t="shared" si="2"/>
        <v>0</v>
      </c>
      <c r="X8" s="1306"/>
      <c r="Y8" s="3626" t="s">
        <v>482</v>
      </c>
      <c r="Z8" s="3627"/>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96" t="s">
        <v>484</v>
      </c>
      <c r="Q9" s="818" t="str">
        <f t="shared" ref="Q9:Q14" si="6">B9</f>
        <v>用途</v>
      </c>
      <c r="R9" s="1304" t="s">
        <v>5</v>
      </c>
      <c r="S9" s="1305">
        <f t="shared" si="0"/>
        <v>100</v>
      </c>
      <c r="T9" s="1304" t="s">
        <v>5</v>
      </c>
      <c r="U9" s="1305">
        <f t="shared" si="1"/>
        <v>100</v>
      </c>
      <c r="V9" s="1304" t="s">
        <v>5</v>
      </c>
      <c r="W9" s="1305">
        <f t="shared" si="2"/>
        <v>100</v>
      </c>
      <c r="X9" s="1306"/>
      <c r="Y9" s="3540" t="s">
        <v>485</v>
      </c>
      <c r="Z9" s="997" t="str">
        <f t="shared" ref="Z9:Z14" si="7">Q9</f>
        <v>用途</v>
      </c>
      <c r="AA9" s="997">
        <f t="shared" si="3"/>
        <v>1</v>
      </c>
      <c r="AB9" s="997">
        <f t="shared" si="4"/>
        <v>1</v>
      </c>
      <c r="AC9" s="997">
        <f t="shared" si="5"/>
        <v>1</v>
      </c>
    </row>
    <row r="10" spans="1:29" s="1133" customFormat="1" ht="28.8">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596"/>
      <c r="Q10" s="818" t="str">
        <f t="shared" si="6"/>
        <v>土地使用年限（年）</v>
      </c>
      <c r="R10" s="1304" t="s">
        <v>5</v>
      </c>
      <c r="S10" s="1305">
        <f t="shared" si="0"/>
        <v>100</v>
      </c>
      <c r="T10" s="1304" t="s">
        <v>5</v>
      </c>
      <c r="U10" s="1305">
        <f t="shared" si="1"/>
        <v>100</v>
      </c>
      <c r="V10" s="1304" t="s">
        <v>5</v>
      </c>
      <c r="W10" s="1305">
        <f t="shared" si="2"/>
        <v>100</v>
      </c>
      <c r="X10" s="1306"/>
      <c r="Y10" s="3540"/>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96"/>
      <c r="Q11" s="818">
        <f t="shared" si="6"/>
        <v>111</v>
      </c>
      <c r="R11" s="1304" t="s">
        <v>5</v>
      </c>
      <c r="S11" s="1305">
        <f t="shared" si="0"/>
        <v>100</v>
      </c>
      <c r="T11" s="1304" t="s">
        <v>5</v>
      </c>
      <c r="U11" s="1305">
        <f t="shared" si="1"/>
        <v>100</v>
      </c>
      <c r="V11" s="1304" t="s">
        <v>5</v>
      </c>
      <c r="W11" s="1305">
        <f t="shared" si="2"/>
        <v>100</v>
      </c>
      <c r="X11" s="1306"/>
      <c r="Y11" s="3540"/>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96"/>
      <c r="Q12" s="818">
        <f t="shared" si="6"/>
        <v>111</v>
      </c>
      <c r="R12" s="1304" t="s">
        <v>5</v>
      </c>
      <c r="S12" s="1305">
        <f t="shared" si="0"/>
        <v>100</v>
      </c>
      <c r="T12" s="1304" t="s">
        <v>5</v>
      </c>
      <c r="U12" s="1305">
        <f t="shared" si="1"/>
        <v>100</v>
      </c>
      <c r="V12" s="1304" t="s">
        <v>5</v>
      </c>
      <c r="W12" s="1305">
        <f t="shared" si="2"/>
        <v>100</v>
      </c>
      <c r="X12" s="1306"/>
      <c r="Y12" s="3540"/>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96"/>
      <c r="Q13" s="818">
        <f t="shared" si="6"/>
        <v>111</v>
      </c>
      <c r="R13" s="1304" t="s">
        <v>5</v>
      </c>
      <c r="S13" s="1305">
        <f t="shared" si="0"/>
        <v>100</v>
      </c>
      <c r="T13" s="1304" t="s">
        <v>5</v>
      </c>
      <c r="U13" s="1305">
        <f t="shared" si="1"/>
        <v>100</v>
      </c>
      <c r="V13" s="1304" t="s">
        <v>5</v>
      </c>
      <c r="W13" s="1305">
        <f t="shared" si="2"/>
        <v>100</v>
      </c>
      <c r="X13" s="1306"/>
      <c r="Y13" s="3540"/>
      <c r="Z13" s="997">
        <f t="shared" si="7"/>
        <v>111</v>
      </c>
      <c r="AA13" s="997">
        <f t="shared" si="3"/>
        <v>1</v>
      </c>
      <c r="AB13" s="997">
        <f t="shared" si="4"/>
        <v>1</v>
      </c>
      <c r="AC13" s="997">
        <f t="shared" si="5"/>
        <v>1</v>
      </c>
    </row>
    <row r="14" spans="1:29" ht="96.6">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29" t="s">
        <v>489</v>
      </c>
      <c r="Q14" s="1307" t="str">
        <f t="shared" si="6"/>
        <v>交通便捷度</v>
      </c>
      <c r="R14" s="1308" t="s">
        <v>5</v>
      </c>
      <c r="S14" s="1309">
        <f t="shared" si="0"/>
        <v>100</v>
      </c>
      <c r="T14" s="1308" t="s">
        <v>5</v>
      </c>
      <c r="U14" s="1309">
        <f t="shared" si="1"/>
        <v>100</v>
      </c>
      <c r="V14" s="1308" t="s">
        <v>5</v>
      </c>
      <c r="W14" s="1309">
        <f t="shared" si="2"/>
        <v>100</v>
      </c>
      <c r="X14" s="1303"/>
      <c r="Y14" s="3629"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0"/>
      <c r="Q15" s="1307"/>
      <c r="R15" s="1308"/>
      <c r="S15" s="1309"/>
      <c r="T15" s="1308"/>
      <c r="U15" s="1309"/>
      <c r="V15" s="1308"/>
      <c r="W15" s="1309"/>
      <c r="X15" s="1303"/>
      <c r="Y15" s="3630"/>
      <c r="Z15" s="1310"/>
      <c r="AA15" s="1310">
        <v>1</v>
      </c>
      <c r="AB15" s="1310">
        <v>1</v>
      </c>
      <c r="AC15" s="1310">
        <v>1</v>
      </c>
    </row>
    <row r="16" spans="1:29" ht="41.4">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0"/>
      <c r="Q16" s="1307" t="str">
        <f>B16</f>
        <v>公共配套设施</v>
      </c>
      <c r="R16" s="1308" t="s">
        <v>5</v>
      </c>
      <c r="S16" s="1309">
        <f>F16</f>
        <v>100</v>
      </c>
      <c r="T16" s="1308" t="s">
        <v>5</v>
      </c>
      <c r="U16" s="1309">
        <f>H16</f>
        <v>100</v>
      </c>
      <c r="V16" s="1308" t="s">
        <v>5</v>
      </c>
      <c r="W16" s="1309">
        <f>J16</f>
        <v>100</v>
      </c>
      <c r="X16" s="1303"/>
      <c r="Y16" s="3630"/>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0"/>
      <c r="Q17" s="1307"/>
      <c r="R17" s="1308"/>
      <c r="S17" s="1309"/>
      <c r="T17" s="1308"/>
      <c r="U17" s="1309"/>
      <c r="V17" s="1308"/>
      <c r="W17" s="1309"/>
      <c r="X17" s="1303"/>
      <c r="Y17" s="3630"/>
      <c r="Z17" s="1310"/>
      <c r="AA17" s="1310">
        <v>1</v>
      </c>
      <c r="AB17" s="1310">
        <v>1</v>
      </c>
      <c r="AC17" s="1310">
        <v>1</v>
      </c>
    </row>
    <row r="18" spans="1:29" ht="41.4">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0"/>
      <c r="Q18" s="1307" t="str">
        <f>B18</f>
        <v>基础设施水平</v>
      </c>
      <c r="R18" s="1308" t="s">
        <v>5</v>
      </c>
      <c r="S18" s="1309">
        <f>F18</f>
        <v>100</v>
      </c>
      <c r="T18" s="1308" t="s">
        <v>5</v>
      </c>
      <c r="U18" s="1309">
        <f>H18</f>
        <v>100</v>
      </c>
      <c r="V18" s="1308" t="s">
        <v>5</v>
      </c>
      <c r="W18" s="1309">
        <f>J18</f>
        <v>100</v>
      </c>
      <c r="X18" s="1303"/>
      <c r="Y18" s="3630"/>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0"/>
      <c r="Q19" s="1307"/>
      <c r="R19" s="1308"/>
      <c r="S19" s="1309"/>
      <c r="T19" s="1308"/>
      <c r="U19" s="1309"/>
      <c r="V19" s="1308"/>
      <c r="W19" s="1309"/>
      <c r="X19" s="1303"/>
      <c r="Y19" s="3630"/>
      <c r="Z19" s="1310"/>
      <c r="AA19" s="1310">
        <v>1</v>
      </c>
      <c r="AB19" s="1310">
        <v>1</v>
      </c>
      <c r="AC19" s="1310">
        <v>1</v>
      </c>
    </row>
    <row r="20" spans="1:29" ht="55.2">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0"/>
      <c r="Q20" s="1307" t="str">
        <f>B20</f>
        <v>自然及人文环境</v>
      </c>
      <c r="R20" s="1308" t="s">
        <v>5</v>
      </c>
      <c r="S20" s="1309">
        <f>F20</f>
        <v>100</v>
      </c>
      <c r="T20" s="1308" t="s">
        <v>5</v>
      </c>
      <c r="U20" s="1309">
        <f>H20</f>
        <v>100</v>
      </c>
      <c r="V20" s="1308" t="s">
        <v>5</v>
      </c>
      <c r="W20" s="1309">
        <f>J20</f>
        <v>100</v>
      </c>
      <c r="X20" s="1303"/>
      <c r="Y20" s="3630"/>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0"/>
      <c r="Q21" s="1307"/>
      <c r="R21" s="1308"/>
      <c r="S21" s="1309"/>
      <c r="T21" s="1308"/>
      <c r="U21" s="1309"/>
      <c r="V21" s="1308"/>
      <c r="W21" s="1309"/>
      <c r="X21" s="1303"/>
      <c r="Y21" s="3630"/>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0"/>
      <c r="Q22" s="1307" t="str">
        <f>B22</f>
        <v>楼层</v>
      </c>
      <c r="R22" s="1308" t="s">
        <v>5</v>
      </c>
      <c r="S22" s="1309">
        <f>F22</f>
        <v>100</v>
      </c>
      <c r="T22" s="1308" t="s">
        <v>5</v>
      </c>
      <c r="U22" s="1309">
        <f>H22</f>
        <v>100</v>
      </c>
      <c r="V22" s="1308" t="s">
        <v>5</v>
      </c>
      <c r="W22" s="1309">
        <f>J22</f>
        <v>100</v>
      </c>
      <c r="X22" s="1303"/>
      <c r="Y22" s="3630"/>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0"/>
      <c r="Q23" s="1307">
        <f>B23</f>
        <v>111</v>
      </c>
      <c r="R23" s="1308" t="s">
        <v>5</v>
      </c>
      <c r="S23" s="1309">
        <f>F23</f>
        <v>100</v>
      </c>
      <c r="T23" s="1308" t="s">
        <v>5</v>
      </c>
      <c r="U23" s="1309">
        <f>H23</f>
        <v>100</v>
      </c>
      <c r="V23" s="1308" t="s">
        <v>5</v>
      </c>
      <c r="W23" s="1309">
        <f>J23</f>
        <v>100</v>
      </c>
      <c r="X23" s="1303"/>
      <c r="Y23" s="3630"/>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0"/>
      <c r="Q24" s="1307">
        <f t="shared" ref="Q24:Q34" si="8">B24</f>
        <v>111</v>
      </c>
      <c r="R24" s="1308" t="s">
        <v>5</v>
      </c>
      <c r="S24" s="1309">
        <f>F24</f>
        <v>100</v>
      </c>
      <c r="T24" s="1308" t="s">
        <v>5</v>
      </c>
      <c r="U24" s="1309">
        <f>H24</f>
        <v>100</v>
      </c>
      <c r="V24" s="1308" t="s">
        <v>5</v>
      </c>
      <c r="W24" s="1309">
        <f>J24</f>
        <v>100</v>
      </c>
      <c r="X24" s="1303"/>
      <c r="Y24" s="3630"/>
      <c r="Z24" s="1310">
        <f>Q24</f>
        <v>111</v>
      </c>
      <c r="AA24" s="1310">
        <f t="shared" si="3"/>
        <v>1</v>
      </c>
      <c r="AB24" s="1310">
        <f t="shared" si="4"/>
        <v>1</v>
      </c>
      <c r="AC24" s="1310">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0"/>
      <c r="Q25" s="818">
        <f t="shared" si="8"/>
        <v>111</v>
      </c>
      <c r="R25" s="1304" t="s">
        <v>5</v>
      </c>
      <c r="S25" s="1305">
        <f>F25</f>
        <v>100</v>
      </c>
      <c r="T25" s="1304" t="s">
        <v>5</v>
      </c>
      <c r="U25" s="1305">
        <f>H25</f>
        <v>100</v>
      </c>
      <c r="V25" s="1304" t="s">
        <v>5</v>
      </c>
      <c r="W25" s="1305">
        <f>J25</f>
        <v>100</v>
      </c>
      <c r="X25" s="1306"/>
      <c r="Y25" s="3630"/>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1"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2"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2"/>
      <c r="Q27" s="819" t="str">
        <f t="shared" si="8"/>
        <v>成新率</v>
      </c>
      <c r="R27" s="1311" t="s">
        <v>5</v>
      </c>
      <c r="S27" s="1312" t="e">
        <f t="shared" si="9"/>
        <v>#N/A</v>
      </c>
      <c r="T27" s="1311" t="s">
        <v>5</v>
      </c>
      <c r="U27" s="1312" t="e">
        <f t="shared" si="10"/>
        <v>#N/A</v>
      </c>
      <c r="V27" s="1311" t="s">
        <v>5</v>
      </c>
      <c r="W27" s="1312" t="e">
        <f t="shared" si="11"/>
        <v>#N/A</v>
      </c>
      <c r="X27" s="1313"/>
      <c r="Y27" s="3632"/>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2"/>
      <c r="Q28" s="1307" t="str">
        <f t="shared" si="8"/>
        <v>物业等级</v>
      </c>
      <c r="R28" s="1308" t="s">
        <v>5</v>
      </c>
      <c r="S28" s="1309">
        <f t="shared" si="9"/>
        <v>100</v>
      </c>
      <c r="T28" s="1308" t="s">
        <v>5</v>
      </c>
      <c r="U28" s="1309">
        <f t="shared" si="10"/>
        <v>100</v>
      </c>
      <c r="V28" s="1308" t="s">
        <v>5</v>
      </c>
      <c r="W28" s="1309">
        <f t="shared" si="11"/>
        <v>100</v>
      </c>
      <c r="X28" s="1303"/>
      <c r="Y28" s="3632"/>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2"/>
      <c r="Q29" s="1307" t="str">
        <f t="shared" si="8"/>
        <v>有无电梯</v>
      </c>
      <c r="R29" s="1308" t="s">
        <v>5</v>
      </c>
      <c r="S29" s="1309">
        <f t="shared" si="9"/>
        <v>100</v>
      </c>
      <c r="T29" s="1308" t="s">
        <v>5</v>
      </c>
      <c r="U29" s="1309">
        <f t="shared" si="10"/>
        <v>100</v>
      </c>
      <c r="V29" s="1308" t="s">
        <v>5</v>
      </c>
      <c r="W29" s="1309">
        <f t="shared" si="11"/>
        <v>100</v>
      </c>
      <c r="X29" s="1303"/>
      <c r="Y29" s="3632"/>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2"/>
      <c r="Q30" s="1307" t="str">
        <f t="shared" si="8"/>
        <v>建筑面积</v>
      </c>
      <c r="R30" s="1308" t="s">
        <v>5</v>
      </c>
      <c r="S30" s="1309" t="e">
        <f t="shared" si="9"/>
        <v>#N/A</v>
      </c>
      <c r="T30" s="1308" t="s">
        <v>5</v>
      </c>
      <c r="U30" s="1309" t="e">
        <f t="shared" si="10"/>
        <v>#N/A</v>
      </c>
      <c r="V30" s="1308" t="s">
        <v>5</v>
      </c>
      <c r="W30" s="1309" t="e">
        <f t="shared" si="11"/>
        <v>#N/A</v>
      </c>
      <c r="X30" s="1303"/>
      <c r="Y30" s="3632"/>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2"/>
      <c r="Q31" s="818" t="str">
        <f t="shared" si="8"/>
        <v>是否封闭</v>
      </c>
      <c r="R31" s="1304" t="s">
        <v>5</v>
      </c>
      <c r="S31" s="1305">
        <f t="shared" si="9"/>
        <v>100</v>
      </c>
      <c r="T31" s="1304" t="s">
        <v>5</v>
      </c>
      <c r="U31" s="1305">
        <f t="shared" si="10"/>
        <v>100</v>
      </c>
      <c r="V31" s="1304" t="s">
        <v>5</v>
      </c>
      <c r="W31" s="1305">
        <f t="shared" si="11"/>
        <v>100</v>
      </c>
      <c r="X31" s="1306"/>
      <c r="Y31" s="363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2" t="s">
        <v>499</v>
      </c>
      <c r="Q32" s="1307">
        <f t="shared" si="8"/>
        <v>111</v>
      </c>
      <c r="R32" s="1308" t="s">
        <v>5</v>
      </c>
      <c r="S32" s="1309">
        <f t="shared" si="9"/>
        <v>100</v>
      </c>
      <c r="T32" s="1308" t="s">
        <v>5</v>
      </c>
      <c r="U32" s="1309">
        <f t="shared" si="10"/>
        <v>100</v>
      </c>
      <c r="V32" s="1308" t="s">
        <v>5</v>
      </c>
      <c r="W32" s="1309">
        <f t="shared" si="11"/>
        <v>100</v>
      </c>
      <c r="X32" s="1303"/>
      <c r="Y32" s="3632"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2"/>
      <c r="Q33" s="1307">
        <f t="shared" si="8"/>
        <v>111</v>
      </c>
      <c r="R33" s="1308" t="s">
        <v>5</v>
      </c>
      <c r="S33" s="1309">
        <f t="shared" si="9"/>
        <v>100</v>
      </c>
      <c r="T33" s="1308" t="s">
        <v>5</v>
      </c>
      <c r="U33" s="1309">
        <f t="shared" si="10"/>
        <v>100</v>
      </c>
      <c r="V33" s="1308" t="s">
        <v>5</v>
      </c>
      <c r="W33" s="1309">
        <f t="shared" si="11"/>
        <v>100</v>
      </c>
      <c r="X33" s="1303"/>
      <c r="Y33" s="3632"/>
      <c r="Z33" s="1310">
        <f t="shared" si="12"/>
        <v>111</v>
      </c>
      <c r="AA33" s="1310">
        <f t="shared" si="3"/>
        <v>1</v>
      </c>
      <c r="AB33" s="1310">
        <f t="shared" si="4"/>
        <v>1</v>
      </c>
      <c r="AC33" s="1310">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2"/>
      <c r="Q34" s="1307">
        <f t="shared" si="8"/>
        <v>111</v>
      </c>
      <c r="R34" s="1308" t="s">
        <v>5</v>
      </c>
      <c r="S34" s="1309">
        <f t="shared" si="9"/>
        <v>100</v>
      </c>
      <c r="T34" s="1308" t="s">
        <v>5</v>
      </c>
      <c r="U34" s="1309">
        <f t="shared" si="10"/>
        <v>100</v>
      </c>
      <c r="V34" s="1308" t="s">
        <v>5</v>
      </c>
      <c r="W34" s="1309">
        <f t="shared" si="11"/>
        <v>100</v>
      </c>
      <c r="X34" s="1303"/>
      <c r="Y34" s="3632"/>
      <c r="Z34" s="1310">
        <f t="shared" si="12"/>
        <v>111</v>
      </c>
      <c r="AA34" s="1310">
        <f t="shared" si="3"/>
        <v>1</v>
      </c>
      <c r="AB34" s="1310">
        <f t="shared" si="4"/>
        <v>1</v>
      </c>
      <c r="AC34" s="1310">
        <f t="shared" si="5"/>
        <v>1</v>
      </c>
    </row>
    <row r="35" spans="1:29" ht="14.4">
      <c r="A35" s="556" t="s">
        <v>683</v>
      </c>
      <c r="B35" s="812"/>
      <c r="C35" s="2082" t="s">
        <v>0</v>
      </c>
      <c r="D35" s="559"/>
      <c r="E35" s="560"/>
      <c r="F35" s="561"/>
      <c r="G35" s="562"/>
      <c r="H35" s="563"/>
      <c r="I35" s="560"/>
      <c r="J35" s="563"/>
      <c r="K35" s="1336"/>
      <c r="L35" s="1752"/>
      <c r="M35" s="1743"/>
      <c r="N35" s="1743"/>
      <c r="O35" s="1743"/>
      <c r="P35" s="3596" t="str">
        <f>A35</f>
        <v>成交单价（元/平方米）</v>
      </c>
      <c r="Q35" s="3596"/>
      <c r="R35" s="3597">
        <f>E35</f>
        <v>0</v>
      </c>
      <c r="S35" s="3597"/>
      <c r="T35" s="3597">
        <f>G35</f>
        <v>0</v>
      </c>
      <c r="U35" s="3597"/>
      <c r="V35" s="3597">
        <f>I35</f>
        <v>0</v>
      </c>
      <c r="W35" s="3597"/>
      <c r="X35" s="799"/>
      <c r="Y35" s="1315"/>
      <c r="Z35" s="799"/>
      <c r="AA35" s="799"/>
      <c r="AB35" s="799"/>
      <c r="AC35" s="799"/>
    </row>
    <row r="36" spans="1:29" ht="15" thickBot="1">
      <c r="A36" s="564" t="s">
        <v>2042</v>
      </c>
      <c r="B36" s="813"/>
      <c r="C36" s="2083" t="e">
        <f>R37</f>
        <v>#DIV/0!</v>
      </c>
      <c r="D36" s="2550" t="s">
        <v>2262</v>
      </c>
      <c r="E36" s="2084" t="e">
        <f>R36</f>
        <v>#DIV/0!</v>
      </c>
      <c r="F36" s="2551"/>
      <c r="G36" s="2083" t="e">
        <f>T36</f>
        <v>#DIV/0!</v>
      </c>
      <c r="H36" s="2551"/>
      <c r="I36" s="2084" t="e">
        <f>V36</f>
        <v>#DIV/0!</v>
      </c>
      <c r="J36" s="2551"/>
      <c r="K36" s="2558">
        <f>F36+H36+J36</f>
        <v>0</v>
      </c>
      <c r="L36" s="1752"/>
      <c r="M36" s="1743"/>
      <c r="N36" s="1743"/>
      <c r="O36" s="1743"/>
      <c r="P36" s="3596" t="str">
        <f>A36</f>
        <v>比较价格（元/平方米）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799"/>
      <c r="Y36" s="799"/>
      <c r="Z36" s="799"/>
      <c r="AA36" s="799"/>
      <c r="AB36" s="799"/>
      <c r="AC36" s="799"/>
    </row>
    <row r="37" spans="1:29" ht="15" thickBot="1">
      <c r="A37" s="568" t="s">
        <v>2198</v>
      </c>
      <c r="B37" s="569"/>
      <c r="C37" s="469" t="e">
        <f>R37</f>
        <v>#DIV/0!</v>
      </c>
      <c r="D37" s="469"/>
      <c r="E37" s="469"/>
      <c r="F37" s="469"/>
      <c r="G37" s="469"/>
      <c r="H37" s="469"/>
      <c r="I37" s="469"/>
      <c r="J37" s="469"/>
      <c r="K37" s="1337"/>
      <c r="L37" s="1752"/>
      <c r="M37" s="1743"/>
      <c r="N37" s="1743"/>
      <c r="O37" s="1743"/>
      <c r="P37" s="3633" t="str">
        <f>A37</f>
        <v>估价对象XX用房的比较价格（楼面单价，元/平方米）</v>
      </c>
      <c r="Q37" s="3634"/>
      <c r="R37" s="3719" t="e">
        <f>IF(F1="售价",ROUND(IF(D36="简单平均",AVERAGE(R36:W36),R36*F36+T36*H36+V36*J36),0),ROUND(IF(D36="简单平均",AVERAGE(R36:V36),R36*F36+T36*H36+V36*J36),1))</f>
        <v>#DIV/0!</v>
      </c>
      <c r="S37" s="3719"/>
      <c r="T37" s="3719"/>
      <c r="U37" s="3719"/>
      <c r="V37" s="3719"/>
      <c r="W37" s="3719"/>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2.2"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4.4">
      <c r="A46" s="592" t="s">
        <v>478</v>
      </c>
      <c r="B46" s="593"/>
      <c r="C46" s="2114" t="str">
        <f>YEAR(C7)&amp;"-"&amp;MONTH(C7)</f>
        <v>2025-3</v>
      </c>
      <c r="D46" s="2116">
        <f>EDATE(C46,-1)</f>
        <v>45689</v>
      </c>
      <c r="E46" s="2116">
        <f t="shared" ref="E46:O46" si="13">EDATE(D46,-1)</f>
        <v>45658</v>
      </c>
      <c r="F46" s="2116">
        <f t="shared" si="13"/>
        <v>45627</v>
      </c>
      <c r="G46" s="2116">
        <f t="shared" si="13"/>
        <v>45597</v>
      </c>
      <c r="H46" s="2116">
        <f t="shared" si="13"/>
        <v>45566</v>
      </c>
      <c r="I46" s="2116">
        <f t="shared" si="13"/>
        <v>45536</v>
      </c>
      <c r="J46" s="2116">
        <f t="shared" si="13"/>
        <v>45505</v>
      </c>
      <c r="K46" s="2116">
        <f t="shared" si="13"/>
        <v>45474</v>
      </c>
      <c r="L46" s="2116">
        <f t="shared" si="13"/>
        <v>45444</v>
      </c>
      <c r="M46" s="2116">
        <f t="shared" si="13"/>
        <v>45413</v>
      </c>
      <c r="N46" s="2116">
        <f t="shared" si="13"/>
        <v>45383</v>
      </c>
      <c r="O46" s="2116">
        <f t="shared" si="13"/>
        <v>45352</v>
      </c>
      <c r="P46" s="1766"/>
      <c r="Q46" s="1766"/>
      <c r="R46" s="1766"/>
      <c r="S46" s="1766"/>
      <c r="T46" s="1766"/>
      <c r="U46" s="1766"/>
      <c r="V46" s="1766"/>
      <c r="W46" s="1766"/>
      <c r="X46" s="1766"/>
      <c r="Y46" s="1766"/>
      <c r="Z46" s="1766"/>
      <c r="AA46" s="1766"/>
      <c r="AB46" s="1766"/>
      <c r="AC46" s="1766"/>
    </row>
    <row r="47" spans="1:29" s="1060" customFormat="1">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4.4">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4.4"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ht="14.4">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4.4"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9.4"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4.4"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4.4"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4.4"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4.4"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4.4"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4.4"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4.4"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4.4"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4.4"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4.4"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4.4"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4.4"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4.4"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4.4"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4.4"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4.4"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4.4"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4.4"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4.4"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0" t="s">
        <v>1661</v>
      </c>
      <c r="D1" s="3731"/>
      <c r="E1" s="3731"/>
      <c r="F1" s="3731"/>
      <c r="G1" s="3731"/>
      <c r="H1" s="3731"/>
      <c r="I1" s="3731"/>
      <c r="J1" s="3731"/>
      <c r="K1" s="3731"/>
      <c r="L1" s="3731"/>
      <c r="M1" s="3731"/>
      <c r="N1" s="3731"/>
      <c r="O1" s="3731"/>
      <c r="P1" s="3731"/>
      <c r="Q1" s="3731"/>
      <c r="R1" s="3731"/>
      <c r="S1" s="3732"/>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8"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5"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8"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7"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8"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7"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8" thickBot="1">
      <c r="A10" s="1846"/>
      <c r="B10" s="2346"/>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5"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8"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5"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8"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5"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8"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8"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6">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6">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27" t="s">
        <v>14</v>
      </c>
      <c r="D22" s="3728"/>
      <c r="E22" s="3728"/>
      <c r="F22" s="3728"/>
      <c r="G22" s="3728"/>
      <c r="H22" s="3728"/>
      <c r="I22" s="3728"/>
      <c r="J22" s="3728"/>
      <c r="K22" s="3728"/>
      <c r="L22" s="3728"/>
      <c r="M22" s="3728"/>
      <c r="N22" s="3728"/>
      <c r="O22" s="3728"/>
      <c r="P22" s="3728"/>
      <c r="Q22" s="3729"/>
      <c r="R22" s="49" t="e">
        <f>ROUND(S22*10000/B22,0)</f>
        <v>#DIV/0!</v>
      </c>
      <c r="S22" s="49">
        <f>SUM(S24:S10000)</f>
        <v>0</v>
      </c>
    </row>
    <row r="23" spans="1:45" s="1338"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E1" zoomScale="90" zoomScaleNormal="90" workbookViewId="0">
      <selection activeCell="AH29" sqref="AH29"/>
    </sheetView>
  </sheetViews>
  <sheetFormatPr defaultRowHeight="14.4"/>
  <cols>
    <col min="1" max="1" width="12.33203125" customWidth="1"/>
    <col min="11" max="17" width="0" hidden="1" customWidth="1"/>
    <col min="24" max="30" width="0" hidden="1" customWidth="1"/>
  </cols>
  <sheetData>
    <row r="1" spans="1:30">
      <c r="A1" s="3134">
        <f>基准地价!G23</f>
        <v>45730</v>
      </c>
      <c r="B1" s="3091" t="s">
        <v>3266</v>
      </c>
      <c r="C1" s="3092"/>
      <c r="D1" s="3092"/>
      <c r="E1" s="3092"/>
      <c r="F1" s="3092"/>
      <c r="G1" s="3092"/>
      <c r="H1" s="3092"/>
      <c r="I1" s="3092"/>
      <c r="J1" s="3093"/>
      <c r="K1" s="3092" t="s">
        <v>2789</v>
      </c>
      <c r="L1" s="3092"/>
      <c r="M1" s="3092"/>
      <c r="N1" s="3092"/>
      <c r="O1" s="3092"/>
      <c r="P1" s="3092"/>
      <c r="Q1" s="3093"/>
      <c r="R1" s="3733" t="s">
        <v>2797</v>
      </c>
      <c r="S1" s="3734"/>
      <c r="T1" s="3734"/>
      <c r="U1" s="3734"/>
      <c r="V1" s="3734"/>
      <c r="W1" s="3734"/>
      <c r="X1" s="3093"/>
      <c r="Y1" s="3733" t="s">
        <v>2808</v>
      </c>
      <c r="Z1" s="3734"/>
      <c r="AA1" s="3734"/>
      <c r="AB1" s="3734"/>
      <c r="AC1" s="3734"/>
      <c r="AD1" s="3734"/>
    </row>
    <row r="2" spans="1:30" ht="15" thickBot="1">
      <c r="A2" s="3086"/>
      <c r="B2" s="3094"/>
      <c r="C2" s="3095"/>
      <c r="D2" s="2424" t="s">
        <v>2791</v>
      </c>
      <c r="E2" s="2425" t="s">
        <v>2792</v>
      </c>
      <c r="F2" s="2425" t="s">
        <v>2793</v>
      </c>
      <c r="G2" s="2425" t="s">
        <v>2794</v>
      </c>
      <c r="H2" s="2425" t="s">
        <v>2795</v>
      </c>
      <c r="I2" s="2425" t="s">
        <v>2737</v>
      </c>
      <c r="J2" s="3096"/>
      <c r="K2" s="2424" t="s">
        <v>2791</v>
      </c>
      <c r="L2" s="2425" t="s">
        <v>2792</v>
      </c>
      <c r="M2" s="2425" t="s">
        <v>2793</v>
      </c>
      <c r="N2" s="2425" t="s">
        <v>2794</v>
      </c>
      <c r="O2" s="2425" t="s">
        <v>2795</v>
      </c>
      <c r="P2" s="2425" t="s">
        <v>2737</v>
      </c>
      <c r="Q2" s="3096"/>
      <c r="R2" s="2424" t="s">
        <v>2798</v>
      </c>
      <c r="S2" s="2425" t="s">
        <v>2799</v>
      </c>
      <c r="T2" s="2425" t="s">
        <v>2800</v>
      </c>
      <c r="U2" s="2425" t="s">
        <v>2801</v>
      </c>
      <c r="V2" s="2425" t="s">
        <v>2802</v>
      </c>
      <c r="W2" s="2425" t="s">
        <v>2803</v>
      </c>
      <c r="X2" s="3096"/>
      <c r="Y2" s="2424" t="s">
        <v>2791</v>
      </c>
      <c r="Z2" s="2425" t="s">
        <v>1470</v>
      </c>
      <c r="AA2" s="2425" t="s">
        <v>2809</v>
      </c>
      <c r="AB2" s="2425" t="s">
        <v>1469</v>
      </c>
      <c r="AC2" s="2425" t="s">
        <v>2795</v>
      </c>
      <c r="AD2" s="2425" t="s">
        <v>2454</v>
      </c>
    </row>
    <row r="3" spans="1:30">
      <c r="A3" s="3087" t="s">
        <v>2780</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3261</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3262</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3256</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3263</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3259</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3254</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3253</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3251</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3249</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3247</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3244</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3245</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2781</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2782</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2783</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2784</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5" thickBot="1">
      <c r="A21" s="3090" t="s">
        <v>2785</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5" thickTop="1"/>
    <row r="23" spans="1:30">
      <c r="A23" s="3389" t="s">
        <v>3268</v>
      </c>
    </row>
    <row r="24" spans="1:30">
      <c r="I24" s="2749" t="s">
        <v>2796</v>
      </c>
    </row>
    <row r="26" spans="1:30">
      <c r="A26" s="2440"/>
      <c r="B26" s="3091" t="s">
        <v>3267</v>
      </c>
      <c r="C26" s="3092"/>
      <c r="D26" s="3092"/>
      <c r="E26" s="3092"/>
      <c r="F26" s="3092"/>
      <c r="G26" s="3092"/>
      <c r="H26" s="3092"/>
      <c r="I26" s="3092"/>
      <c r="J26" s="3093"/>
      <c r="K26" s="3092" t="s">
        <v>2789</v>
      </c>
      <c r="L26" s="3092"/>
      <c r="M26" s="3092"/>
      <c r="N26" s="3092"/>
      <c r="O26" s="3092"/>
      <c r="P26" s="3092"/>
      <c r="Q26" s="3093"/>
      <c r="R26" s="3733" t="s">
        <v>2804</v>
      </c>
      <c r="S26" s="3734"/>
      <c r="T26" s="3734"/>
      <c r="U26" s="3734"/>
      <c r="V26" s="3734"/>
      <c r="W26" s="3734"/>
      <c r="X26" s="3093"/>
      <c r="Y26" s="3733" t="s">
        <v>1925</v>
      </c>
      <c r="Z26" s="3734"/>
      <c r="AA26" s="3734"/>
      <c r="AB26" s="3734"/>
      <c r="AC26" s="3734"/>
      <c r="AD26" s="3734"/>
    </row>
    <row r="27" spans="1:30" ht="15" thickBot="1">
      <c r="A27" s="3086"/>
      <c r="B27" s="3094"/>
      <c r="C27" s="3095"/>
      <c r="D27" s="2424" t="s">
        <v>2791</v>
      </c>
      <c r="E27" s="2425" t="s">
        <v>2792</v>
      </c>
      <c r="F27" s="2425" t="s">
        <v>2793</v>
      </c>
      <c r="G27" s="2425" t="s">
        <v>1469</v>
      </c>
      <c r="H27" s="2425"/>
      <c r="I27" s="2425" t="s">
        <v>2737</v>
      </c>
      <c r="J27" s="3096"/>
      <c r="K27" s="2424" t="s">
        <v>2791</v>
      </c>
      <c r="L27" s="2425" t="s">
        <v>2792</v>
      </c>
      <c r="M27" s="2425" t="s">
        <v>2793</v>
      </c>
      <c r="N27" s="2425" t="s">
        <v>2794</v>
      </c>
      <c r="O27" s="2425"/>
      <c r="P27" s="2425" t="s">
        <v>2737</v>
      </c>
      <c r="Q27" s="3096"/>
      <c r="R27" s="2424" t="s">
        <v>2805</v>
      </c>
      <c r="S27" s="2425" t="s">
        <v>2806</v>
      </c>
      <c r="T27" s="2425" t="s">
        <v>2793</v>
      </c>
      <c r="U27" s="2425" t="s">
        <v>1469</v>
      </c>
      <c r="V27" s="2425"/>
      <c r="W27" s="2425" t="s">
        <v>2807</v>
      </c>
      <c r="X27" s="3096"/>
      <c r="Y27" s="2424" t="s">
        <v>2790</v>
      </c>
      <c r="Z27" s="2425" t="s">
        <v>2792</v>
      </c>
      <c r="AA27" s="2425" t="s">
        <v>2793</v>
      </c>
      <c r="AB27" s="2425" t="s">
        <v>1469</v>
      </c>
      <c r="AC27" s="2425"/>
      <c r="AD27" s="2425" t="s">
        <v>2810</v>
      </c>
    </row>
    <row r="28" spans="1:30">
      <c r="A28" s="3087" t="s">
        <v>2786</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0"/>
      <c r="B29" s="3102"/>
      <c r="C29" s="2440"/>
      <c r="D29" s="2440"/>
      <c r="E29" s="2440"/>
      <c r="F29" s="2440"/>
      <c r="G29" s="2440"/>
      <c r="H29" s="2440"/>
      <c r="I29" s="2440"/>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3261</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3264</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3257</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3265</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3260</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3255</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3253</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3252</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3250</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3248</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3246</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3245</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2781</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2782</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2783</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2787</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5" thickBot="1">
      <c r="A46" s="3090" t="s">
        <v>2788</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5" thickTop="1"/>
    <row r="48" spans="1:30">
      <c r="A48" s="3389" t="s">
        <v>3269</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45730</v>
      </c>
      <c r="H1" s="2234">
        <f>IF(C1&gt;C13,0,MATCH(C1,C$13:C$114,-1))+IF(SUMIF(C13:C114,C1,D13:D114)=0,13,12)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v>
      </c>
      <c r="D2" s="2291" t="s">
        <v>2066</v>
      </c>
      <c r="E2" s="2294">
        <f ca="1">INDIRECT("I"&amp;$I$1)/100</f>
        <v>3.1E-2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3.1</v>
      </c>
      <c r="J3" s="2240">
        <f ca="1">INDIRECT("d"&amp;$H$1)</f>
        <v>3.1</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3.1</v>
      </c>
      <c r="J4" s="2246">
        <f ca="1">INDIRECT("e"&amp;$H$1)</f>
        <v>3.1</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3.1</v>
      </c>
      <c r="J5" s="2246">
        <f ca="1">INDIRECT("f"&amp;$H$1)</f>
        <v>3.1</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3.1</v>
      </c>
      <c r="J6" s="2246">
        <f ca="1">INDIRECT("g"&amp;$H$1)</f>
        <v>3.1</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3.6</v>
      </c>
      <c r="J7" s="2251">
        <f ca="1">INDIRECT("h"&amp;$H$1)</f>
        <v>3.6</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45586</v>
      </c>
      <c r="D13" s="2280">
        <v>3.1</v>
      </c>
      <c r="E13" s="2280">
        <f>D13</f>
        <v>3.1</v>
      </c>
      <c r="F13" s="2280">
        <f>D13</f>
        <v>3.1</v>
      </c>
      <c r="G13" s="2280">
        <f>D13</f>
        <v>3.1</v>
      </c>
      <c r="H13" s="2280">
        <v>3.6</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45495</v>
      </c>
      <c r="D14" s="2284">
        <v>3.35</v>
      </c>
      <c r="E14" s="2284">
        <f>D14</f>
        <v>3.35</v>
      </c>
      <c r="F14" s="2284">
        <f>D14</f>
        <v>3.35</v>
      </c>
      <c r="G14" s="2284">
        <f>D14</f>
        <v>3.35</v>
      </c>
      <c r="H14" s="2284">
        <v>3.85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45342</v>
      </c>
      <c r="D15" s="2284">
        <v>3.45</v>
      </c>
      <c r="E15" s="2284">
        <f>D15</f>
        <v>3.45</v>
      </c>
      <c r="F15" s="2284">
        <f>D15</f>
        <v>3.45</v>
      </c>
      <c r="G15" s="2284">
        <f>D15</f>
        <v>3.45</v>
      </c>
      <c r="H15" s="2284">
        <v>3.95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45159</v>
      </c>
      <c r="D16" s="2284">
        <v>3.45</v>
      </c>
      <c r="E16" s="2284">
        <f>D16</f>
        <v>3.45</v>
      </c>
      <c r="F16" s="2284">
        <f>D16</f>
        <v>3.45</v>
      </c>
      <c r="G16" s="2284">
        <f>D16</f>
        <v>3.45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45097</v>
      </c>
      <c r="D17" s="2284">
        <v>3.55</v>
      </c>
      <c r="E17" s="2284">
        <f>D17</f>
        <v>3.55</v>
      </c>
      <c r="F17" s="2284">
        <f>D17</f>
        <v>3.55</v>
      </c>
      <c r="G17" s="2284">
        <f>D17</f>
        <v>3.55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44795</v>
      </c>
      <c r="D18" s="2284">
        <v>3.65</v>
      </c>
      <c r="E18" s="2284">
        <v>3.65</v>
      </c>
      <c r="F18" s="2284">
        <v>3.65</v>
      </c>
      <c r="G18" s="2284">
        <v>3.65</v>
      </c>
      <c r="H18" s="2284">
        <v>4.3</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5.6">
      <c r="A19" s="2277"/>
      <c r="B19" s="2278"/>
      <c r="C19" s="2285">
        <v>44701</v>
      </c>
      <c r="D19" s="2284">
        <v>3.7</v>
      </c>
      <c r="E19" s="2284">
        <f>D19</f>
        <v>3.7</v>
      </c>
      <c r="F19" s="2284">
        <f>D19</f>
        <v>3.7</v>
      </c>
      <c r="G19" s="2284">
        <f>D19</f>
        <v>3.7</v>
      </c>
      <c r="H19" s="2284">
        <v>4.45</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44581</v>
      </c>
      <c r="D20" s="2284">
        <v>3.7</v>
      </c>
      <c r="E20" s="2284">
        <f>D20</f>
        <v>3.7</v>
      </c>
      <c r="F20" s="2284">
        <f>D20</f>
        <v>3.7</v>
      </c>
      <c r="G20" s="2284">
        <f>D20</f>
        <v>3.7</v>
      </c>
      <c r="H20" s="2284">
        <v>4.5999999999999996</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44550</v>
      </c>
      <c r="D21" s="2284">
        <v>3.8</v>
      </c>
      <c r="E21" s="2284">
        <f>D21</f>
        <v>3.8</v>
      </c>
      <c r="F21" s="2284">
        <f>D21</f>
        <v>3.8</v>
      </c>
      <c r="G21" s="2284">
        <f>D21</f>
        <v>3.8</v>
      </c>
      <c r="H21" s="2284">
        <v>4.6500000000000004</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84"/>
      <c r="C22" s="2285">
        <v>43941</v>
      </c>
      <c r="D22" s="2284">
        <v>3.85</v>
      </c>
      <c r="E22" s="2284">
        <v>3.85</v>
      </c>
      <c r="F22" s="2284">
        <v>3.85</v>
      </c>
      <c r="G22" s="2284">
        <v>3.85</v>
      </c>
      <c r="H22" s="2284">
        <v>4.6500000000000004</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81"/>
      <c r="B23" s="2284"/>
      <c r="C23" s="2285">
        <v>43881</v>
      </c>
      <c r="D23" s="2284">
        <v>4.05</v>
      </c>
      <c r="E23" s="2284">
        <v>4.05</v>
      </c>
      <c r="F23" s="2284">
        <v>4.05</v>
      </c>
      <c r="G23" s="2284">
        <v>4.05</v>
      </c>
      <c r="H23" s="2284">
        <v>4.75</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43789</v>
      </c>
      <c r="D24" s="2284">
        <v>4.1500000000000004</v>
      </c>
      <c r="E24" s="2284">
        <v>4.1500000000000004</v>
      </c>
      <c r="F24" s="2284">
        <v>4.1500000000000004</v>
      </c>
      <c r="G24" s="2284">
        <v>4.1500000000000004</v>
      </c>
      <c r="H24" s="2284">
        <v>4.8</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43728</v>
      </c>
      <c r="D25" s="2284">
        <v>4.2</v>
      </c>
      <c r="E25" s="2284">
        <v>4.2</v>
      </c>
      <c r="F25" s="2284">
        <v>4.2</v>
      </c>
      <c r="G25" s="2284">
        <v>4.2</v>
      </c>
      <c r="H25" s="2284">
        <v>4.8499999999999996</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5.6">
      <c r="B26" s="2278" t="s">
        <v>2286</v>
      </c>
      <c r="C26" s="2286">
        <v>43697</v>
      </c>
      <c r="D26" s="2778">
        <v>4.25</v>
      </c>
      <c r="E26" s="2778">
        <v>4.25</v>
      </c>
      <c r="F26" s="2778">
        <v>4.25</v>
      </c>
      <c r="G26" s="2778">
        <v>4.25</v>
      </c>
      <c r="H26" s="2778">
        <v>4.8499999999999996</v>
      </c>
      <c r="I26" s="2778"/>
      <c r="J26" s="2778"/>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782"/>
      <c r="C27" s="2783">
        <v>42301</v>
      </c>
      <c r="D27" s="2784">
        <v>4.3499999999999996</v>
      </c>
      <c r="E27" s="2784">
        <v>4.3499999999999996</v>
      </c>
      <c r="F27" s="2784">
        <v>4.75</v>
      </c>
      <c r="G27" s="2784">
        <v>4.75</v>
      </c>
      <c r="H27" s="2784">
        <v>4.9000000000000004</v>
      </c>
      <c r="I27" s="2784"/>
      <c r="J27" s="27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42242</v>
      </c>
      <c r="D28" s="2284">
        <v>4.5999999999999996</v>
      </c>
      <c r="E28" s="2284">
        <v>4.5999999999999996</v>
      </c>
      <c r="F28" s="2284">
        <v>5</v>
      </c>
      <c r="G28" s="2284">
        <v>5</v>
      </c>
      <c r="H28" s="2284">
        <v>5.15</v>
      </c>
      <c r="I28" s="2284">
        <v>2.75</v>
      </c>
      <c r="J28" s="2284">
        <v>3.25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42183</v>
      </c>
      <c r="D29" s="2284">
        <v>4.8499999999999996</v>
      </c>
      <c r="E29" s="2284">
        <v>4.8499999999999996</v>
      </c>
      <c r="F29" s="2284">
        <v>5.25</v>
      </c>
      <c r="G29" s="2284">
        <v>5.25</v>
      </c>
      <c r="H29" s="2284">
        <v>5.4</v>
      </c>
      <c r="I29" s="2284">
        <v>3</v>
      </c>
      <c r="J29" s="2284">
        <v>3.5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42135</v>
      </c>
      <c r="D30" s="2284">
        <v>5.0999999999999996</v>
      </c>
      <c r="E30" s="2284">
        <v>5.0999999999999996</v>
      </c>
      <c r="F30" s="2284">
        <v>5.5</v>
      </c>
      <c r="G30" s="2284">
        <v>5.5</v>
      </c>
      <c r="H30" s="2284">
        <v>5.65</v>
      </c>
      <c r="I30" s="2284">
        <v>3.25</v>
      </c>
      <c r="J30" s="2284">
        <v>3.75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42064</v>
      </c>
      <c r="D31" s="2284">
        <v>5.35</v>
      </c>
      <c r="E31" s="2284">
        <v>5.35</v>
      </c>
      <c r="F31" s="2284">
        <v>5.75</v>
      </c>
      <c r="G31" s="2284">
        <v>5.75</v>
      </c>
      <c r="H31" s="2284">
        <v>5.9</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41965</v>
      </c>
      <c r="D32" s="2284">
        <v>5.6</v>
      </c>
      <c r="E32" s="2284">
        <v>5.6</v>
      </c>
      <c r="F32" s="2284">
        <v>6</v>
      </c>
      <c r="G32" s="2284">
        <v>6</v>
      </c>
      <c r="H32" s="2284">
        <v>6.15</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41096</v>
      </c>
      <c r="D33" s="2284">
        <v>5.6</v>
      </c>
      <c r="E33" s="2284">
        <v>6</v>
      </c>
      <c r="F33" s="2284">
        <v>6.15</v>
      </c>
      <c r="G33" s="2284">
        <v>6.4</v>
      </c>
      <c r="H33" s="2284">
        <v>6.55</v>
      </c>
      <c r="I33" s="2284">
        <v>4</v>
      </c>
      <c r="J33" s="2284">
        <v>4.5</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41068</v>
      </c>
      <c r="D34" s="2284">
        <v>5.85</v>
      </c>
      <c r="E34" s="2284">
        <v>6.31</v>
      </c>
      <c r="F34" s="2284">
        <v>6.4</v>
      </c>
      <c r="G34" s="2284">
        <v>6.65</v>
      </c>
      <c r="H34" s="2284">
        <v>6.8</v>
      </c>
      <c r="I34" s="2284">
        <v>4.2</v>
      </c>
      <c r="J34" s="2284">
        <v>4.7</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40731</v>
      </c>
      <c r="D35" s="2284">
        <v>6.1</v>
      </c>
      <c r="E35" s="2284">
        <v>6.56</v>
      </c>
      <c r="F35" s="2284">
        <v>6.65</v>
      </c>
      <c r="G35" s="2284">
        <v>6.9</v>
      </c>
      <c r="H35" s="2284">
        <v>7.05</v>
      </c>
      <c r="I35" s="2284">
        <v>4.45</v>
      </c>
      <c r="J35" s="2284">
        <v>4.9000000000000004</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40639</v>
      </c>
      <c r="D36" s="2284">
        <v>5.85</v>
      </c>
      <c r="E36" s="2284">
        <v>6.31</v>
      </c>
      <c r="F36" s="2284">
        <v>6.4</v>
      </c>
      <c r="G36" s="2284">
        <v>6.65</v>
      </c>
      <c r="H36" s="2284">
        <v>6.8</v>
      </c>
      <c r="I36" s="2284">
        <v>4.2</v>
      </c>
      <c r="J36" s="2284">
        <v>4.7</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40583</v>
      </c>
      <c r="D37" s="2284">
        <v>5.6</v>
      </c>
      <c r="E37" s="2284">
        <v>6.06</v>
      </c>
      <c r="F37" s="2284">
        <v>6.1</v>
      </c>
      <c r="G37" s="2284">
        <v>6.45</v>
      </c>
      <c r="H37" s="2284">
        <v>6.6</v>
      </c>
      <c r="I37" s="2284">
        <v>4</v>
      </c>
      <c r="J37" s="2284">
        <v>4.5</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40538</v>
      </c>
      <c r="D38" s="2284">
        <v>5.35</v>
      </c>
      <c r="E38" s="2284">
        <v>5.81</v>
      </c>
      <c r="F38" s="2284">
        <v>5.85</v>
      </c>
      <c r="G38" s="2284">
        <v>6.22</v>
      </c>
      <c r="H38" s="2284">
        <v>6.4</v>
      </c>
      <c r="I38" s="2284">
        <v>3.75</v>
      </c>
      <c r="J38" s="2284">
        <v>4.3</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40471</v>
      </c>
      <c r="D39" s="2284">
        <v>5.0999999999999996</v>
      </c>
      <c r="E39" s="2284">
        <v>5.56</v>
      </c>
      <c r="F39" s="2284">
        <v>5.6</v>
      </c>
      <c r="G39" s="2284">
        <v>5.96</v>
      </c>
      <c r="H39" s="2284">
        <v>6.14</v>
      </c>
      <c r="I39" s="2284">
        <v>3.5</v>
      </c>
      <c r="J39" s="2284">
        <v>4.05</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39805</v>
      </c>
      <c r="D40" s="2284">
        <v>4.8600000000000003</v>
      </c>
      <c r="E40" s="2284">
        <v>5.31</v>
      </c>
      <c r="F40" s="2284">
        <v>5.4</v>
      </c>
      <c r="G40" s="2284">
        <v>5.76</v>
      </c>
      <c r="H40" s="2284">
        <v>5.94</v>
      </c>
      <c r="I40" s="2284">
        <v>3.33</v>
      </c>
      <c r="J40" s="2284">
        <v>3.87</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39779</v>
      </c>
      <c r="D41" s="2284">
        <v>5.04</v>
      </c>
      <c r="E41" s="2284">
        <v>5.58</v>
      </c>
      <c r="F41" s="2284">
        <v>5.67</v>
      </c>
      <c r="G41" s="2284">
        <v>5.94</v>
      </c>
      <c r="H41" s="2284">
        <v>6.12</v>
      </c>
      <c r="I41" s="2284">
        <v>3.51</v>
      </c>
      <c r="J41" s="2284">
        <v>4.05</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39751</v>
      </c>
      <c r="D42" s="2284">
        <v>6.03</v>
      </c>
      <c r="E42" s="2284">
        <v>6.66</v>
      </c>
      <c r="F42" s="2284">
        <v>6.75</v>
      </c>
      <c r="G42" s="2284">
        <v>7.02</v>
      </c>
      <c r="H42" s="2284">
        <v>7.2</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6">
        <v>39748</v>
      </c>
      <c r="D43" s="2284">
        <v>6.12</v>
      </c>
      <c r="E43" s="2284">
        <v>6.93</v>
      </c>
      <c r="F43" s="2284">
        <v>7.02</v>
      </c>
      <c r="G43" s="2284">
        <v>7.29</v>
      </c>
      <c r="H43" s="2284">
        <v>7.47</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39730</v>
      </c>
      <c r="D44" s="2284">
        <v>6.12</v>
      </c>
      <c r="E44" s="2284">
        <v>6.93</v>
      </c>
      <c r="F44" s="2284">
        <v>7.02</v>
      </c>
      <c r="G44" s="2284">
        <v>7.29</v>
      </c>
      <c r="H44" s="2284">
        <v>7.47</v>
      </c>
      <c r="I44" s="2284">
        <v>4.32</v>
      </c>
      <c r="J44" s="2284">
        <v>4.8600000000000003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39707</v>
      </c>
      <c r="D45" s="2284">
        <v>6.21</v>
      </c>
      <c r="E45" s="2284">
        <v>7.2</v>
      </c>
      <c r="F45" s="2284">
        <v>7.29</v>
      </c>
      <c r="G45" s="2284">
        <v>7.56</v>
      </c>
      <c r="H45" s="2284">
        <v>7.74</v>
      </c>
      <c r="I45" s="2284">
        <v>4.59</v>
      </c>
      <c r="J45" s="2284">
        <v>5.13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39437</v>
      </c>
      <c r="D46" s="2284">
        <v>6.57</v>
      </c>
      <c r="E46" s="2284">
        <v>7.47</v>
      </c>
      <c r="F46" s="2284">
        <v>7.56</v>
      </c>
      <c r="G46" s="2284">
        <v>7.74</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39340</v>
      </c>
      <c r="D47" s="2284">
        <v>6.48</v>
      </c>
      <c r="E47" s="2284">
        <v>7.29</v>
      </c>
      <c r="F47" s="2284">
        <v>7.47</v>
      </c>
      <c r="G47" s="2284">
        <v>7.65</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39316</v>
      </c>
      <c r="D48" s="2284">
        <v>6.21</v>
      </c>
      <c r="E48" s="2284">
        <v>7.02</v>
      </c>
      <c r="F48" s="2284">
        <v>7.2</v>
      </c>
      <c r="G48" s="2284">
        <v>7.38</v>
      </c>
      <c r="H48" s="2284">
        <v>7.56</v>
      </c>
      <c r="I48" s="2284">
        <v>4.59</v>
      </c>
      <c r="J48" s="2284">
        <v>5.04</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39284</v>
      </c>
      <c r="D49" s="2284">
        <v>6.03</v>
      </c>
      <c r="E49" s="2284">
        <v>6.84</v>
      </c>
      <c r="F49" s="2284">
        <v>7.02</v>
      </c>
      <c r="G49" s="2284">
        <v>7.2</v>
      </c>
      <c r="H49" s="2284">
        <v>7.38</v>
      </c>
      <c r="I49" s="2284">
        <v>4.5</v>
      </c>
      <c r="J49" s="2284">
        <v>4.95</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39221</v>
      </c>
      <c r="D50" s="2284">
        <v>5.85</v>
      </c>
      <c r="E50" s="2284">
        <v>6.57</v>
      </c>
      <c r="F50" s="2284">
        <v>6.75</v>
      </c>
      <c r="G50" s="2284">
        <v>6.93</v>
      </c>
      <c r="H50" s="2284">
        <v>7.2</v>
      </c>
      <c r="I50" s="2284">
        <v>4.41</v>
      </c>
      <c r="J50" s="2284">
        <v>4.8600000000000003</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39159</v>
      </c>
      <c r="D51" s="2284">
        <v>5.67</v>
      </c>
      <c r="E51" s="2284">
        <v>6.39</v>
      </c>
      <c r="F51" s="2284">
        <v>6.57</v>
      </c>
      <c r="G51" s="2284">
        <v>6.75</v>
      </c>
      <c r="H51" s="2284">
        <v>7.11</v>
      </c>
      <c r="I51" s="2284">
        <v>4.32</v>
      </c>
      <c r="J51" s="2284">
        <v>4.7699999999999996</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38948</v>
      </c>
      <c r="D52" s="2284">
        <v>5.58</v>
      </c>
      <c r="E52" s="2284">
        <v>6.12</v>
      </c>
      <c r="F52" s="2284">
        <v>6.3</v>
      </c>
      <c r="G52" s="2284">
        <v>6.48</v>
      </c>
      <c r="H52" s="2284">
        <v>6.84</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38835</v>
      </c>
      <c r="D53" s="2284">
        <v>5.4</v>
      </c>
      <c r="E53" s="2284">
        <v>5.85</v>
      </c>
      <c r="F53" s="2284">
        <v>6.03</v>
      </c>
      <c r="G53" s="2284">
        <v>6.12</v>
      </c>
      <c r="H53" s="2284">
        <v>6.39</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38428</v>
      </c>
      <c r="D54" s="2284">
        <v>5.22</v>
      </c>
      <c r="E54" s="2284">
        <v>5.58</v>
      </c>
      <c r="F54" s="2284">
        <v>5.76</v>
      </c>
      <c r="G54" s="2284">
        <v>5.85</v>
      </c>
      <c r="H54" s="2284">
        <v>6.12</v>
      </c>
      <c r="I54" s="2284">
        <v>3.96</v>
      </c>
      <c r="J54" s="2284">
        <v>4.41</v>
      </c>
      <c r="L54" s="2284"/>
      <c r="M54" s="2285"/>
      <c r="N54" s="2284"/>
      <c r="O54" s="2284"/>
      <c r="P54" s="2284"/>
      <c r="Q54" s="2284"/>
      <c r="R54" s="2284"/>
      <c r="S54" s="2284"/>
      <c r="T54" s="2284"/>
      <c r="U54" s="2284"/>
      <c r="V54" s="2284"/>
      <c r="W54" s="2284"/>
      <c r="X54" s="2284"/>
      <c r="Y54" s="2284"/>
      <c r="Z54" s="2284"/>
    </row>
    <row r="55" spans="2:26">
      <c r="B55" s="2284"/>
      <c r="C55" s="2285">
        <v>38289</v>
      </c>
      <c r="D55" s="2284">
        <v>5.22</v>
      </c>
      <c r="E55" s="2284">
        <v>5.58</v>
      </c>
      <c r="F55" s="2284">
        <v>5.76</v>
      </c>
      <c r="G55" s="2284">
        <v>5.85</v>
      </c>
      <c r="H55" s="2284">
        <v>6.12</v>
      </c>
      <c r="I55" s="2284">
        <v>3.78</v>
      </c>
      <c r="J55" s="2284">
        <v>4.2300000000000004</v>
      </c>
      <c r="L55" s="2284"/>
      <c r="M55" s="2285"/>
      <c r="N55" s="2284"/>
      <c r="O55" s="2284"/>
      <c r="P55" s="2284"/>
      <c r="Q55" s="2284"/>
      <c r="R55" s="2284"/>
      <c r="S55" s="2284"/>
      <c r="T55" s="2284"/>
      <c r="U55" s="2284"/>
      <c r="V55" s="2284"/>
      <c r="W55" s="2284"/>
      <c r="X55" s="2284"/>
      <c r="Y55" s="2284"/>
      <c r="Z55" s="2284"/>
    </row>
    <row r="56" spans="2:26">
      <c r="B56" s="2284"/>
      <c r="C56" s="2285">
        <v>37308</v>
      </c>
      <c r="D56" s="2284">
        <v>5.04</v>
      </c>
      <c r="E56" s="2284">
        <v>5.31</v>
      </c>
      <c r="F56" s="2284">
        <v>5.49</v>
      </c>
      <c r="G56" s="2284">
        <v>5.58</v>
      </c>
      <c r="H56" s="2284">
        <v>5.76</v>
      </c>
      <c r="I56" s="2284">
        <v>3.6</v>
      </c>
      <c r="J56" s="2284">
        <v>4.05</v>
      </c>
      <c r="L56" s="2284"/>
      <c r="M56" s="2285"/>
      <c r="N56" s="2284"/>
      <c r="O56" s="2284"/>
      <c r="P56" s="2284"/>
      <c r="Q56" s="2284"/>
      <c r="R56" s="2284"/>
      <c r="S56" s="2284"/>
      <c r="T56" s="2284"/>
      <c r="U56" s="2284"/>
      <c r="V56" s="2284"/>
      <c r="W56" s="2284"/>
      <c r="X56" s="2284"/>
      <c r="Y56" s="2284"/>
      <c r="Z56" s="2284"/>
    </row>
    <row r="57" spans="2:26">
      <c r="B57" s="2284"/>
      <c r="C57" s="2285">
        <v>36321</v>
      </c>
      <c r="D57" s="2284">
        <v>5.58</v>
      </c>
      <c r="E57" s="2284">
        <v>5.85</v>
      </c>
      <c r="F57" s="2284">
        <v>5.94</v>
      </c>
      <c r="G57" s="2284">
        <v>6.03</v>
      </c>
      <c r="H57" s="2284">
        <v>6.21</v>
      </c>
      <c r="I57" s="2284">
        <v>4.1399999999999997</v>
      </c>
      <c r="J57" s="2284">
        <v>4.59</v>
      </c>
      <c r="L57" s="2284"/>
      <c r="M57" s="2285"/>
      <c r="N57" s="2284"/>
      <c r="O57" s="2284"/>
      <c r="P57" s="2284"/>
      <c r="Q57" s="2284"/>
      <c r="R57" s="2284"/>
      <c r="S57" s="2284"/>
      <c r="T57" s="2284"/>
      <c r="U57" s="2284"/>
      <c r="V57" s="2284"/>
      <c r="W57" s="2284"/>
      <c r="X57" s="2284"/>
      <c r="Y57" s="2284"/>
      <c r="Z57" s="2284"/>
    </row>
    <row r="58" spans="2:26">
      <c r="B58" s="2284"/>
      <c r="C58" s="2285">
        <v>36136</v>
      </c>
      <c r="D58" s="2284">
        <v>6.12</v>
      </c>
      <c r="E58" s="2284">
        <v>6.39</v>
      </c>
      <c r="F58" s="2284">
        <v>6.66</v>
      </c>
      <c r="G58" s="2284">
        <v>7.2</v>
      </c>
      <c r="H58" s="2284">
        <v>7.56</v>
      </c>
      <c r="I58" s="2284">
        <v>0</v>
      </c>
      <c r="J58" s="2284">
        <v>0</v>
      </c>
    </row>
    <row r="59" spans="2:26">
      <c r="B59" s="2284"/>
      <c r="C59" s="2285">
        <v>35977</v>
      </c>
      <c r="D59" s="2284">
        <v>6.57</v>
      </c>
      <c r="E59" s="2284">
        <v>6.93</v>
      </c>
      <c r="F59" s="2284">
        <v>7.11</v>
      </c>
      <c r="G59" s="2284">
        <v>7.65</v>
      </c>
      <c r="H59" s="2284">
        <v>8.01</v>
      </c>
      <c r="I59" s="2284">
        <v>0</v>
      </c>
      <c r="J59" s="2284">
        <v>0</v>
      </c>
    </row>
    <row r="60" spans="2:26">
      <c r="B60" s="2284"/>
      <c r="C60" s="2285">
        <v>35879</v>
      </c>
      <c r="D60" s="2284">
        <v>7.02</v>
      </c>
      <c r="E60" s="2284">
        <v>7.92</v>
      </c>
      <c r="F60" s="2284">
        <v>9</v>
      </c>
      <c r="G60" s="2284">
        <v>9.7200000000000006</v>
      </c>
      <c r="H60" s="2284">
        <v>10.35</v>
      </c>
      <c r="I60" s="2284">
        <v>0</v>
      </c>
      <c r="J60" s="2284">
        <v>0</v>
      </c>
    </row>
    <row r="61" spans="2:26">
      <c r="B61" s="2284"/>
      <c r="C61" s="2285">
        <v>35726</v>
      </c>
      <c r="D61" s="2284">
        <v>7.65</v>
      </c>
      <c r="E61" s="2284">
        <v>8.64</v>
      </c>
      <c r="F61" s="2284">
        <v>9.36</v>
      </c>
      <c r="G61" s="2284">
        <v>9.9</v>
      </c>
      <c r="H61" s="2284">
        <v>10.53</v>
      </c>
      <c r="I61" s="2284">
        <v>0</v>
      </c>
      <c r="J61" s="2284">
        <v>0</v>
      </c>
    </row>
    <row r="62" spans="2:26">
      <c r="B62" s="2284"/>
      <c r="C62" s="2285">
        <v>35300</v>
      </c>
      <c r="D62" s="2284">
        <v>9.18</v>
      </c>
      <c r="E62" s="2284">
        <v>10.08</v>
      </c>
      <c r="F62" s="2284">
        <v>10.98</v>
      </c>
      <c r="G62" s="2284">
        <v>11.7</v>
      </c>
      <c r="H62" s="2284">
        <v>12.42</v>
      </c>
      <c r="I62" s="2284">
        <v>0</v>
      </c>
      <c r="J62" s="2284">
        <v>0</v>
      </c>
    </row>
    <row r="63" spans="2:26">
      <c r="B63" s="2284"/>
      <c r="C63" s="2285">
        <v>35186</v>
      </c>
      <c r="D63" s="2284">
        <v>9.7200000000000006</v>
      </c>
      <c r="E63" s="2284">
        <v>10.98</v>
      </c>
      <c r="F63" s="2284">
        <v>13.14</v>
      </c>
      <c r="G63" s="2284">
        <v>14.94</v>
      </c>
      <c r="H63" s="2284">
        <v>15.12</v>
      </c>
      <c r="I63" s="2284">
        <v>0</v>
      </c>
      <c r="J63" s="2284">
        <v>0</v>
      </c>
    </row>
    <row r="64" spans="2:26">
      <c r="B64" s="2284"/>
      <c r="C64" s="2285">
        <v>34881</v>
      </c>
      <c r="D64" s="2284">
        <v>10.08</v>
      </c>
      <c r="E64" s="2284">
        <v>12.06</v>
      </c>
      <c r="F64" s="2284">
        <v>13.5</v>
      </c>
      <c r="G64" s="2284">
        <v>15.12</v>
      </c>
      <c r="H64" s="2284">
        <v>15.3</v>
      </c>
      <c r="I64" s="2284">
        <v>0</v>
      </c>
      <c r="J64" s="2284">
        <v>0</v>
      </c>
    </row>
    <row r="65" spans="2:10">
      <c r="B65" s="2284"/>
      <c r="C65" s="2285">
        <v>34700</v>
      </c>
      <c r="D65" s="2284">
        <v>9</v>
      </c>
      <c r="E65" s="2284">
        <v>10.98</v>
      </c>
      <c r="F65" s="2284">
        <v>12.96</v>
      </c>
      <c r="G65" s="2284">
        <v>14.58</v>
      </c>
      <c r="H65" s="2284">
        <v>14.76</v>
      </c>
      <c r="I65" s="2284">
        <v>0</v>
      </c>
      <c r="J65" s="2284">
        <v>0</v>
      </c>
    </row>
    <row r="66" spans="2:10">
      <c r="B66" s="2284"/>
      <c r="C66" s="2285">
        <v>34161</v>
      </c>
      <c r="D66" s="2284">
        <v>9</v>
      </c>
      <c r="E66" s="2284">
        <v>10.98</v>
      </c>
      <c r="F66" s="2284">
        <v>12.24</v>
      </c>
      <c r="G66" s="2284">
        <v>13.86</v>
      </c>
      <c r="H66" s="2284">
        <v>14.04</v>
      </c>
      <c r="I66" s="2284">
        <v>0</v>
      </c>
      <c r="J66" s="2284">
        <v>0</v>
      </c>
    </row>
    <row r="67" spans="2:10">
      <c r="B67" s="2284"/>
      <c r="C67" s="2285">
        <v>34104</v>
      </c>
      <c r="D67" s="2284">
        <v>8.82</v>
      </c>
      <c r="E67" s="2284">
        <v>9.36</v>
      </c>
      <c r="F67" s="2284">
        <v>10.8</v>
      </c>
      <c r="G67" s="2284">
        <v>12.06</v>
      </c>
      <c r="H67" s="2284">
        <v>12.24</v>
      </c>
      <c r="I67" s="2284">
        <v>0</v>
      </c>
      <c r="J67" s="2284">
        <v>0</v>
      </c>
    </row>
    <row r="68" spans="2:10">
      <c r="B68" s="2284"/>
      <c r="C68" s="2285">
        <v>33349</v>
      </c>
      <c r="D68" s="2284">
        <v>8.1</v>
      </c>
      <c r="E68" s="2284">
        <v>8.64</v>
      </c>
      <c r="F68" s="2284">
        <v>9</v>
      </c>
      <c r="G68" s="2284">
        <v>9.5399999999999991</v>
      </c>
      <c r="H68" s="2284">
        <v>9.7200000000000006</v>
      </c>
      <c r="I68" s="2284">
        <v>0</v>
      </c>
      <c r="J68" s="2284">
        <v>0</v>
      </c>
    </row>
    <row r="69" spans="2:10">
      <c r="B69" s="2284"/>
      <c r="C69" s="2285">
        <v>33318</v>
      </c>
      <c r="D69" s="2284">
        <v>9</v>
      </c>
      <c r="E69" s="2284">
        <v>10.08</v>
      </c>
      <c r="F69" s="2284">
        <v>10.8</v>
      </c>
      <c r="G69" s="2284">
        <v>11.52</v>
      </c>
      <c r="H69" s="2284">
        <v>11.88</v>
      </c>
      <c r="I69" s="2284" t="s">
        <v>2095</v>
      </c>
      <c r="J69" s="2284" t="s">
        <v>2095</v>
      </c>
    </row>
    <row r="70" spans="2:10">
      <c r="B70" s="2284"/>
      <c r="C70" s="2285">
        <v>33106</v>
      </c>
      <c r="D70" s="2284">
        <v>8.64</v>
      </c>
      <c r="E70" s="2284">
        <v>9.36</v>
      </c>
      <c r="F70" s="2284">
        <v>10.08</v>
      </c>
      <c r="G70" s="2284">
        <v>10.8</v>
      </c>
      <c r="H70" s="2284">
        <v>11.16</v>
      </c>
      <c r="I70" s="2284">
        <v>0</v>
      </c>
      <c r="J70" s="2284">
        <v>0</v>
      </c>
    </row>
    <row r="71" spans="2:10">
      <c r="B71" s="2284"/>
      <c r="C71" s="2285">
        <v>32540</v>
      </c>
      <c r="D71" s="2284">
        <v>11.34</v>
      </c>
      <c r="E71" s="2284">
        <v>11.34</v>
      </c>
      <c r="F71" s="2284">
        <v>12.78</v>
      </c>
      <c r="G71" s="2284">
        <v>14.4</v>
      </c>
      <c r="H71" s="2284">
        <v>19.260000000000002</v>
      </c>
      <c r="I71" s="2284">
        <v>0</v>
      </c>
      <c r="J71" s="2284">
        <v>0</v>
      </c>
    </row>
    <row r="72" spans="2:10">
      <c r="B72" s="2284"/>
      <c r="C72" s="2285"/>
      <c r="D72" s="2284"/>
      <c r="E72" s="2284"/>
      <c r="F72" s="2284"/>
      <c r="G72" s="2284"/>
      <c r="H72" s="2284"/>
      <c r="I72" s="2284"/>
      <c r="J72" s="2284"/>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37"/>
      <c r="C76" s="2237"/>
      <c r="D76" s="2237"/>
      <c r="E76" s="2237"/>
      <c r="F76" s="2237"/>
      <c r="G76" s="2237"/>
      <c r="H76" s="2237"/>
      <c r="I76" s="2237"/>
      <c r="J76" s="2237"/>
    </row>
    <row r="77" spans="2:10">
      <c r="B77" s="2237"/>
      <c r="C77" s="2237"/>
      <c r="D77" s="2237"/>
      <c r="E77" s="2237"/>
      <c r="F77" s="2237"/>
      <c r="G77" s="2237"/>
      <c r="H77" s="2237"/>
      <c r="I77" s="2237"/>
      <c r="J77"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2" t="s">
        <v>1556</v>
      </c>
      <c r="B1" s="3422"/>
      <c r="C1" s="3422"/>
      <c r="D1" s="3422"/>
      <c r="E1" s="3422"/>
      <c r="F1" s="3422"/>
      <c r="G1" s="3422"/>
      <c r="H1" s="3422"/>
      <c r="I1" s="3422"/>
      <c r="J1" s="3422"/>
      <c r="K1" s="3422"/>
      <c r="L1" s="3422"/>
      <c r="M1" s="3422"/>
      <c r="N1" s="3422"/>
      <c r="O1" s="3422"/>
      <c r="P1" s="3422"/>
      <c r="Q1" s="3422"/>
      <c r="R1" s="3422"/>
    </row>
    <row r="2" spans="1:18">
      <c r="A2" s="1503" t="s">
        <v>1558</v>
      </c>
      <c r="B2" s="1503"/>
      <c r="C2" s="1503"/>
      <c r="D2" s="1503"/>
      <c r="E2" s="1503"/>
      <c r="F2" s="1503"/>
      <c r="G2" s="1503"/>
      <c r="H2" s="1503"/>
      <c r="I2" s="1504"/>
      <c r="J2" s="1504"/>
      <c r="K2" s="1505" t="str">
        <f>"估价期日："&amp;TEXT(项目基本情况!D3,"yyyy年m月d日;;")</f>
        <v>估价期日：2025年3月14日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23" t="s">
        <v>1547</v>
      </c>
      <c r="B3" s="3423" t="s">
        <v>2013</v>
      </c>
      <c r="C3" s="3424" t="s">
        <v>1548</v>
      </c>
      <c r="D3" s="3423" t="s">
        <v>2017</v>
      </c>
      <c r="E3" s="3425" t="s">
        <v>1549</v>
      </c>
      <c r="F3" s="3425"/>
      <c r="G3" s="3425"/>
      <c r="H3" s="3425" t="s">
        <v>1550</v>
      </c>
      <c r="I3" s="3425"/>
      <c r="J3" s="3425"/>
      <c r="K3" s="3424" t="s">
        <v>1551</v>
      </c>
      <c r="L3" s="3424" t="s">
        <v>1552</v>
      </c>
      <c r="M3" s="3423" t="s">
        <v>2014</v>
      </c>
      <c r="N3" s="3423" t="str">
        <f>"（分摊）"&amp;项目基本情况!A17&amp;"国有建设用地使用权面积/㎡"</f>
        <v>（分摊）出让国有建设用地使用权面积/㎡</v>
      </c>
      <c r="O3" s="3423" t="s">
        <v>1581</v>
      </c>
      <c r="P3" s="3424" t="s">
        <v>1561</v>
      </c>
      <c r="Q3" s="3424" t="s">
        <v>1582</v>
      </c>
      <c r="R3" s="3424" t="s">
        <v>1553</v>
      </c>
    </row>
    <row r="4" spans="1:18" ht="36.75" customHeight="1">
      <c r="A4" s="3423"/>
      <c r="B4" s="3423"/>
      <c r="C4" s="3424"/>
      <c r="D4" s="3423"/>
      <c r="E4" s="1506" t="s">
        <v>1560</v>
      </c>
      <c r="F4" s="1506" t="s">
        <v>2026</v>
      </c>
      <c r="G4" s="1506" t="s">
        <v>1554</v>
      </c>
      <c r="H4" s="1506" t="s">
        <v>1555</v>
      </c>
      <c r="I4" s="1506" t="s">
        <v>2027</v>
      </c>
      <c r="J4" s="1506" t="s">
        <v>1554</v>
      </c>
      <c r="K4" s="3424"/>
      <c r="L4" s="3424"/>
      <c r="M4" s="3423"/>
      <c r="N4" s="3423"/>
      <c r="O4" s="3423"/>
      <c r="P4" s="3424"/>
      <c r="Q4" s="3424"/>
      <c r="R4" s="3424"/>
    </row>
    <row r="5" spans="1:18" ht="135" customHeight="1">
      <c r="A5" s="1603" t="s">
        <v>1937</v>
      </c>
      <c r="B5" s="2173" t="s">
        <v>1935</v>
      </c>
      <c r="C5" s="2090">
        <v>22</v>
      </c>
      <c r="D5" s="2089" t="s">
        <v>1936</v>
      </c>
      <c r="E5" s="1506" t="str">
        <f>项目基本情况!B12</f>
        <v>住宅用地</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42082</v>
      </c>
      <c r="O5" s="1506">
        <f>项目基本情况!C21</f>
        <v>92580.400000000009</v>
      </c>
      <c r="P5" s="1506">
        <f ca="1">结果表!E42</f>
        <v>13118</v>
      </c>
      <c r="Q5" s="1506">
        <f ca="1">结果表!D42</f>
        <v>5963</v>
      </c>
      <c r="R5" s="1507">
        <f ca="1">结果表!C42</f>
        <v>55202</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8">
        <f ca="1">结果表!O39</f>
        <v>55202</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8" t="str">
        <f>结果表!O40</f>
        <v>——</v>
      </c>
    </row>
    <row r="8" spans="1:18">
      <c r="A8" s="3426" t="str">
        <f>IF(项目基本情况!B9="市场价格","——",项目基本情况!E9)</f>
        <v>——</v>
      </c>
      <c r="B8" s="3427"/>
      <c r="C8" s="3427"/>
      <c r="D8" s="3427"/>
      <c r="E8" s="3427"/>
      <c r="F8" s="3427"/>
      <c r="G8" s="3427"/>
      <c r="H8" s="3427"/>
      <c r="I8" s="3427"/>
      <c r="J8" s="3427"/>
      <c r="K8" s="3427"/>
      <c r="L8" s="3427"/>
      <c r="M8" s="3427"/>
      <c r="N8" s="3427"/>
      <c r="O8" s="3427"/>
      <c r="P8" s="3427"/>
      <c r="Q8" s="3428"/>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8" customWidth="1"/>
    <col min="2" max="3" width="21.33203125" style="1498" customWidth="1"/>
    <col min="4" max="4" width="19.88671875" style="1498" customWidth="1"/>
    <col min="5" max="16384" width="9" style="1498"/>
  </cols>
  <sheetData>
    <row r="1" spans="1:4">
      <c r="A1" s="3430" t="s">
        <v>1583</v>
      </c>
      <c r="B1" s="3430"/>
      <c r="C1" s="3430"/>
      <c r="D1" s="3430"/>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3.估价规划限制条件：详见《建设工程规划许可证》[]、《出让合同》[]。</v>
      </c>
      <c r="B4" s="3430"/>
      <c r="C4" s="3430"/>
      <c r="D4" s="3430"/>
    </row>
    <row r="5" spans="1:4">
      <c r="A5" s="3429" t="s">
        <v>1584</v>
      </c>
      <c r="B5" s="3429"/>
      <c r="C5" s="3429"/>
      <c r="D5" s="3429"/>
    </row>
    <row r="6" spans="1:4">
      <c r="A6" s="3430" t="s">
        <v>1562</v>
      </c>
      <c r="B6" s="3430"/>
      <c r="C6" s="3430"/>
      <c r="D6" s="3430"/>
    </row>
    <row r="7" spans="1:4" ht="33" customHeight="1">
      <c r="A7" s="3430" t="s">
        <v>1857</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spans="1:4" ht="168" customHeight="1">
      <c r="A12" s="3429" t="s">
        <v>1586</v>
      </c>
      <c r="B12" s="3429"/>
      <c r="C12" s="3429"/>
      <c r="D12" s="3429"/>
    </row>
    <row r="13" spans="1:4">
      <c r="A13" s="3432" t="s">
        <v>2028</v>
      </c>
      <c r="B13" s="3432"/>
      <c r="C13" s="3432"/>
      <c r="D13" s="3432"/>
    </row>
    <row r="14" spans="1:4">
      <c r="A14" s="3430" t="str">
        <f>IF(项目基本情况!B8="抵押","综上，"&amp;结果表!K47,"——")</f>
        <v>综上，本次评估不存在估价师知悉的法定优先受偿款</v>
      </c>
      <c r="B14" s="3430"/>
      <c r="C14" s="3430"/>
      <c r="D14" s="3430"/>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1984</v>
      </c>
      <c r="B17" s="3430"/>
      <c r="C17" s="3430"/>
      <c r="D17" s="3430"/>
    </row>
    <row r="18" spans="1:4">
      <c r="A18" s="3430" t="s">
        <v>1976</v>
      </c>
      <c r="B18" s="3430"/>
      <c r="C18" s="3430"/>
      <c r="D18" s="3430"/>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30" t="s">
        <v>1981</v>
      </c>
      <c r="B23" s="3430"/>
      <c r="C23" s="3430"/>
      <c r="D23" s="3430"/>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0" t="s">
        <v>27</v>
      </c>
      <c r="B15" s="3441" t="s">
        <v>784</v>
      </c>
      <c r="C15" s="3437"/>
    </row>
    <row r="16" spans="1:7" ht="14.4">
      <c r="A16" s="3440"/>
      <c r="B16" s="3438" t="s">
        <v>28</v>
      </c>
      <c r="C16" s="1017" t="s">
        <v>27</v>
      </c>
    </row>
    <row r="17" spans="1:3" ht="14.4">
      <c r="A17" s="3440"/>
      <c r="B17" s="3438"/>
      <c r="C17" s="1017" t="s">
        <v>29</v>
      </c>
    </row>
    <row r="18" spans="1:3" ht="14.4">
      <c r="A18" s="3440"/>
      <c r="B18" s="3438"/>
      <c r="C18" s="1017" t="s">
        <v>30</v>
      </c>
    </row>
    <row r="19" spans="1:3" ht="14.4">
      <c r="A19" s="3440"/>
      <c r="B19" s="3436" t="s">
        <v>31</v>
      </c>
      <c r="C19" s="3437"/>
    </row>
    <row r="20" spans="1:3" ht="14.4">
      <c r="A20" s="1018" t="s">
        <v>32</v>
      </c>
      <c r="B20" s="1019"/>
      <c r="C20" s="1020"/>
    </row>
    <row r="21" spans="1:3" ht="14.4">
      <c r="A21" s="3439" t="s">
        <v>33</v>
      </c>
      <c r="B21" s="3436" t="s">
        <v>34</v>
      </c>
      <c r="C21" s="3437"/>
    </row>
    <row r="22" spans="1:3" ht="14.4">
      <c r="A22" s="3439"/>
      <c r="B22" s="3436" t="s">
        <v>35</v>
      </c>
      <c r="C22" s="3437"/>
    </row>
    <row r="23" spans="1:3" ht="14.4">
      <c r="A23" s="3439"/>
      <c r="B23" s="3436" t="s">
        <v>36</v>
      </c>
      <c r="C23" s="3437"/>
    </row>
    <row r="24" spans="1:3" ht="14.4">
      <c r="A24" s="3439"/>
      <c r="B24" s="3442" t="s">
        <v>37</v>
      </c>
      <c r="C24" s="1021" t="s">
        <v>775</v>
      </c>
    </row>
    <row r="25" spans="1:3" ht="14.4">
      <c r="A25" s="3439"/>
      <c r="B25" s="3443"/>
      <c r="C25" s="1021" t="s">
        <v>776</v>
      </c>
    </row>
    <row r="26" spans="1:3" ht="14.4">
      <c r="A26" s="3439"/>
      <c r="B26" s="3443"/>
      <c r="C26" s="1021" t="s">
        <v>777</v>
      </c>
    </row>
    <row r="27" spans="1:3" ht="14.4">
      <c r="A27" s="3439"/>
      <c r="B27" s="3443"/>
      <c r="C27" s="1021" t="s">
        <v>778</v>
      </c>
    </row>
    <row r="28" spans="1:3" ht="14.4">
      <c r="A28" s="3439"/>
      <c r="B28" s="3443"/>
      <c r="C28" s="1021" t="s">
        <v>779</v>
      </c>
    </row>
    <row r="29" spans="1:3" ht="14.4">
      <c r="A29" s="3439"/>
      <c r="B29" s="3443"/>
      <c r="C29" s="1021" t="s">
        <v>780</v>
      </c>
    </row>
    <row r="30" spans="1:3" ht="14.4">
      <c r="A30" s="3439"/>
      <c r="B30" s="3443"/>
      <c r="C30" s="1021" t="s">
        <v>781</v>
      </c>
    </row>
    <row r="31" spans="1:3" ht="14.4">
      <c r="A31" s="3439"/>
      <c r="B31" s="3443"/>
      <c r="C31" s="1021" t="s">
        <v>782</v>
      </c>
    </row>
    <row r="32" spans="1:3" ht="14.4">
      <c r="A32" s="3439"/>
      <c r="B32" s="3443"/>
      <c r="C32" s="1021" t="s">
        <v>1181</v>
      </c>
    </row>
    <row r="33" spans="1:3" ht="14.4">
      <c r="A33" s="3439"/>
      <c r="B33" s="3433" t="s">
        <v>1187</v>
      </c>
      <c r="C33" s="1021" t="s">
        <v>1182</v>
      </c>
    </row>
    <row r="34" spans="1:3" ht="14.4">
      <c r="A34" s="3439"/>
      <c r="B34" s="3434"/>
      <c r="C34" s="1026" t="s">
        <v>1183</v>
      </c>
    </row>
    <row r="35" spans="1:3" ht="14.4">
      <c r="A35" s="3439"/>
      <c r="B35" s="3434"/>
      <c r="C35" s="1027" t="s">
        <v>1184</v>
      </c>
    </row>
    <row r="36" spans="1:3" ht="14.4">
      <c r="A36" s="3439"/>
      <c r="B36" s="3434"/>
      <c r="C36" s="1027" t="s">
        <v>1185</v>
      </c>
    </row>
    <row r="37" spans="1:3" ht="14.4">
      <c r="A37" s="3439"/>
      <c r="B37" s="3435"/>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45735</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2447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7" t="s">
        <v>1448</v>
      </c>
      <c r="B18" s="3448"/>
      <c r="C18" s="3448"/>
      <c r="D18" s="3448"/>
      <c r="E18" s="3448"/>
      <c r="F18" s="3448"/>
      <c r="G18" s="2560"/>
    </row>
    <row r="19" spans="1:7" ht="20.25" customHeight="1">
      <c r="A19" s="3444" t="s">
        <v>1449</v>
      </c>
      <c r="B19" s="3444"/>
      <c r="C19" s="3445"/>
      <c r="D19" s="3446" t="s">
        <v>1450</v>
      </c>
      <c r="E19" s="3444"/>
      <c r="F19" s="3444"/>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4" sqref="B24"/>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8" customWidth="1"/>
    <col min="25" max="25" width="7.21875" style="1008" customWidth="1"/>
    <col min="26" max="16384" width="9" style="1008"/>
  </cols>
  <sheetData>
    <row r="1" spans="1:23" s="1029" customFormat="1" ht="43.2">
      <c r="A1" s="882" t="s">
        <v>794</v>
      </c>
      <c r="B1" s="3" t="s">
        <v>99</v>
      </c>
      <c r="C1" s="1294" t="s">
        <v>1237</v>
      </c>
      <c r="D1" s="2049" t="s">
        <v>2760</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ht="14.4">
      <c r="A2" s="6" t="s">
        <v>47</v>
      </c>
      <c r="B2" s="6" t="s">
        <v>116</v>
      </c>
      <c r="C2" s="1295"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ht="14.4">
      <c r="A3" s="6" t="s">
        <v>52</v>
      </c>
      <c r="B3" s="8" t="s">
        <v>117</v>
      </c>
      <c r="C3" s="1295"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ht="14.4">
      <c r="A4" s="6" t="s">
        <v>60</v>
      </c>
      <c r="B4" s="6" t="s">
        <v>118</v>
      </c>
      <c r="C4" s="1295"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row>
    <row r="5" spans="1:23" ht="14.4">
      <c r="A5" s="6" t="s">
        <v>66</v>
      </c>
      <c r="B5" s="6" t="s">
        <v>119</v>
      </c>
      <c r="C5" s="1295"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row>
    <row r="6" spans="1:23" ht="14.4">
      <c r="A6" s="6" t="s">
        <v>70</v>
      </c>
      <c r="B6" s="996" t="s">
        <v>1176</v>
      </c>
      <c r="C6" s="1296"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row>
    <row r="7" spans="1:23" ht="14.4">
      <c r="A7" s="6" t="s">
        <v>72</v>
      </c>
      <c r="B7" s="6" t="s">
        <v>73</v>
      </c>
      <c r="C7" s="1295" t="s">
        <v>1243</v>
      </c>
      <c r="F7" s="7" t="s">
        <v>120</v>
      </c>
      <c r="H7" s="7" t="s">
        <v>74</v>
      </c>
      <c r="I7" s="7" t="s">
        <v>2751</v>
      </c>
    </row>
    <row r="8" spans="1:23" ht="14.4">
      <c r="A8" s="6" t="s">
        <v>75</v>
      </c>
      <c r="B8" s="6" t="s">
        <v>76</v>
      </c>
      <c r="C8" s="1295" t="s">
        <v>1244</v>
      </c>
      <c r="F8" s="7" t="s">
        <v>121</v>
      </c>
      <c r="H8" s="3083" t="s">
        <v>2745</v>
      </c>
      <c r="I8" s="7" t="s">
        <v>2752</v>
      </c>
    </row>
    <row r="9" spans="1:23" ht="14.4">
      <c r="A9" s="6" t="s">
        <v>77</v>
      </c>
      <c r="B9" s="6" t="s">
        <v>122</v>
      </c>
      <c r="C9" s="1295" t="s">
        <v>1245</v>
      </c>
      <c r="F9" s="7" t="s">
        <v>78</v>
      </c>
      <c r="H9" s="7"/>
      <c r="I9" s="7" t="s">
        <v>2753</v>
      </c>
    </row>
    <row r="10" spans="1:23" ht="14.4">
      <c r="A10" s="6" t="s">
        <v>79</v>
      </c>
      <c r="B10" s="6" t="s">
        <v>123</v>
      </c>
      <c r="C10" s="1295" t="s">
        <v>1246</v>
      </c>
      <c r="F10" s="3083" t="s">
        <v>2744</v>
      </c>
      <c r="I10" s="7" t="s">
        <v>2754</v>
      </c>
    </row>
    <row r="11" spans="1:23" ht="14.4">
      <c r="A11" s="6" t="s">
        <v>80</v>
      </c>
      <c r="B11" s="6" t="s">
        <v>124</v>
      </c>
      <c r="C11" s="1295" t="s">
        <v>1247</v>
      </c>
      <c r="I11" s="7" t="s">
        <v>2755</v>
      </c>
    </row>
    <row r="12" spans="1:23" ht="14.4">
      <c r="A12" s="6" t="s">
        <v>81</v>
      </c>
      <c r="B12" s="6" t="s">
        <v>125</v>
      </c>
      <c r="C12" s="1295" t="s">
        <v>1248</v>
      </c>
      <c r="I12" s="7" t="s">
        <v>2756</v>
      </c>
    </row>
    <row r="13" spans="1:23" ht="14.4">
      <c r="A13" s="6" t="s">
        <v>82</v>
      </c>
      <c r="B13" s="6" t="s">
        <v>126</v>
      </c>
      <c r="C13" s="1295" t="s">
        <v>1249</v>
      </c>
      <c r="I13" s="7" t="s">
        <v>2757</v>
      </c>
    </row>
    <row r="14" spans="1:23" ht="14.4">
      <c r="A14" s="6" t="s">
        <v>83</v>
      </c>
      <c r="B14" s="6" t="s">
        <v>127</v>
      </c>
      <c r="C14" s="1297" t="s">
        <v>1421</v>
      </c>
      <c r="I14" s="7" t="s">
        <v>2758</v>
      </c>
    </row>
    <row r="15" spans="1:23" ht="14.4">
      <c r="A15" s="6" t="s">
        <v>84</v>
      </c>
      <c r="B15" s="6" t="s">
        <v>1214</v>
      </c>
      <c r="C15" s="1297"/>
      <c r="I15" s="7" t="s">
        <v>2759</v>
      </c>
    </row>
    <row r="16" spans="1:23" ht="14.4">
      <c r="A16" s="6" t="s">
        <v>85</v>
      </c>
      <c r="B16" s="6" t="s">
        <v>1215</v>
      </c>
      <c r="C16" s="1297"/>
    </row>
    <row r="17" spans="1:3" ht="14.4">
      <c r="A17" s="6" t="s">
        <v>86</v>
      </c>
      <c r="B17" s="6" t="s">
        <v>1216</v>
      </c>
      <c r="C17" s="1297"/>
    </row>
    <row r="18" spans="1:3" ht="14.4">
      <c r="A18" s="6" t="s">
        <v>87</v>
      </c>
      <c r="B18" s="2357" t="s">
        <v>2216</v>
      </c>
      <c r="C18" s="1297"/>
    </row>
    <row r="19" spans="1:3" ht="14.4">
      <c r="A19" s="6" t="s">
        <v>88</v>
      </c>
      <c r="B19" s="2357" t="s">
        <v>2223</v>
      </c>
      <c r="C19" s="1297"/>
    </row>
    <row r="20" spans="1:3" ht="14.4">
      <c r="A20" s="6" t="s">
        <v>89</v>
      </c>
      <c r="B20" s="2357" t="s">
        <v>2263</v>
      </c>
      <c r="C20" s="1297"/>
    </row>
    <row r="21" spans="1:3" ht="14.4">
      <c r="A21" s="6" t="s">
        <v>90</v>
      </c>
      <c r="B21" s="6" t="s">
        <v>2439</v>
      </c>
      <c r="C21" s="1297"/>
    </row>
    <row r="22" spans="1:3" ht="14.4">
      <c r="A22" s="6" t="s">
        <v>91</v>
      </c>
      <c r="B22" s="3741" t="s">
        <v>3528</v>
      </c>
      <c r="C22" s="1297"/>
    </row>
    <row r="23" spans="1:3" ht="14.4">
      <c r="A23" s="6" t="s">
        <v>92</v>
      </c>
      <c r="B23" s="3741" t="s">
        <v>3529</v>
      </c>
      <c r="C23" s="1297"/>
    </row>
    <row r="24" spans="1:3">
      <c r="A24" s="6" t="s">
        <v>9</v>
      </c>
      <c r="B24" s="6" t="s">
        <v>1177</v>
      </c>
      <c r="C24" s="1297"/>
    </row>
    <row r="25" spans="1:3" ht="14.4">
      <c r="A25" s="6" t="s">
        <v>93</v>
      </c>
      <c r="B25" s="6" t="s">
        <v>1177</v>
      </c>
      <c r="C25" s="1297"/>
    </row>
    <row r="26" spans="1:3" ht="14.4">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49"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c r="D53" s="1470"/>
      <c r="E53" s="1470"/>
    </row>
    <row r="54" spans="1:5">
      <c r="A54" s="3449"/>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49"/>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49"/>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49"/>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ht="14.4">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163</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区片价-范围</vt:lpstr>
      <vt:lpstr>容积率修正</vt:lpstr>
      <vt:lpstr>因素修正幅度</vt:lpstr>
      <vt:lpstr>地价</vt:lpstr>
      <vt:lpstr>比较法-住宅、综合纯住宅</vt:lpstr>
      <vt:lpstr>剩余法-待开发 纯住宅</vt:lpstr>
      <vt:lpstr>不动产比较法-住宅</vt:lpstr>
      <vt:lpstr>信息+土地案例</vt:lpstr>
      <vt:lpstr>住宅案例详情页</vt:lpstr>
      <vt:lpstr>比较法-住宅、综合</vt:lpstr>
      <vt:lpstr>剩余法-待开发</vt:lpstr>
      <vt:lpstr>基准地价（汇总）</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地价-分区</vt:lpstr>
      <vt:lpstr>存贷款利率</vt:lpstr>
      <vt:lpstr>'比较法-工业'!Print_Area</vt:lpstr>
      <vt:lpstr>'比较法-住宅、综合'!Print_Area</vt:lpstr>
      <vt:lpstr>'比较法-住宅、综合纯住宅'!Print_Area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'剩余法-待开发 纯住宅'!Print_Area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'比较法-住宅、综合纯住宅'!套工交易情况</vt:lpstr>
      <vt:lpstr>套工交易情况</vt:lpstr>
      <vt:lpstr>套工开发程度</vt:lpstr>
      <vt:lpstr>套工临街等级</vt:lpstr>
      <vt:lpstr>套工土地级别</vt:lpstr>
      <vt:lpstr>套工用途</vt:lpstr>
      <vt:lpstr>套工宗地形状</vt:lpstr>
      <vt:lpstr>'比较法-住宅、综合纯住宅'!套综道路等级</vt:lpstr>
      <vt:lpstr>套综道路等级</vt:lpstr>
      <vt:lpstr>'比较法-住宅、综合纯住宅'!套综工程地质条件</vt:lpstr>
      <vt:lpstr>套综工程地质条件</vt:lpstr>
      <vt:lpstr>'比较法-住宅、综合纯住宅'!套综交易情况</vt:lpstr>
      <vt:lpstr>套综交易情况</vt:lpstr>
      <vt:lpstr>'比较法-住宅、综合纯住宅'!套综临街宽度及深度</vt:lpstr>
      <vt:lpstr>套综临街宽度及深度</vt:lpstr>
      <vt:lpstr>'比较法-住宅、综合纯住宅'!套综土地级别</vt:lpstr>
      <vt:lpstr>套综土地级别</vt:lpstr>
      <vt:lpstr>'比较法-住宅、综合纯住宅'!套综用途</vt:lpstr>
      <vt:lpstr>套综用途</vt:lpstr>
      <vt:lpstr>'比较法-住宅、综合纯住宅'!套综宗地内开发程度</vt:lpstr>
      <vt:lpstr>套综宗地内开发程度</vt:lpstr>
      <vt:lpstr>'比较法-住宅、综合纯住宅'!套综宗地形状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2025-03-19T06:03:56Z</dcterms:modified>
</cp:coreProperties>
</file>