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60" windowWidth="11565" windowHeight="958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酒店收入计算" sheetId="57" state="hidden" r:id="rId28"/>
    <sheet name="成本逼近法" sheetId="11" state="hidden" r:id="rId29"/>
    <sheet name="不动产比较法-住宅" sheetId="21" state="hidden" r:id="rId30"/>
    <sheet name="不动产比较法-商业" sheetId="33" state="hidden" r:id="rId31"/>
    <sheet name="不动产比较法-办公" sheetId="34" state="hidden" r:id="rId32"/>
    <sheet name="不动产比较法-工业" sheetId="37" state="hidden" r:id="rId33"/>
    <sheet name="不动产比较法-车位" sheetId="35" state="hidden" r:id="rId34"/>
    <sheet name="不动产比较法-仓储" sheetId="36" state="hidden" r:id="rId35"/>
    <sheet name="典型户型修正" sheetId="31" state="hidden" r:id="rId36"/>
    <sheet name="存贷款利率" sheetId="65" state="hidden" r:id="rId37"/>
    <sheet name="土地比较法" sheetId="69" state="hidden" r:id="rId38"/>
    <sheet name="土地案例" sheetId="70" state="hidden" r:id="rId39"/>
    <sheet name="剩余法-待开发" sheetId="12" r:id="rId40"/>
    <sheet name="不动产收益法" sheetId="15" r:id="rId41"/>
    <sheet name="收益还原法" sheetId="44" state="hidden" r:id="rId42"/>
  </sheets>
  <externalReferences>
    <externalReference r:id="rId43"/>
    <externalReference r:id="rId44"/>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38"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38">'[2]不动产比较法-办公'!$B$119:$M$119</definedName>
    <definedName name="办公层高" localSheetId="37">'[2]不动产比较法-办公'!$B$119:$M$119</definedName>
    <definedName name="办公层高">'不动产比较法-办公'!$B$119:$M$119</definedName>
    <definedName name="办公朝向" localSheetId="38">'[2]不动产比较法-办公'!$B$91:$M$91</definedName>
    <definedName name="办公朝向" localSheetId="37">'[2]不动产比较法-办公'!$B$91:$M$91</definedName>
    <definedName name="办公朝向">'不动产比较法-办公'!$B$91:$M$91</definedName>
    <definedName name="办公道路级别" localSheetId="38">'[2]不动产比较法-办公'!$B$87:$M$87</definedName>
    <definedName name="办公道路级别" localSheetId="37">'[2]不动产比较法-办公'!$B$87:$M$87</definedName>
    <definedName name="办公道路级别">'不动产比较法-办公'!$B$87:$M$87</definedName>
    <definedName name="办公公共部分装修" localSheetId="38">'[2]不动产比较法-办公'!$B$108:$M$108</definedName>
    <definedName name="办公公共部分装修" localSheetId="37">'[2]不动产比较法-办公'!$B$108:$M$108</definedName>
    <definedName name="办公公共部分装修">'不动产比较法-办公'!$B$108:$M$108</definedName>
    <definedName name="办公基础设施水平" localSheetId="38">'[2]不动产比较法-办公'!$B$117:$M$117</definedName>
    <definedName name="办公基础设施水平" localSheetId="37">'[2]不动产比较法-办公'!$B$117:$M$117</definedName>
    <definedName name="办公基础设施水平">'不动产比较法-办公'!$B$117:$M$117</definedName>
    <definedName name="办公集聚程度" localSheetId="38">[2]定义!$M$1:$M$6</definedName>
    <definedName name="办公集聚程度" localSheetId="37">[2]定义!$M$1:$M$6</definedName>
    <definedName name="办公集聚程度">定义!$M$1:$M$6</definedName>
    <definedName name="办公建筑结构" localSheetId="38">'[2]不动产比较法-办公'!$B$106:$M$106</definedName>
    <definedName name="办公建筑结构" localSheetId="37">'[2]不动产比较法-办公'!$B$106:$M$106</definedName>
    <definedName name="办公建筑结构">'不动产比较法-办公'!$B$106:$M$106</definedName>
    <definedName name="办公建筑类型" localSheetId="38">'[2]不动产比较法-办公'!$B$101:$M$101</definedName>
    <definedName name="办公建筑类型" localSheetId="37">'[2]不动产比较法-办公'!$B$101:$M$101</definedName>
    <definedName name="办公建筑类型">'不动产比较法-办公'!$B$101:$M$101</definedName>
    <definedName name="办公交易情况" localSheetId="38">'[2]不动产比较法-办公'!$A$62:$M$62</definedName>
    <definedName name="办公交易情况" localSheetId="37">'[2]不动产比较法-办公'!$A$62:$M$62</definedName>
    <definedName name="办公交易情况">'不动产比较法-办公'!$A$62:$M$62</definedName>
    <definedName name="办公楼层" localSheetId="38">'[2]不动产比较法-办公'!$B$89:$M$89</definedName>
    <definedName name="办公楼层" localSheetId="37">'[2]不动产比较法-办公'!$B$89:$M$89</definedName>
    <definedName name="办公楼层">'不动产比较法-办公'!$B$89:$M$89</definedName>
    <definedName name="办公内部装修" localSheetId="38">'[2]不动产比较法-办公'!$B$123:$M$123</definedName>
    <definedName name="办公内部装修" localSheetId="37">'[2]不动产比较法-办公'!$B$123:$M$123</definedName>
    <definedName name="办公内部装修">'不动产比较法-办公'!$B$123:$M$123</definedName>
    <definedName name="办公物业管理" localSheetId="38">'[2]不动产比较法-办公'!$B$115:$M$115</definedName>
    <definedName name="办公物业管理" localSheetId="37">'[2]不动产比较法-办公'!$B$115:$M$115</definedName>
    <definedName name="办公物业管理">'不动产比较法-办公'!$B$115:$M$115</definedName>
    <definedName name="办公用途" localSheetId="38">'[2]不动产比较法-办公'!$B$64:$M$64</definedName>
    <definedName name="办公用途" localSheetId="37">'[2]不动产比较法-办公'!$B$64:$M$64</definedName>
    <definedName name="办公用途">'不动产比较法-办公'!$B$64:$M$64</definedName>
    <definedName name="仓储公共部分装修" localSheetId="38">'[2]不动产比较法-仓储'!$B$77:$M$77</definedName>
    <definedName name="仓储公共部分装修" localSheetId="37">'[2]不动产比较法-仓储'!$B$77:$M$77</definedName>
    <definedName name="仓储公共部分装修">'不动产比较法-仓储'!$B$77:$M$77</definedName>
    <definedName name="仓储交易情况" localSheetId="38">'[2]不动产比较法-仓储'!$A$49:$M$49</definedName>
    <definedName name="仓储交易情况" localSheetId="37">'[2]不动产比较法-仓储'!$A$49:$M$49</definedName>
    <definedName name="仓储交易情况">'不动产比较法-仓储'!$A$49:$M$49</definedName>
    <definedName name="仓储楼层" localSheetId="38">'[2]不动产比较法-仓储'!$B$69:$M$69</definedName>
    <definedName name="仓储楼层" localSheetId="37">'[2]不动产比较法-仓储'!$B$69:$M$69</definedName>
    <definedName name="仓储楼层">'不动产比较法-仓储'!$B$69:$M$69</definedName>
    <definedName name="仓储物业等级" localSheetId="38">'[2]不动产比较法-仓储'!$B$82:$M$82</definedName>
    <definedName name="仓储物业等级" localSheetId="37">'[2]不动产比较法-仓储'!$B$82:$M$82</definedName>
    <definedName name="仓储物业等级">'不动产比较法-仓储'!$B$82:$M$82</definedName>
    <definedName name="仓储用途" localSheetId="38">'[2]不动产比较法-仓储'!$B$51:$M$51</definedName>
    <definedName name="仓储用途" localSheetId="37">'[2]不动产比较法-仓储'!$B$51:$M$51</definedName>
    <definedName name="仓储用途">'不动产比较法-仓储'!$B$51:$M$51</definedName>
    <definedName name="产业集聚程度" localSheetId="38">[2]定义!$N$1:$N$6</definedName>
    <definedName name="产业集聚程度" localSheetId="37">[2]定义!$N$1:$N$6</definedName>
    <definedName name="产业集聚程度">定义!$N$1:$N$6</definedName>
    <definedName name="车位公共部分装修" localSheetId="38">'[2]不动产比较法-车位'!$B$83:$M$83</definedName>
    <definedName name="车位公共部分装修" localSheetId="37">'[2]不动产比较法-车位'!$B$83:$M$83</definedName>
    <definedName name="车位公共部分装修">'不动产比较法-车位'!$B$83:$M$83</definedName>
    <definedName name="车位交易情况" localSheetId="38">'[2]不动产比较法-车位'!$A$51:$M$51</definedName>
    <definedName name="车位交易情况" localSheetId="37">'[2]不动产比较法-车位'!$A$51:$M$51</definedName>
    <definedName name="车位交易情况">'不动产比较法-车位'!$A$51:$M$51</definedName>
    <definedName name="车位类型" localSheetId="38">'[2]不动产比较法-车位'!$B$93:$M$93</definedName>
    <definedName name="车位类型" localSheetId="37">'[2]不动产比较法-车位'!$B$93:$M$93</definedName>
    <definedName name="车位类型">'不动产比较法-车位'!$B$93:$M$93</definedName>
    <definedName name="车位楼层" localSheetId="38">'[2]不动产比较法-车位'!$B$71:$M$71</definedName>
    <definedName name="车位楼层" localSheetId="37">'[2]不动产比较法-车位'!$B$71:$M$71</definedName>
    <definedName name="车位楼层">'不动产比较法-车位'!$B$71:$M$71</definedName>
    <definedName name="车位配套类型" localSheetId="38">'[2]不动产比较法-车位'!$B$79:$M$79</definedName>
    <definedName name="车位配套类型" localSheetId="37">'[2]不动产比较法-车位'!$B$79:$M$79</definedName>
    <definedName name="车位配套类型">'不动产比较法-车位'!$B$79:$M$79</definedName>
    <definedName name="车位物业等级" localSheetId="38">'[2]不动产比较法-车位'!$B$88:$M$88</definedName>
    <definedName name="车位物业等级" localSheetId="37">'[2]不动产比较法-车位'!$B$88:$M$88</definedName>
    <definedName name="车位物业等级">'不动产比较法-车位'!$B$88:$M$88</definedName>
    <definedName name="车位用途" localSheetId="38">'[2]不动产比较法-车位'!$B$53:$M$53</definedName>
    <definedName name="车位用途" localSheetId="37">'[2]不动产比较法-车位'!$B$53:$M$53</definedName>
    <definedName name="车位用途">'不动产比较法-车位'!$B$53:$M$53</definedName>
    <definedName name="城镇土地纳税等级分级范围" localSheetId="38">'[2]数据-取费表'!$A$53:$A$63</definedName>
    <definedName name="城镇土地纳税等级分级范围" localSheetId="37">'[2]数据-取费表'!$A$53:$A$63</definedName>
    <definedName name="城镇土地纳税等级分级范围">'数据-取费表'!$A$53:$A$63</definedName>
    <definedName name="单价内涵" localSheetId="38">[2]定义!$V$1:$V$3</definedName>
    <definedName name="单价内涵" localSheetId="37">[2]定义!$V$1:$V$3</definedName>
    <definedName name="单价内涵">定义!$V$1:$V$3</definedName>
    <definedName name="地类判定" localSheetId="38">[2]定义!$H$1:$H$9</definedName>
    <definedName name="地类判定" localSheetId="37">[2]定义!$H$1:$H$9</definedName>
    <definedName name="地类判定">定义!$H$1:$H$9</definedName>
    <definedName name="二级">区片价!$J$1:$J$20</definedName>
    <definedName name="二级分类" localSheetId="38">[2]修正!$C$17:$C$39</definedName>
    <definedName name="二级分类" localSheetId="37">[2]修正!$C$17:$C$39</definedName>
    <definedName name="二级分类">修正!$C$17:$C$39</definedName>
    <definedName name="法定最高年限" localSheetId="38">[2]定义!$G$2:$G$4</definedName>
    <definedName name="法定最高年限" localSheetId="37">[2]定义!$G$2:$G$4</definedName>
    <definedName name="法定最高年限">定义!$G$2:$G$4</definedName>
    <definedName name="工业公共部分装修" localSheetId="38">'[2]不动产比较法-工业'!$B$95:$M$95</definedName>
    <definedName name="工业公共部分装修" localSheetId="37">'[2]不动产比较法-工业'!$B$95:$M$95</definedName>
    <definedName name="工业公共部分装修">'不动产比较法-工业'!$B$95:$M$95</definedName>
    <definedName name="工业基础设施水平" localSheetId="38">'[2]不动产比较法-工业'!$B$102:$M$102</definedName>
    <definedName name="工业基础设施水平" localSheetId="37">'[2]不动产比较法-工业'!$B$102:$M$102</definedName>
    <definedName name="工业基础设施水平">'不动产比较法-工业'!$B$102:$M$102</definedName>
    <definedName name="工业建筑结构" localSheetId="38">'[2]不动产比较法-工业'!$B$93:$M$93</definedName>
    <definedName name="工业建筑结构" localSheetId="37">'[2]不动产比较法-工业'!$B$93:$M$93</definedName>
    <definedName name="工业建筑结构">'不动产比较法-工业'!$B$93:$M$93</definedName>
    <definedName name="工业建筑类型" localSheetId="38">'[2]不动产比较法-工业'!$B$88:$M$88</definedName>
    <definedName name="工业建筑类型" localSheetId="37">'[2]不动产比较法-工业'!$B$88:$M$88</definedName>
    <definedName name="工业建筑类型">'不动产比较法-工业'!$B$88:$M$88</definedName>
    <definedName name="工业交易情况" localSheetId="38">'[2]不动产比较法-工业'!$A$55:$M$55</definedName>
    <definedName name="工业交易情况" localSheetId="37">'[2]不动产比较法-工业'!$A$55:$M$55</definedName>
    <definedName name="工业交易情况">'不动产比较法-工业'!$A$55:$M$55</definedName>
    <definedName name="工业内部装修" localSheetId="38">'[2]不动产比较法-工业'!$B$104:$M$104</definedName>
    <definedName name="工业内部装修" localSheetId="37">'[2]不动产比较法-工业'!$B$104:$M$104</definedName>
    <definedName name="工业内部装修">'不动产比较法-工业'!$B$104:$M$104</definedName>
    <definedName name="工业物业管理" localSheetId="38">'[2]不动产比较法-工业'!$B$100:$M$100</definedName>
    <definedName name="工业物业管理" localSheetId="37">'[2]不动产比较法-工业'!$B$100:$M$100</definedName>
    <definedName name="工业物业管理">'不动产比较法-工业'!$B$100:$M$100</definedName>
    <definedName name="工业用途" localSheetId="38">'[2]不动产比较法-工业'!$B$57:$M$57</definedName>
    <definedName name="工业用途" localSheetId="37">'[2]不动产比较法-工业'!$B$57:$M$57</definedName>
    <definedName name="工业用途">'不动产比较法-工业'!$B$57:$M$57</definedName>
    <definedName name="公共配套设施" localSheetId="38">[2]定义!$Q$1:$Q$6</definedName>
    <definedName name="公共配套设施" localSheetId="37">[2]定义!$Q$1:$Q$6</definedName>
    <definedName name="公共配套设施">定义!$Q$1:$Q$6</definedName>
    <definedName name="公用设施及基础设施水平">[1]定义!$Q$1:$Q$6</definedName>
    <definedName name="估价方法" localSheetId="38">[2]定义!$B$1:$B$50</definedName>
    <definedName name="估价方法" localSheetId="37">[2]定义!$B$1:$B$50</definedName>
    <definedName name="估价方法">定义!$B$1:$B$50</definedName>
    <definedName name="环境" localSheetId="38">[2]定义!$S$1:$S$6</definedName>
    <definedName name="环境" localSheetId="37">[2]定义!$S$1:$S$6</definedName>
    <definedName name="环境">定义!$S$1:$S$6</definedName>
    <definedName name="基础设施水平" localSheetId="38">[2]定义!$R$1:$R$6</definedName>
    <definedName name="基础设施水平" localSheetId="37">[2]定义!$R$1:$R$6</definedName>
    <definedName name="基础设施水平">定义!$R$1:$R$6</definedName>
    <definedName name="季度">基准地价!$N$19:$AB$19</definedName>
    <definedName name="季度2014">地价!$A$2:$A$26</definedName>
    <definedName name="价值类型2" localSheetId="38">[2]定义!$B$54:$B$56</definedName>
    <definedName name="价值类型2" localSheetId="37">[2]定义!$B$54:$B$56</definedName>
    <definedName name="价值类型2">定义!$B$54:$B$56</definedName>
    <definedName name="交通便捷度" localSheetId="38">[2]定义!$O$1:$O$6</definedName>
    <definedName name="交通便捷度" localSheetId="37">[2]定义!$O$1:$O$6</definedName>
    <definedName name="交通便捷度">定义!$O$1:$O$6</definedName>
    <definedName name="九级">区片价!$Q$1:$Q$46</definedName>
    <definedName name="居住社区成熟度" localSheetId="38">[2]定义!$K$1:$K$6</definedName>
    <definedName name="居住社区成熟度" localSheetId="37">[2]定义!$K$1:$K$6</definedName>
    <definedName name="居住社区成熟度">定义!$K$1:$K$6</definedName>
    <definedName name="类别" localSheetId="38">[2]定义!$J$1:$J$3</definedName>
    <definedName name="类别" localSheetId="37">[2]定义!$J$1:$J$3</definedName>
    <definedName name="类别">定义!$J$1:$J$3</definedName>
    <definedName name="临街状况" localSheetId="38">[2]定义!$T$1:$T$5</definedName>
    <definedName name="临街状况" localSheetId="37">[2]定义!$T$1:$T$5</definedName>
    <definedName name="临街状况">定义!$T$1:$T$5</definedName>
    <definedName name="六级">区片价!$N$1:$N$49</definedName>
    <definedName name="内部装修维护情况" localSheetId="38">[2]定义!$U$1:$U$6</definedName>
    <definedName name="内部装修维护情况" localSheetId="37">[2]定义!$U$1:$U$6</definedName>
    <definedName name="内部装修维护情况">定义!$U$1:$U$6</definedName>
    <definedName name="判定" localSheetId="38">[2]定义!$D$1:$D$4</definedName>
    <definedName name="判定" localSheetId="37">[2]定义!$D$1:$D$4</definedName>
    <definedName name="判定">定义!$D$1:$D$4</definedName>
    <definedName name="七级">区片价!$O$1:$O$49</definedName>
    <definedName name="七通一平" localSheetId="38">[2]修正!$A$6:$A$14</definedName>
    <definedName name="七通一平" localSheetId="37">[2]修正!$A$6:$A$14</definedName>
    <definedName name="七通一平">修正!$A$6:$A$14</definedName>
    <definedName name="区域土地利用方向" localSheetId="38">[2]定义!$P$1:$P$6</definedName>
    <definedName name="区域土地利用方向" localSheetId="37">[2]定义!$P$1:$P$6</definedName>
    <definedName name="区域土地利用方向">定义!$P$1:$P$6</definedName>
    <definedName name="三级">区片价!$K$1:$K$21</definedName>
    <definedName name="商业层高" localSheetId="38">'[2]不动产比较法-商业'!$B$116:$M$116</definedName>
    <definedName name="商业层高" localSheetId="37">'[2]不动产比较法-商业'!$B$116:$M$116</definedName>
    <definedName name="商业层高">'不动产比较法-商业'!$B$116:$M$116</definedName>
    <definedName name="商业成新度">'不动产比较法-商业'!$B$109:$M$109</definedName>
    <definedName name="商业繁华度" localSheetId="38">[2]定义!$L$1:$L$6</definedName>
    <definedName name="商业繁华度" localSheetId="37">[2]定义!$L$1:$L$6</definedName>
    <definedName name="商业繁华度">定义!$L$1:$L$6</definedName>
    <definedName name="商业公共部分装修" localSheetId="38">'[2]不动产比较法-商业'!$B$107:$M$107</definedName>
    <definedName name="商业公共部分装修" localSheetId="37">'[2]不动产比较法-商业'!$B$107:$M$107</definedName>
    <definedName name="商业公共部分装修">'不动产比较法-商业'!$B$107:$M$107</definedName>
    <definedName name="商业基础设施水平" localSheetId="38">'[2]不动产比较法-商业'!$B$112:$M$112</definedName>
    <definedName name="商业基础设施水平" localSheetId="37">'[2]不动产比较法-商业'!$B$112:$M$112</definedName>
    <definedName name="商业基础设施水平">'不动产比较法-商业'!$B$112:$M$112</definedName>
    <definedName name="商业建筑结构" localSheetId="38">'[2]不动产比较法-商业'!$B$105:$M$105</definedName>
    <definedName name="商业建筑结构" localSheetId="37">'[2]不动产比较法-商业'!$B$105:$M$105</definedName>
    <definedName name="商业建筑结构">'不动产比较法-商业'!$B$105:$M$105</definedName>
    <definedName name="商业交易情况" localSheetId="38">'[2]不动产比较法-商业'!$A$61:$M$61</definedName>
    <definedName name="商业交易情况" localSheetId="37">'[2]不动产比较法-商业'!$A$61:$M$61</definedName>
    <definedName name="商业交易情况">'不动产比较法-商业'!$A$61:$M$61</definedName>
    <definedName name="商业街名称" localSheetId="38">[2]修正!$C$59:$C$119</definedName>
    <definedName name="商业街名称" localSheetId="37">[2]修正!$C$59:$C$119</definedName>
    <definedName name="商业街名称">修正!$C$59:$C$119</definedName>
    <definedName name="商业进深比" localSheetId="38">'[2]不动产比较法-商业'!$B$120:$M$120</definedName>
    <definedName name="商业进深比" localSheetId="37">'[2]不动产比较法-商业'!$B$120:$M$120</definedName>
    <definedName name="商业进深比">'不动产比较法-商业'!$B$120:$M$120</definedName>
    <definedName name="商业类型" localSheetId="38">'[2]不动产比较法-商业'!$B$100:$M$100</definedName>
    <definedName name="商业类型" localSheetId="37">'[2]不动产比较法-商业'!$B$100:$M$100</definedName>
    <definedName name="商业类型">'不动产比较法-商业'!$B$100:$M$100</definedName>
    <definedName name="商业临街状况" localSheetId="38">'[2]不动产比较法-商业'!$B$86:$M$86</definedName>
    <definedName name="商业临街状况" localSheetId="37">'[2]不动产比较法-商业'!$B$86:$M$86</definedName>
    <definedName name="商业临街状况">'不动产比较法-商业'!$B$86:$M$86</definedName>
    <definedName name="商业楼层" localSheetId="38">'[2]不动产比较法-商业'!$B$92:$M$92</definedName>
    <definedName name="商业楼层" localSheetId="37">'[2]不动产比较法-商业'!$B$92:$M$92</definedName>
    <definedName name="商业楼层">'不动产比较法-商业'!$B$92:$M$92</definedName>
    <definedName name="商业内部装修" localSheetId="38">'[2]不动产比较法-商业'!$B$122:$M$122</definedName>
    <definedName name="商业内部装修" localSheetId="37">'[2]不动产比较法-商业'!$B$122:$M$122</definedName>
    <definedName name="商业内部装修">'不动产比较法-商业'!$B$122:$M$122</definedName>
    <definedName name="商业人流量" localSheetId="38">'[2]不动产比较法-商业'!$B$90:$M$90</definedName>
    <definedName name="商业人流量" localSheetId="37">'[2]不动产比较法-商业'!$B$90:$M$90</definedName>
    <definedName name="商业人流量">'不动产比较法-商业'!$B$90:$M$90</definedName>
    <definedName name="商业业态" localSheetId="38">'[2]不动产比较法-商业'!$B$114:$M$114</definedName>
    <definedName name="商业业态" localSheetId="37">'[2]不动产比较法-商业'!$B$114:$M$114</definedName>
    <definedName name="商业业态">'不动产比较法-商业'!$B$114:$M$114</definedName>
    <definedName name="商业用途" localSheetId="38">'[2]不动产比较法-商业'!$B$63:$M$63</definedName>
    <definedName name="商业用途" localSheetId="37">'[2]不动产比较法-商业'!$B$63:$M$63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8">'[2]不动产比较法-仓储'!$B$89:$M$89</definedName>
    <definedName name="是否封闭" localSheetId="37">'[2]不动产比较法-仓储'!$B$89:$M$89</definedName>
    <definedName name="是否封闭">'不动产比较法-仓储'!$B$89:$M$89</definedName>
    <definedName name="是否直接入户" localSheetId="38">'[2]不动产比较法-车位'!$B$95:$M$95</definedName>
    <definedName name="是否直接入户" localSheetId="37">'[2]不动产比较法-车位'!$B$95:$M$95</definedName>
    <definedName name="是否直接入户">'不动产比较法-车位'!$B$95:$M$95</definedName>
    <definedName name="四级">区片价!$L$1:$L$28</definedName>
    <definedName name="套工工程地质条件" localSheetId="38">'[2]比较法-工业'!$B$116:$M$116</definedName>
    <definedName name="套工工程地质条件" localSheetId="37">'[2]比较法-工业'!$B$116:$M$116</definedName>
    <definedName name="套工工程地质条件">'比较法-工业'!$B$116:$M$116</definedName>
    <definedName name="套工交易情况" localSheetId="38">'[2]比较法-住宅、综合'!$A$75:$M$75</definedName>
    <definedName name="套工交易情况" localSheetId="37">'[2]比较法-住宅、综合'!$A$75:$M$75</definedName>
    <definedName name="套工交易情况">'比较法-住宅、综合'!$A$75:$M$75</definedName>
    <definedName name="套工开发程度" localSheetId="38">'[2]比较法-工业'!$B$114:$M$114</definedName>
    <definedName name="套工开发程度" localSheetId="37">'[2]比较法-工业'!$B$114:$M$114</definedName>
    <definedName name="套工开发程度">'比较法-工业'!$B$114:$M$114</definedName>
    <definedName name="套工临街等级" localSheetId="38">'[2]比较法-工业'!$B$99:$M$99</definedName>
    <definedName name="套工临街等级" localSheetId="37">'[2]比较法-工业'!$B$99:$M$99</definedName>
    <definedName name="套工临街等级">'比较法-工业'!$B$99:$M$99</definedName>
    <definedName name="套工土地级别" localSheetId="38">'[2]比较法-工业'!$B$101:$M$101</definedName>
    <definedName name="套工土地级别" localSheetId="37">'[2]比较法-工业'!$B$101:$M$101</definedName>
    <definedName name="套工土地级别">'比较法-工业'!$B$101:$M$101</definedName>
    <definedName name="套工用途" localSheetId="38">'[2]比较法-工业'!$B$72:$M$72</definedName>
    <definedName name="套工用途" localSheetId="37">'[2]比较法-工业'!$B$72:$M$72</definedName>
    <definedName name="套工用途">'比较法-工业'!$B$72:$M$72</definedName>
    <definedName name="套工宗地形状" localSheetId="38">'[2]比较法-工业'!$B$112:$M$112</definedName>
    <definedName name="套工宗地形状" localSheetId="37">'[2]比较法-工业'!$B$112:$M$112</definedName>
    <definedName name="套工宗地形状">'比较法-工业'!$B$112:$M$112</definedName>
    <definedName name="套综道路等级" localSheetId="38">'[2]比较法-住宅、综合'!$B$108:$M$108</definedName>
    <definedName name="套综道路等级" localSheetId="37">'[2]比较法-住宅、综合'!$B$108:$M$108</definedName>
    <definedName name="套综道路等级">'比较法-住宅、综合'!$B$108:$M$108</definedName>
    <definedName name="套综工程地质条件" localSheetId="38">'[2]比较法-住宅、综合'!$B$127:$M$127</definedName>
    <definedName name="套综工程地质条件" localSheetId="37">'[2]比较法-住宅、综合'!$B$127:$M$127</definedName>
    <definedName name="套综工程地质条件">'比较法-住宅、综合'!$B$127:$M$127</definedName>
    <definedName name="套综交易情况" localSheetId="38">'[2]比较法-住宅、综合'!$A$75:$M$75</definedName>
    <definedName name="套综交易情况" localSheetId="37">'[2]比较法-住宅、综合'!$A$75:$M$75</definedName>
    <definedName name="套综交易情况">'比较法-住宅、综合'!$A$75:$M$75</definedName>
    <definedName name="套综临街宽度及深度" localSheetId="38">'[2]比较法-住宅、综合'!$B$123:$M$123</definedName>
    <definedName name="套综临街宽度及深度" localSheetId="37">'[2]比较法-住宅、综合'!$B$123:$M$123</definedName>
    <definedName name="套综临街宽度及深度">'比较法-住宅、综合'!$B$123:$M$123</definedName>
    <definedName name="套综土地级别" localSheetId="38">'[2]比较法-住宅、综合'!$B$110:$M$110</definedName>
    <definedName name="套综土地级别" localSheetId="37">'[2]比较法-住宅、综合'!$B$110:$M$110</definedName>
    <definedName name="套综土地级别">'比较法-住宅、综合'!$B$110:$M$110</definedName>
    <definedName name="套综用途" localSheetId="38">'[2]比较法-住宅、综合'!$B$77:$M$77</definedName>
    <definedName name="套综用途" localSheetId="37">'[2]比较法-住宅、综合'!$B$77:$M$77</definedName>
    <definedName name="套综用途">'比较法-住宅、综合'!$B$77:$M$77</definedName>
    <definedName name="套综宗地内开发程度" localSheetId="38">'[2]比较法-住宅、综合'!$B$125:$M$125</definedName>
    <definedName name="套综宗地内开发程度" localSheetId="37">'[2]比较法-住宅、综合'!$B$125:$M$125</definedName>
    <definedName name="套综宗地内开发程度">'比较法-住宅、综合'!$B$125:$M$125</definedName>
    <definedName name="套综宗地形状" localSheetId="38">'[2]比较法-住宅、综合'!$B$121:$M$121</definedName>
    <definedName name="套综宗地形状" localSheetId="37">'[2]比较法-住宅、综合'!$B$121:$M$121</definedName>
    <definedName name="套综宗地形状">'比较法-住宅、综合'!$B$121:$M$121</definedName>
    <definedName name="土地估价师" localSheetId="38">[2]估价师及机构信息!$D$3:$D$24</definedName>
    <definedName name="土地估价师" localSheetId="37">[2]估价师及机构信息!$D$3:$D$24</definedName>
    <definedName name="土地估价师">估价师及机构信息!$D$3:$D$24</definedName>
    <definedName name="土地级别" localSheetId="38">[2]定义!$C$1:$C$14</definedName>
    <definedName name="土地级别" localSheetId="37">[2]定义!$C$1:$C$14</definedName>
    <definedName name="土地级别">定义!$C$1:$C$14</definedName>
    <definedName name="土地利用方向">定义!$P$1:$P$6</definedName>
    <definedName name="土地年限区间" localSheetId="38">[2]定义!$I$1:$I$8</definedName>
    <definedName name="土地年限区间" localSheetId="37">[2]定义!$I$1:$I$8</definedName>
    <definedName name="土地年限区间">定义!$I$1:$I$8</definedName>
    <definedName name="位置" localSheetId="38">[2]定义!$E$2:$E$4</definedName>
    <definedName name="位置" localSheetId="37">[2]定义!$E$2:$E$4</definedName>
    <definedName name="位置">定义!$E$2:$E$4</definedName>
    <definedName name="五等判定" localSheetId="38">[2]定义!$W$1:$W$6</definedName>
    <definedName name="五等判定" localSheetId="37">[2]定义!$W$1:$W$6</definedName>
    <definedName name="五等判定">定义!$W$1:$W$6</definedName>
    <definedName name="五级">区片价!$M$1:$M$35</definedName>
    <definedName name="项目类型" localSheetId="38">'[2]数据-汇总表'!$C$17:$C$26</definedName>
    <definedName name="项目类型" localSheetId="37">'[2]数据-汇总表'!$C$17:$C$26</definedName>
    <definedName name="项目类型">'数据-汇总表'!$C$17:$C$26</definedName>
    <definedName name="写字楼等级" localSheetId="38">'[2]不动产比较法-办公'!$B$113:$M$113</definedName>
    <definedName name="写字楼等级" localSheetId="37">'[2]不动产比较法-办公'!$B$113:$M$113</definedName>
    <definedName name="写字楼等级">'不动产比较法-办公'!$B$113:$M$113</definedName>
    <definedName name="一级">区片价!$I$1:$I$6</definedName>
    <definedName name="一修多修正项2" localSheetId="38">[2]典型户型修正!$5:$5</definedName>
    <definedName name="一修多修正项2" localSheetId="37">[2]典型户型修正!$5:$5</definedName>
    <definedName name="一修多修正项2">典型户型修正!$5:$5</definedName>
    <definedName name="一修多修正项3" localSheetId="38">[2]典型户型修正!$7:$7</definedName>
    <definedName name="一修多修正项3" localSheetId="37">[2]典型户型修正!$7:$7</definedName>
    <definedName name="一修多修正项3">典型户型修正!$7:$7</definedName>
    <definedName name="一修多修正项4" localSheetId="38">[2]典型户型修正!$9:$9</definedName>
    <definedName name="一修多修正项4" localSheetId="37">[2]典型户型修正!$9:$9</definedName>
    <definedName name="一修多修正项4">典型户型修正!$9:$9</definedName>
    <definedName name="一修多修正项5" localSheetId="38">[2]典型户型修正!$11:$11</definedName>
    <definedName name="一修多修正项5" localSheetId="37">[2]典型户型修正!$11:$11</definedName>
    <definedName name="一修多修正项5">典型户型修正!$11:$11</definedName>
    <definedName name="一修多修正项6" localSheetId="38">[2]典型户型修正!$13:$13</definedName>
    <definedName name="一修多修正项6" localSheetId="37">[2]典型户型修正!$13:$13</definedName>
    <definedName name="一修多修正项6">典型户型修正!$13:$13</definedName>
    <definedName name="一修多修正项7" localSheetId="38">[2]典型户型修正!$15:$15</definedName>
    <definedName name="一修多修正项7" localSheetId="37">[2]典型户型修正!$15:$15</definedName>
    <definedName name="一修多修正项7">典型户型修正!$15:$15</definedName>
    <definedName name="一修多修正项8" localSheetId="38">[2]典型户型修正!$17:$17</definedName>
    <definedName name="一修多修正项8" localSheetId="37">[2]典型户型修正!$17:$17</definedName>
    <definedName name="一修多修正项8">典型户型修正!$17:$17</definedName>
    <definedName name="用途类型" localSheetId="38">[2]定义!$A$1:$A$50</definedName>
    <definedName name="用途类型" localSheetId="37">[2]定义!$A$1:$A$50</definedName>
    <definedName name="用途类型">定义!$A$1:$A$50</definedName>
    <definedName name="有无电梯" localSheetId="38">'[2]不动产比较法-仓储'!$B$84:$M$84</definedName>
    <definedName name="有无电梯" localSheetId="37">'[2]不动产比较法-仓储'!$B$84:$M$84</definedName>
    <definedName name="有无电梯">'不动产比较法-仓储'!$B$84:$M$84</definedName>
    <definedName name="主用途" localSheetId="38">[2]定义!$F$1:$F$10</definedName>
    <definedName name="主用途" localSheetId="37">[2]定义!$F$1:$F$10</definedName>
    <definedName name="主用途">定义!$F$1:$F$10</definedName>
    <definedName name="住宅朝向" localSheetId="38">'[2]不动产比较法-住宅'!$B$88:$M$88</definedName>
    <definedName name="住宅朝向" localSheetId="37">'[2]不动产比较法-住宅'!$B$88:$M$88</definedName>
    <definedName name="住宅朝向">'不动产比较法-住宅'!$B$88:$M$88</definedName>
    <definedName name="住宅房型" localSheetId="38">'[2]不动产比较法-住宅'!$B$118:$M$118</definedName>
    <definedName name="住宅房型" localSheetId="37">'[2]不动产比较法-住宅'!$B$118:$M$118</definedName>
    <definedName name="住宅房型">'不动产比较法-住宅'!$B$118:$M$118</definedName>
    <definedName name="住宅公共部分装修" localSheetId="38">'[2]不动产比较法-住宅'!$B$109:$M$109</definedName>
    <definedName name="住宅公共部分装修" localSheetId="37">'[2]不动产比较法-住宅'!$B$109:$M$109</definedName>
    <definedName name="住宅公共部分装修">'不动产比较法-住宅'!$B$109:$M$109</definedName>
    <definedName name="住宅基础设施水平" localSheetId="38">'[2]不动产比较法-住宅'!$B$116:$M$116</definedName>
    <definedName name="住宅基础设施水平" localSheetId="37">'[2]不动产比较法-住宅'!$B$116:$M$116</definedName>
    <definedName name="住宅基础设施水平">'不动产比较法-住宅'!$B$116:$M$116</definedName>
    <definedName name="住宅建筑结构" localSheetId="38">'[2]不动产比较法-住宅'!$B$105:$M$105</definedName>
    <definedName name="住宅建筑结构" localSheetId="37">'[2]不动产比较法-住宅'!$B$105:$M$105</definedName>
    <definedName name="住宅建筑结构">'不动产比较法-住宅'!$B$105:$M$105</definedName>
    <definedName name="住宅建筑类型" localSheetId="38">'[2]不动产比较法-住宅'!$B$100:$M$100</definedName>
    <definedName name="住宅建筑类型" localSheetId="37">'[2]不动产比较法-住宅'!$B$100:$M$100</definedName>
    <definedName name="住宅建筑类型">'不动产比较法-住宅'!$B$100:$M$100</definedName>
    <definedName name="住宅建筑品质" localSheetId="38">'[2]不动产比较法-住宅'!$B$107:$M$107</definedName>
    <definedName name="住宅建筑品质" localSheetId="37">'[2]不动产比较法-住宅'!$B$107:$M$107</definedName>
    <definedName name="住宅建筑品质">'不动产比较法-住宅'!$B$107:$M$107</definedName>
    <definedName name="住宅交易情况" localSheetId="38">'[2]不动产比较法-住宅'!$A$61:$M$61</definedName>
    <definedName name="住宅交易情况" localSheetId="37">'[2]不动产比较法-住宅'!$A$61:$M$61</definedName>
    <definedName name="住宅交易情况">'不动产比较法-住宅'!$A$61:$M$61</definedName>
    <definedName name="住宅楼层" localSheetId="38">'[2]不动产比较法-住宅'!$B$86:$M$86</definedName>
    <definedName name="住宅楼层" localSheetId="37">'[2]不动产比较法-住宅'!$B$86:$M$86</definedName>
    <definedName name="住宅楼层">'不动产比较法-住宅'!$B$86:$M$86</definedName>
    <definedName name="住宅内部装修" localSheetId="38">'[2]不动产比较法-住宅'!$B$122:$M$122</definedName>
    <definedName name="住宅内部装修" localSheetId="37">'[2]不动产比较法-住宅'!$B$122:$M$122</definedName>
    <definedName name="住宅内部装修">'不动产比较法-住宅'!$B$122:$M$122</definedName>
    <definedName name="住宅物业管理" localSheetId="38">'[2]不动产比较法-住宅'!$B$114:$M$114</definedName>
    <definedName name="住宅物业管理" localSheetId="37">'[2]不动产比较法-住宅'!$B$114:$M$114</definedName>
    <definedName name="住宅物业管理">'不动产比较法-住宅'!$B$114:$M$114</definedName>
    <definedName name="住宅用途" localSheetId="38">'[2]不动产比较法-住宅'!$B$63:$M$63</definedName>
    <definedName name="住宅用途" localSheetId="37">'[2]不动产比较法-住宅'!$B$63:$M$63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C25" i="12"/>
  <c r="D29" i="46" l="1"/>
  <c r="C15" i="11" l="1"/>
  <c r="B30" i="1"/>
  <c r="M33" i="70"/>
  <c r="L33" i="70"/>
  <c r="N33" i="70" s="1"/>
  <c r="K33" i="70"/>
  <c r="N32" i="70"/>
  <c r="N31" i="70"/>
  <c r="N30" i="70"/>
  <c r="N29" i="70"/>
  <c r="N28" i="70"/>
  <c r="N27" i="70"/>
  <c r="N26" i="70"/>
  <c r="N25" i="70"/>
  <c r="N24" i="70"/>
  <c r="N23" i="70"/>
  <c r="N22" i="70"/>
  <c r="N21" i="70"/>
  <c r="N20" i="70"/>
  <c r="N19" i="70"/>
  <c r="N18" i="70"/>
  <c r="N17" i="70"/>
  <c r="N16" i="70"/>
  <c r="N15" i="70"/>
  <c r="N14" i="70"/>
  <c r="N13" i="70"/>
  <c r="N12" i="70"/>
  <c r="N11" i="70"/>
  <c r="N10" i="70"/>
  <c r="N9" i="70"/>
  <c r="N8" i="70"/>
  <c r="N7" i="70"/>
  <c r="N6" i="70"/>
  <c r="N5" i="70"/>
  <c r="N4" i="70"/>
  <c r="M26" i="69"/>
  <c r="I26" i="69"/>
  <c r="E25" i="69"/>
  <c r="E26" i="69" s="1"/>
  <c r="K27" i="69" s="1"/>
  <c r="C8" i="11" s="1"/>
  <c r="U9" i="69"/>
  <c r="V9" i="69" s="1"/>
  <c r="R9" i="69" s="1"/>
  <c r="Q9" i="69" s="1"/>
  <c r="U8" i="69"/>
  <c r="V8" i="69" s="1"/>
  <c r="R8" i="69" s="1"/>
  <c r="Q8" i="69" s="1"/>
  <c r="U7" i="69"/>
  <c r="V7" i="69" s="1"/>
  <c r="R7" i="69" s="1"/>
  <c r="Q7" i="69" s="1"/>
  <c r="S7" i="69" s="1"/>
  <c r="N7" i="69"/>
  <c r="L7" i="69"/>
  <c r="K26" i="69" s="1"/>
  <c r="J7" i="69"/>
  <c r="H7" i="69"/>
  <c r="G26" i="69" s="1"/>
  <c r="U6" i="69"/>
  <c r="V6" i="69" s="1"/>
  <c r="U5" i="69"/>
  <c r="V5" i="69" s="1"/>
  <c r="Q5" i="69"/>
  <c r="M5" i="69"/>
  <c r="K5" i="69"/>
  <c r="I5" i="69"/>
  <c r="G5" i="69"/>
  <c r="E5" i="69"/>
  <c r="M4" i="69"/>
  <c r="K4" i="69"/>
  <c r="I4" i="69"/>
  <c r="G4" i="69"/>
  <c r="E4" i="69"/>
  <c r="R5" i="69" l="1"/>
  <c r="R6" i="69"/>
  <c r="Q6" i="69" s="1"/>
  <c r="S6" i="69" s="1"/>
  <c r="S5" i="69"/>
  <c r="A27" i="69"/>
  <c r="F1" i="46" l="1"/>
  <c r="F19" i="6"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J50" i="15"/>
  <c r="J51" i="15" s="1"/>
  <c r="D11" i="59"/>
  <c r="AH9" i="59"/>
  <c r="AG9" i="59"/>
  <c r="AE9" i="59"/>
  <c r="AF9" i="59" s="1"/>
  <c r="AD9" i="59"/>
  <c r="AE10" i="59"/>
  <c r="AF10" i="59"/>
  <c r="AG10" i="59"/>
  <c r="AH10" i="59"/>
  <c r="AD10" i="59"/>
  <c r="Q10" i="59"/>
  <c r="P10" i="59"/>
  <c r="O10" i="59"/>
  <c r="N10" i="59"/>
  <c r="N11" i="59"/>
  <c r="Q11" i="59"/>
  <c r="P11" i="59"/>
  <c r="O11" i="59"/>
  <c r="K59" i="15"/>
  <c r="P62" i="15"/>
  <c r="P75" i="15"/>
  <c r="Q74" i="44"/>
  <c r="Q61" i="44"/>
  <c r="Q60" i="44"/>
  <c r="Q53" i="44"/>
  <c r="J51" i="44"/>
  <c r="J52" i="44" s="1"/>
  <c r="M48" i="44"/>
  <c r="A16" i="55"/>
  <c r="A15" i="55"/>
  <c r="B66" i="63" s="1"/>
  <c r="A14" i="55"/>
  <c r="A11" i="55"/>
  <c r="A10" i="55"/>
  <c r="B61" i="63" s="1"/>
  <c r="A9" i="55"/>
  <c r="B60" i="63" s="1"/>
  <c r="A8" i="55"/>
  <c r="A6" i="54"/>
  <c r="B49" i="63" s="1"/>
  <c r="A8" i="54"/>
  <c r="A7" i="54"/>
  <c r="A28" i="51"/>
  <c r="A27" i="51"/>
  <c r="B20" i="63" s="1"/>
  <c r="Q12" i="59"/>
  <c r="O12" i="59"/>
  <c r="N13" i="59"/>
  <c r="O13" i="59"/>
  <c r="P13" i="59"/>
  <c r="Q13" i="59"/>
  <c r="N12" i="59"/>
  <c r="P12" i="59"/>
  <c r="K75" i="9"/>
  <c r="K6" i="4"/>
  <c r="L76" i="9"/>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E10" i="46"/>
  <c r="Y10" i="46"/>
  <c r="AG12" i="46"/>
  <c r="B73" i="63"/>
  <c r="A21" i="64"/>
  <c r="B75" i="63" s="1"/>
  <c r="A27" i="64"/>
  <c r="A15" i="64"/>
  <c r="A14" i="64"/>
  <c r="A11" i="64"/>
  <c r="A3" i="64"/>
  <c r="A45" i="9"/>
  <c r="A44" i="9"/>
  <c r="C57" i="10"/>
  <c r="A28" i="64" s="1"/>
  <c r="C56" i="10"/>
  <c r="C55" i="10"/>
  <c r="C54" i="10"/>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A15" i="51"/>
  <c r="B12" i="63" s="1"/>
  <c r="A14" i="51"/>
  <c r="B11" i="63" s="1"/>
  <c r="A4" i="55"/>
  <c r="B57" i="63"/>
  <c r="B41" i="63"/>
  <c r="G5" i="54"/>
  <c r="B34" i="63" s="1"/>
  <c r="E5" i="54"/>
  <c r="B32" i="63" s="1"/>
  <c r="R2" i="54"/>
  <c r="B24" i="63" s="1"/>
  <c r="B19" i="63"/>
  <c r="B49" i="50"/>
  <c r="B5" i="63"/>
  <c r="B40" i="50"/>
  <c r="B3" i="63"/>
  <c r="N4" i="63"/>
  <c r="B21" i="63"/>
  <c r="B67" i="63"/>
  <c r="I19" i="46"/>
  <c r="Q14" i="59"/>
  <c r="AB10" i="59" s="1"/>
  <c r="P14" i="59"/>
  <c r="E14" i="59" s="1"/>
  <c r="U14" i="59" s="1"/>
  <c r="O14" i="59"/>
  <c r="C14" i="59" s="1"/>
  <c r="N14" i="59"/>
  <c r="B14" i="59" s="1"/>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AA24" i="59" s="1"/>
  <c r="O24" i="59"/>
  <c r="Y24" i="59" s="1"/>
  <c r="N24" i="59"/>
  <c r="X24" i="59" s="1"/>
  <c r="Q23" i="59"/>
  <c r="AB23" i="59" s="1"/>
  <c r="P23" i="59"/>
  <c r="AA23" i="59" s="1"/>
  <c r="O23" i="59"/>
  <c r="C24" i="59"/>
  <c r="N23" i="59"/>
  <c r="X23" i="59" s="1"/>
  <c r="B24" i="59"/>
  <c r="B25" i="59" s="1"/>
  <c r="B26" i="59" s="1"/>
  <c r="S26" i="59" s="1"/>
  <c r="D23" i="59"/>
  <c r="Q22" i="59"/>
  <c r="P22" i="59"/>
  <c r="AA22" i="59" s="1"/>
  <c r="O22" i="59"/>
  <c r="Y22" i="59" s="1"/>
  <c r="Z22" i="59" s="1"/>
  <c r="N22" i="59"/>
  <c r="X22" i="59" s="1"/>
  <c r="Q21" i="59"/>
  <c r="AB21" i="59" s="1"/>
  <c r="P21" i="59"/>
  <c r="AA21" i="59" s="1"/>
  <c r="O21" i="59"/>
  <c r="N21" i="59"/>
  <c r="X21" i="59" s="1"/>
  <c r="Q20" i="59"/>
  <c r="P20" i="59"/>
  <c r="AA20" i="59" s="1"/>
  <c r="O20" i="59"/>
  <c r="Y20" i="59" s="1"/>
  <c r="Z20" i="59" s="1"/>
  <c r="N20" i="59"/>
  <c r="X20" i="59" s="1"/>
  <c r="Q19" i="59"/>
  <c r="AB19" i="59" s="1"/>
  <c r="F20" i="59"/>
  <c r="F21" i="59" s="1"/>
  <c r="F22" i="59" s="1"/>
  <c r="V22" i="59" s="1"/>
  <c r="P19" i="59"/>
  <c r="E20" i="59"/>
  <c r="E21" i="59" s="1"/>
  <c r="E22" i="59" s="1"/>
  <c r="U22" i="59" s="1"/>
  <c r="O19" i="59"/>
  <c r="Y19" i="59" s="1"/>
  <c r="Z19" i="59" s="1"/>
  <c r="N19" i="59"/>
  <c r="X19" i="59" s="1"/>
  <c r="D19" i="59"/>
  <c r="Q18" i="59"/>
  <c r="AB18" i="59" s="1"/>
  <c r="P18" i="59"/>
  <c r="AA18" i="59" s="1"/>
  <c r="O18" i="59"/>
  <c r="Y18" i="59" s="1"/>
  <c r="Z18" i="59" s="1"/>
  <c r="N18" i="59"/>
  <c r="Q17" i="59"/>
  <c r="AB17" i="59" s="1"/>
  <c r="P17" i="59"/>
  <c r="O17" i="59"/>
  <c r="Y17" i="59" s="1"/>
  <c r="Z17" i="59" s="1"/>
  <c r="N17" i="59"/>
  <c r="X17" i="59" s="1"/>
  <c r="Q16" i="59"/>
  <c r="AB16" i="59" s="1"/>
  <c r="P16" i="59"/>
  <c r="AA16" i="59" s="1"/>
  <c r="O16" i="59"/>
  <c r="Y16" i="59" s="1"/>
  <c r="Z16" i="59" s="1"/>
  <c r="N16" i="59"/>
  <c r="Q15" i="59"/>
  <c r="AB15" i="59" s="1"/>
  <c r="P15" i="59"/>
  <c r="AA15" i="59" s="1"/>
  <c r="O15" i="59"/>
  <c r="C16" i="59"/>
  <c r="D16" i="59" s="1"/>
  <c r="N15" i="59"/>
  <c r="X15" i="59" s="1"/>
  <c r="B16" i="59"/>
  <c r="D15" i="59"/>
  <c r="X3" i="59"/>
  <c r="X12" i="59"/>
  <c r="X14" i="59"/>
  <c r="AA11" i="59"/>
  <c r="AA13" i="59"/>
  <c r="Y11" i="59"/>
  <c r="Z11" i="59" s="1"/>
  <c r="Y12" i="59"/>
  <c r="Z12" i="59" s="1"/>
  <c r="Y13" i="59"/>
  <c r="Z13" i="59" s="1"/>
  <c r="Y14" i="59"/>
  <c r="Z14" i="59" s="1"/>
  <c r="Y3" i="59"/>
  <c r="Z3" i="59" s="1"/>
  <c r="AB3" i="59"/>
  <c r="AB12" i="59"/>
  <c r="B17" i="59"/>
  <c r="B18" i="59" s="1"/>
  <c r="S18" i="59" s="1"/>
  <c r="B37" i="59"/>
  <c r="B38" i="59"/>
  <c r="S38" i="59" s="1"/>
  <c r="E37" i="59"/>
  <c r="E38" i="59" s="1"/>
  <c r="U38" i="59" s="1"/>
  <c r="S54" i="59"/>
  <c r="Z24" i="59"/>
  <c r="AA25" i="59"/>
  <c r="F29" i="59"/>
  <c r="F30" i="59"/>
  <c r="V30" i="59" s="1"/>
  <c r="F41" i="59"/>
  <c r="F42" i="59"/>
  <c r="V42" i="59" s="1"/>
  <c r="F49" i="59"/>
  <c r="F50" i="59"/>
  <c r="V50" i="59" s="1"/>
  <c r="C17" i="59"/>
  <c r="D17" i="59" s="1"/>
  <c r="C25" i="59"/>
  <c r="D25" i="59" s="1"/>
  <c r="D24" i="59"/>
  <c r="C33" i="59"/>
  <c r="D33" i="59" s="1"/>
  <c r="D32" i="59"/>
  <c r="C37" i="59"/>
  <c r="D36" i="59"/>
  <c r="C45" i="59"/>
  <c r="D44" i="59"/>
  <c r="E52" i="59"/>
  <c r="N53" i="59"/>
  <c r="B52" i="59"/>
  <c r="Q53" i="59"/>
  <c r="T54" i="59"/>
  <c r="O54" i="59"/>
  <c r="D54" i="59"/>
  <c r="C53" i="59"/>
  <c r="C52" i="59" s="1"/>
  <c r="P54" i="59"/>
  <c r="U54" i="59"/>
  <c r="Q54" i="59"/>
  <c r="C57" i="59"/>
  <c r="C56" i="59" s="1"/>
  <c r="D56" i="59" s="1"/>
  <c r="E57" i="59"/>
  <c r="E56" i="59"/>
  <c r="D58" i="59"/>
  <c r="C61" i="59"/>
  <c r="D61" i="59" s="1"/>
  <c r="E61" i="59"/>
  <c r="E60" i="59"/>
  <c r="D62" i="59"/>
  <c r="C65" i="59"/>
  <c r="D65" i="59" s="1"/>
  <c r="E65" i="59"/>
  <c r="E64" i="59"/>
  <c r="D66" i="59"/>
  <c r="C69" i="59"/>
  <c r="C68" i="59" s="1"/>
  <c r="D68" i="59" s="1"/>
  <c r="C73" i="59"/>
  <c r="U16" i="4"/>
  <c r="S16" i="4"/>
  <c r="Q16" i="4"/>
  <c r="O16" i="4"/>
  <c r="M16" i="4"/>
  <c r="K16" i="4"/>
  <c r="P51" i="59"/>
  <c r="P52" i="59"/>
  <c r="D73" i="59"/>
  <c r="C72" i="59"/>
  <c r="D72" i="59"/>
  <c r="C64" i="59"/>
  <c r="D64" i="59" s="1"/>
  <c r="D57" i="59"/>
  <c r="O53" i="59"/>
  <c r="D69" i="59"/>
  <c r="C60" i="59"/>
  <c r="D60" i="59" s="1"/>
  <c r="N51" i="59"/>
  <c r="N52" i="59"/>
  <c r="D45" i="59"/>
  <c r="C46" i="59"/>
  <c r="C38" i="59"/>
  <c r="T38" i="59" s="1"/>
  <c r="D37" i="59"/>
  <c r="C26" i="59"/>
  <c r="T26" i="59" s="1"/>
  <c r="C18" i="59"/>
  <c r="T18" i="59" s="1"/>
  <c r="L16" i="4"/>
  <c r="T46" i="59"/>
  <c r="D46" i="59"/>
  <c r="D18" i="59"/>
  <c r="D26" i="59"/>
  <c r="M19" i="46" s="1"/>
  <c r="D38"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c r="Q21" i="21"/>
  <c r="Z21" i="21" s="1"/>
  <c r="D83" i="21"/>
  <c r="E83" i="21" s="1"/>
  <c r="F83" i="21" s="1"/>
  <c r="G83" i="21" s="1"/>
  <c r="F21" i="21"/>
  <c r="AA21" i="21" s="1"/>
  <c r="C21" i="21"/>
  <c r="Q27" i="40"/>
  <c r="Z27" i="40" s="1"/>
  <c r="D96" i="40"/>
  <c r="E96" i="40"/>
  <c r="F27" i="40"/>
  <c r="AA27" i="40"/>
  <c r="Q31" i="39"/>
  <c r="Z31" i="39" s="1"/>
  <c r="D105" i="39"/>
  <c r="E105" i="39"/>
  <c r="F31" i="39"/>
  <c r="AA31" i="39" s="1"/>
  <c r="G20" i="20"/>
  <c r="B85" i="46" s="1"/>
  <c r="C22" i="20"/>
  <c r="B65" i="46" s="1"/>
  <c r="S18" i="36"/>
  <c r="S18" i="35"/>
  <c r="S21" i="37"/>
  <c r="S21" i="34"/>
  <c r="S21" i="21"/>
  <c r="S27" i="40"/>
  <c r="S31" i="39"/>
  <c r="C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c r="F95" i="39" s="1"/>
  <c r="G95" i="39"/>
  <c r="D93" i="39"/>
  <c r="E93" i="39"/>
  <c r="F93" i="39" s="1"/>
  <c r="G93" i="39" s="1"/>
  <c r="D91" i="39"/>
  <c r="E91" i="39"/>
  <c r="F91" i="39" s="1"/>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E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J12" i="33" s="1"/>
  <c r="W12" i="33" s="1"/>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W24" i="35"/>
  <c r="S31" i="35"/>
  <c r="W31" i="35"/>
  <c r="F36" i="34"/>
  <c r="S36" i="34" s="1"/>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3" i="39"/>
  <c r="U36" i="39"/>
  <c r="S42" i="39"/>
  <c r="H32" i="33"/>
  <c r="AB32" i="33"/>
  <c r="H11" i="21"/>
  <c r="U11" i="21"/>
  <c r="J11" i="21"/>
  <c r="W11" i="21"/>
  <c r="F100" i="40"/>
  <c r="F86" i="40"/>
  <c r="G86" i="40" s="1"/>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B8" i="34"/>
  <c r="AC37" i="33"/>
  <c r="AA13" i="33"/>
  <c r="AC45" i="33"/>
  <c r="U19" i="21"/>
  <c r="AC33" i="21"/>
  <c r="AA36" i="21"/>
  <c r="S39" i="33"/>
  <c r="F43" i="33"/>
  <c r="AA43" i="33" s="1"/>
  <c r="AA23" i="37"/>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c r="AA36" i="35"/>
  <c r="H11" i="37"/>
  <c r="AB11" i="37" s="1"/>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S30" i="36"/>
  <c r="H16" i="36"/>
  <c r="AB16" i="36"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AB19" i="39" s="1"/>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s="1"/>
  <c r="J33" i="39"/>
  <c r="F44" i="39"/>
  <c r="S44" i="39"/>
  <c r="H44" i="39"/>
  <c r="U44" i="39"/>
  <c r="J44" i="39"/>
  <c r="W44" i="39"/>
  <c r="E128" i="39"/>
  <c r="F128" i="39"/>
  <c r="G128" i="39" s="1"/>
  <c r="H128" i="39"/>
  <c r="I128" i="39" s="1"/>
  <c r="J128" i="39" s="1"/>
  <c r="K128" i="39" s="1"/>
  <c r="L128" i="39" s="1"/>
  <c r="M128" i="39" s="1"/>
  <c r="F46" i="39"/>
  <c r="S46" i="39" s="1"/>
  <c r="H46" i="39"/>
  <c r="U46" i="39" s="1"/>
  <c r="J46" i="39"/>
  <c r="W46" i="39" s="1"/>
  <c r="F29" i="39"/>
  <c r="AA29" i="39" s="1"/>
  <c r="E103" i="39"/>
  <c r="F103" i="39" s="1"/>
  <c r="G103" i="39"/>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A15" i="34" s="1"/>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c r="H27" i="39"/>
  <c r="AB27" i="39"/>
  <c r="J27" i="39"/>
  <c r="AC27" i="39"/>
  <c r="F15" i="40"/>
  <c r="AA15" i="40"/>
  <c r="J15" i="40"/>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AB14" i="40"/>
  <c r="W40" i="40"/>
  <c r="F34" i="44"/>
  <c r="F66" i="9"/>
  <c r="P72" i="9" s="1"/>
  <c r="F72" i="9"/>
  <c r="W35" i="40"/>
  <c r="AB32" i="40"/>
  <c r="AC47" i="39"/>
  <c r="S47" i="39"/>
  <c r="AB25" i="39"/>
  <c r="U37" i="34"/>
  <c r="AB37" i="34"/>
  <c r="AC41" i="40"/>
  <c r="U41" i="40"/>
  <c r="J23" i="40"/>
  <c r="AC23" i="40"/>
  <c r="F23" i="40"/>
  <c r="S23" i="40" s="1"/>
  <c r="AC15" i="40"/>
  <c r="W15" i="40"/>
  <c r="W27" i="39"/>
  <c r="AB16" i="39"/>
  <c r="U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47" i="3"/>
  <c r="AZ549" i="3"/>
  <c r="AB37" i="39"/>
  <c r="AA29" i="35"/>
  <c r="J29" i="39"/>
  <c r="AC29" i="39" s="1"/>
  <c r="AB21" i="39"/>
  <c r="AB17" i="39"/>
  <c r="AB33" i="36"/>
  <c r="AA11" i="36"/>
  <c r="AA14" i="35"/>
  <c r="S14" i="35"/>
  <c r="G99" i="37"/>
  <c r="F33" i="37"/>
  <c r="AA33" i="37" s="1"/>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J37" i="34"/>
  <c r="AC37" i="34" s="1"/>
  <c r="J36" i="33"/>
  <c r="W36" i="33" s="1"/>
  <c r="S41" i="40"/>
  <c r="AB23" i="40"/>
  <c r="U27" i="39"/>
  <c r="H23" i="39"/>
  <c r="AB23" i="39"/>
  <c r="J23" i="39"/>
  <c r="AC23" i="39"/>
  <c r="F97" i="39"/>
  <c r="G97" i="39"/>
  <c r="S16" i="39"/>
  <c r="S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S46" i="34"/>
  <c r="U14" i="34"/>
  <c r="U12" i="34"/>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s="1"/>
  <c r="K11" i="1"/>
  <c r="M11" i="1" s="1"/>
  <c r="B9" i="1"/>
  <c r="E9" i="1"/>
  <c r="K9" i="1"/>
  <c r="M9" i="1" s="1"/>
  <c r="B7" i="1"/>
  <c r="E7" i="1" s="1"/>
  <c r="K7" i="1"/>
  <c r="M7" i="1" s="1"/>
  <c r="C20" i="43"/>
  <c r="F6" i="1"/>
  <c r="AP6" i="1" s="1"/>
  <c r="G11" i="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U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M20" i="15"/>
  <c r="D96" i="9"/>
  <c r="F28" i="15"/>
  <c r="M18" i="15"/>
  <c r="A18" i="64"/>
  <c r="B74" i="63"/>
  <c r="C53" i="10"/>
  <c r="A25" i="64" s="1"/>
  <c r="A18" i="51"/>
  <c r="B14" i="63"/>
  <c r="BA16" i="3"/>
  <c r="BA17" i="3"/>
  <c r="AZ17" i="3" s="1"/>
  <c r="F3" i="35"/>
  <c r="K1" i="43"/>
  <c r="K1" i="12"/>
  <c r="G1" i="44"/>
  <c r="I4" i="6"/>
  <c r="AZ15" i="3"/>
  <c r="BK5" i="3"/>
  <c r="BO5" i="3"/>
  <c r="BP5" i="3"/>
  <c r="BN5" i="3"/>
  <c r="BL18" i="3"/>
  <c r="AZ18" i="3" s="1"/>
  <c r="BC5" i="3"/>
  <c r="E8" i="6"/>
  <c r="BD5" i="3"/>
  <c r="BR5" i="3"/>
  <c r="G28" i="6" s="1"/>
  <c r="BS5" i="3"/>
  <c r="F28" i="6" s="1"/>
  <c r="F30" i="6" s="1"/>
  <c r="BQ5" i="3"/>
  <c r="BL16" i="3"/>
  <c r="AZ16" i="3" s="1"/>
  <c r="BM5" i="3"/>
  <c r="BA13" i="3"/>
  <c r="BA5" i="3" s="1"/>
  <c r="E27" i="6" s="1"/>
  <c r="G28" i="12"/>
  <c r="G22" i="43"/>
  <c r="G26" i="12"/>
  <c r="D24" i="44"/>
  <c r="D26" i="44"/>
  <c r="G27" i="12"/>
  <c r="G23" i="43"/>
  <c r="G21" i="43"/>
  <c r="N8" i="46"/>
  <c r="N4" i="46"/>
  <c r="N1" i="46"/>
  <c r="M9" i="46"/>
  <c r="M2" i="46"/>
  <c r="N11" i="46"/>
  <c r="F58" i="46" s="1"/>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B45" i="46" s="1"/>
  <c r="E58" i="46"/>
  <c r="B56" i="46" s="1"/>
  <c r="A4" i="64"/>
  <c r="A4" i="51"/>
  <c r="C51" i="10"/>
  <c r="I100" i="46"/>
  <c r="C24" i="46"/>
  <c r="N100" i="46"/>
  <c r="H100" i="46"/>
  <c r="F108" i="46"/>
  <c r="E100" i="46"/>
  <c r="G100" i="46"/>
  <c r="C100" i="46"/>
  <c r="J100" i="46"/>
  <c r="M100" i="46"/>
  <c r="AA12" i="36"/>
  <c r="U12" i="35"/>
  <c r="AB12" i="35"/>
  <c r="W11" i="35"/>
  <c r="AA11" i="35"/>
  <c r="S14" i="37"/>
  <c r="U13" i="37"/>
  <c r="S13" i="21"/>
  <c r="C24" i="9"/>
  <c r="C25" i="9"/>
  <c r="G9" i="1"/>
  <c r="G8" i="1"/>
  <c r="B6" i="63"/>
  <c r="L5" i="54"/>
  <c r="B39" i="63" s="1"/>
  <c r="K5" i="54"/>
  <c r="B38" i="63" s="1"/>
  <c r="T41" i="4"/>
  <c r="A17" i="64" s="1"/>
  <c r="B46" i="50"/>
  <c r="B4" i="63" s="1"/>
  <c r="C46" i="36"/>
  <c r="C48" i="35"/>
  <c r="D48" i="35" s="1"/>
  <c r="C52" i="37"/>
  <c r="D52" i="37" s="1"/>
  <c r="J7" i="33"/>
  <c r="AC7" i="33" s="1"/>
  <c r="V48" i="33" s="1"/>
  <c r="I48" i="33" s="1"/>
  <c r="I52" i="33" s="1"/>
  <c r="J52" i="33" s="1"/>
  <c r="C72" i="39"/>
  <c r="O19" i="46"/>
  <c r="H10" i="48"/>
  <c r="K10" i="1"/>
  <c r="M10" i="1" s="1"/>
  <c r="O10" i="1" s="1"/>
  <c r="P10" i="1" s="1"/>
  <c r="S11" i="1"/>
  <c r="R11" i="1"/>
  <c r="S13" i="1"/>
  <c r="R13" i="1"/>
  <c r="B6" i="1"/>
  <c r="E6" i="1" s="1"/>
  <c r="B10" i="1"/>
  <c r="E10" i="1"/>
  <c r="S10" i="1"/>
  <c r="B8" i="1"/>
  <c r="E8" i="1" s="1"/>
  <c r="B12" i="1"/>
  <c r="E12" i="1" s="1"/>
  <c r="S12" i="1"/>
  <c r="K6" i="1"/>
  <c r="M6" i="1" s="1"/>
  <c r="O6" i="1" s="1"/>
  <c r="P6" i="1" s="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AB15" i="21"/>
  <c r="W15" i="21"/>
  <c r="AC15" i="21"/>
  <c r="AB39" i="40"/>
  <c r="U39" i="40"/>
  <c r="W39" i="40"/>
  <c r="AA39" i="40"/>
  <c r="S39" i="40"/>
  <c r="U37" i="40"/>
  <c r="AB37" i="40"/>
  <c r="S37" i="40"/>
  <c r="U29" i="40"/>
  <c r="AB29" i="40"/>
  <c r="W29" i="40"/>
  <c r="S29" i="40"/>
  <c r="AC19" i="40"/>
  <c r="S19" i="40"/>
  <c r="AB19" i="40"/>
  <c r="U19" i="40"/>
  <c r="AC27" i="40"/>
  <c r="W27" i="40"/>
  <c r="W31" i="39"/>
  <c r="AC31" i="39"/>
  <c r="R22" i="31"/>
  <c r="B21" i="31" s="1"/>
  <c r="A17" i="51"/>
  <c r="B13" i="63" s="1"/>
  <c r="E58" i="39"/>
  <c r="E53" i="40"/>
  <c r="F27" i="6"/>
  <c r="E5" i="6"/>
  <c r="AT6" i="3"/>
  <c r="G29" i="6"/>
  <c r="E29" i="6" s="1"/>
  <c r="K15" i="1" s="1"/>
  <c r="A9" i="64"/>
  <c r="A9" i="51"/>
  <c r="B9" i="63" s="1"/>
  <c r="D72" i="39"/>
  <c r="E4" i="4"/>
  <c r="C4" i="4"/>
  <c r="B20" i="55" s="1"/>
  <c r="B70" i="63" s="1"/>
  <c r="G66" i="36"/>
  <c r="J18" i="36"/>
  <c r="AC18" i="36" s="1"/>
  <c r="AE8" i="1"/>
  <c r="AE7" i="1"/>
  <c r="AG6" i="1"/>
  <c r="L20" i="6"/>
  <c r="L19" i="6"/>
  <c r="B21" i="55"/>
  <c r="B72" i="63" s="1"/>
  <c r="H7" i="21"/>
  <c r="AB7" i="21" s="1"/>
  <c r="T48" i="21" s="1"/>
  <c r="G48" i="21" s="1"/>
  <c r="E72" i="39"/>
  <c r="F70" i="39"/>
  <c r="F72" i="39" s="1"/>
  <c r="S7" i="1"/>
  <c r="S8" i="1"/>
  <c r="S9" i="1"/>
  <c r="R9" i="1"/>
  <c r="R7"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E12" i="67"/>
  <c r="E11" i="67"/>
  <c r="F13" i="67"/>
  <c r="M24" i="44"/>
  <c r="F39" i="44"/>
  <c r="N6" i="65"/>
  <c r="M22" i="15"/>
  <c r="M29" i="44"/>
  <c r="M28" i="44"/>
  <c r="N7" i="65"/>
  <c r="F40" i="44"/>
  <c r="J17" i="44"/>
  <c r="M8" i="44"/>
  <c r="F38" i="44"/>
  <c r="N3" i="65"/>
  <c r="M24" i="15"/>
  <c r="L49" i="44"/>
  <c r="M23" i="44"/>
  <c r="F9" i="44"/>
  <c r="F37" i="15"/>
  <c r="B10" i="67"/>
  <c r="F36" i="15"/>
  <c r="F16" i="15"/>
  <c r="N4" i="65"/>
  <c r="F35" i="15"/>
  <c r="F28" i="44"/>
  <c r="M10" i="44"/>
  <c r="C19" i="44"/>
  <c r="M8" i="15"/>
  <c r="F10" i="44"/>
  <c r="B14" i="67"/>
  <c r="F12" i="67"/>
  <c r="B11" i="67"/>
  <c r="F9" i="15"/>
  <c r="F18" i="44"/>
  <c r="F9" i="67"/>
  <c r="M30" i="44"/>
  <c r="F11" i="67"/>
  <c r="B9" i="67"/>
  <c r="F15" i="44"/>
  <c r="M29" i="15"/>
  <c r="E14" i="67"/>
  <c r="M21" i="15"/>
  <c r="F11" i="44"/>
  <c r="L48" i="44"/>
  <c r="B8" i="67"/>
  <c r="M26" i="44"/>
  <c r="F45" i="44"/>
  <c r="E8" i="67"/>
  <c r="M6" i="15"/>
  <c r="F8" i="44"/>
  <c r="F43" i="15"/>
  <c r="N5" i="65"/>
  <c r="F14" i="67"/>
  <c r="F43" i="44"/>
  <c r="F7" i="15"/>
  <c r="F26" i="15"/>
  <c r="B13" i="67"/>
  <c r="M11" i="44"/>
  <c r="J36" i="15"/>
  <c r="F10" i="67"/>
  <c r="F37" i="44"/>
  <c r="J15" i="15"/>
  <c r="F8" i="67"/>
  <c r="E13" i="67"/>
  <c r="B12" i="67"/>
  <c r="M25" i="44"/>
  <c r="M31" i="44"/>
  <c r="E9" i="67"/>
  <c r="E10" i="67"/>
  <c r="F7" i="21" l="1"/>
  <c r="AA7" i="21" s="1"/>
  <c r="R48" i="21" s="1"/>
  <c r="J7" i="21"/>
  <c r="AC7" i="21" s="1"/>
  <c r="V48" i="21" s="1"/>
  <c r="I48" i="21" s="1"/>
  <c r="W7" i="33"/>
  <c r="A25" i="51"/>
  <c r="B18" i="63" s="1"/>
  <c r="D65" i="40"/>
  <c r="E65" i="40" s="1"/>
  <c r="I20" i="46"/>
  <c r="F80" i="46"/>
  <c r="H53" i="46"/>
  <c r="AB18" i="36"/>
  <c r="S9" i="21"/>
  <c r="AA9" i="21"/>
  <c r="W9" i="33"/>
  <c r="AC9" i="33"/>
  <c r="AA28" i="34"/>
  <c r="S28" i="34"/>
  <c r="W18" i="36"/>
  <c r="I14" i="66"/>
  <c r="B8" i="66" s="1"/>
  <c r="R7" i="54"/>
  <c r="B52" i="63" s="1"/>
  <c r="G70" i="39"/>
  <c r="A3" i="55"/>
  <c r="B56" i="63" s="1"/>
  <c r="U25" i="40"/>
  <c r="U25" i="33"/>
  <c r="W34" i="33"/>
  <c r="W37" i="34"/>
  <c r="AA27" i="34"/>
  <c r="AA32" i="37"/>
  <c r="F30" i="44"/>
  <c r="C30" i="44" s="1"/>
  <c r="M20" i="44"/>
  <c r="F70" i="9"/>
  <c r="F32" i="15"/>
  <c r="F59" i="15" s="1"/>
  <c r="AB13" i="33"/>
  <c r="AC14" i="34"/>
  <c r="U32" i="34"/>
  <c r="S17" i="39"/>
  <c r="AB46" i="39"/>
  <c r="W15" i="39"/>
  <c r="W32" i="40"/>
  <c r="U39" i="39"/>
  <c r="W14" i="39"/>
  <c r="S23" i="39"/>
  <c r="S33" i="40"/>
  <c r="AC14" i="40"/>
  <c r="F71" i="9"/>
  <c r="AZ538" i="3"/>
  <c r="AZ558" i="3"/>
  <c r="AZ572" i="3"/>
  <c r="AZ570" i="3"/>
  <c r="BL13" i="3"/>
  <c r="J34" i="35"/>
  <c r="H34" i="35"/>
  <c r="F34" i="35"/>
  <c r="S42" i="33"/>
  <c r="S10" i="35"/>
  <c r="S27" i="37"/>
  <c r="AC41" i="34"/>
  <c r="AC28" i="34"/>
  <c r="U28" i="21"/>
  <c r="S45" i="21"/>
  <c r="AA27" i="33"/>
  <c r="W31" i="34"/>
  <c r="AB14" i="21"/>
  <c r="U46" i="21"/>
  <c r="AB13" i="21"/>
  <c r="AB40" i="37"/>
  <c r="W46" i="33"/>
  <c r="W35" i="35"/>
  <c r="AA39" i="37"/>
  <c r="C29" i="39"/>
  <c r="AC40" i="21"/>
  <c r="W8" i="21"/>
  <c r="F26" i="33"/>
  <c r="H9" i="21"/>
  <c r="H5" i="3"/>
  <c r="BF5" i="3"/>
  <c r="F9" i="33"/>
  <c r="H9" i="33"/>
  <c r="F12" i="33"/>
  <c r="H12" i="33"/>
  <c r="J9" i="35"/>
  <c r="H25" i="37"/>
  <c r="J25" i="37"/>
  <c r="F25" i="37"/>
  <c r="G553" i="3"/>
  <c r="G548" i="3"/>
  <c r="G527" i="3"/>
  <c r="G519" i="3"/>
  <c r="G503" i="3"/>
  <c r="G495" i="3"/>
  <c r="G486" i="3"/>
  <c r="AZ389" i="3"/>
  <c r="AZ400" i="3"/>
  <c r="AZ404" i="3"/>
  <c r="AZ250" i="3"/>
  <c r="C92" i="9"/>
  <c r="C18" i="9"/>
  <c r="D18" i="9" s="1"/>
  <c r="M44" i="9" s="1"/>
  <c r="AZ419" i="3"/>
  <c r="AZ425" i="3"/>
  <c r="AZ429" i="3"/>
  <c r="AZ445" i="3"/>
  <c r="AZ448" i="3"/>
  <c r="AZ468" i="3"/>
  <c r="AZ472" i="3"/>
  <c r="AZ206" i="3"/>
  <c r="AZ210" i="3"/>
  <c r="AZ222" i="3"/>
  <c r="AZ226" i="3"/>
  <c r="AZ238" i="3"/>
  <c r="AZ242" i="3"/>
  <c r="AZ258" i="3"/>
  <c r="AZ269" i="3"/>
  <c r="AZ272" i="3"/>
  <c r="AZ285" i="3"/>
  <c r="AZ288" i="3"/>
  <c r="AZ296" i="3"/>
  <c r="AZ41" i="3"/>
  <c r="AZ156" i="3"/>
  <c r="AZ159" i="3"/>
  <c r="AZ172" i="3"/>
  <c r="AZ175" i="3"/>
  <c r="AZ202" i="3"/>
  <c r="AZ21" i="3"/>
  <c r="AZ28" i="3"/>
  <c r="AZ34" i="3"/>
  <c r="AZ37" i="3"/>
  <c r="AZ44" i="3"/>
  <c r="AZ53" i="3"/>
  <c r="AZ57" i="3"/>
  <c r="AZ60" i="3"/>
  <c r="AZ77" i="3"/>
  <c r="AZ68" i="3"/>
  <c r="AZ75" i="3"/>
  <c r="AZ88" i="3"/>
  <c r="AZ95" i="3"/>
  <c r="AZ101" i="3"/>
  <c r="AZ104" i="3"/>
  <c r="AZ111" i="3"/>
  <c r="B54" i="46"/>
  <c r="C27" i="40"/>
  <c r="K12" i="1"/>
  <c r="M12" i="1" s="1"/>
  <c r="O12" i="1" s="1"/>
  <c r="P12" i="1" s="1"/>
  <c r="D52" i="59"/>
  <c r="O52" i="59"/>
  <c r="O51" i="59"/>
  <c r="C29" i="59"/>
  <c r="D28" i="59"/>
  <c r="D40" i="59"/>
  <c r="C41" i="59"/>
  <c r="D48" i="59"/>
  <c r="C49" i="59"/>
  <c r="B13" i="59"/>
  <c r="B12" i="59" s="1"/>
  <c r="S14" i="59"/>
  <c r="D53" i="59"/>
  <c r="N16" i="4"/>
  <c r="E16" i="59"/>
  <c r="E17" i="59" s="1"/>
  <c r="E18" i="59" s="1"/>
  <c r="U18" i="59" s="1"/>
  <c r="AB13" i="59"/>
  <c r="AB11" i="59"/>
  <c r="AB14" i="59"/>
  <c r="AA14" i="59"/>
  <c r="AA12" i="59"/>
  <c r="AA3" i="59"/>
  <c r="X13" i="59"/>
  <c r="X11" i="59"/>
  <c r="Y15" i="59"/>
  <c r="Z15" i="59" s="1"/>
  <c r="F16" i="59"/>
  <c r="F17" i="59" s="1"/>
  <c r="F18" i="59" s="1"/>
  <c r="V18" i="59" s="1"/>
  <c r="X16" i="59"/>
  <c r="AA17" i="59"/>
  <c r="X18" i="59"/>
  <c r="B20" i="59"/>
  <c r="B21" i="59" s="1"/>
  <c r="B22" i="59" s="1"/>
  <c r="S22" i="59" s="1"/>
  <c r="C20" i="59"/>
  <c r="AA19" i="59"/>
  <c r="AB20" i="59"/>
  <c r="Y21" i="59"/>
  <c r="Z21" i="59" s="1"/>
  <c r="AB22" i="59"/>
  <c r="Y23" i="59"/>
  <c r="Z23" i="59" s="1"/>
  <c r="E24" i="59"/>
  <c r="E25" i="59" s="1"/>
  <c r="E26" i="59" s="1"/>
  <c r="U26" i="59" s="1"/>
  <c r="F24" i="59"/>
  <c r="F25" i="59" s="1"/>
  <c r="F26" i="59" s="1"/>
  <c r="V26" i="59" s="1"/>
  <c r="Q51" i="59"/>
  <c r="T14" i="59"/>
  <c r="C13" i="59"/>
  <c r="AC12" i="46"/>
  <c r="Z12" i="46"/>
  <c r="AA10" i="46"/>
  <c r="AI10" i="46"/>
  <c r="U10" i="59"/>
  <c r="E13" i="59"/>
  <c r="E12" i="59" s="1"/>
  <c r="O76" i="9"/>
  <c r="K76" i="9"/>
  <c r="K77" i="9" s="1"/>
  <c r="K79" i="9" s="1"/>
  <c r="K81" i="9" s="1"/>
  <c r="F14" i="59"/>
  <c r="X10" i="59"/>
  <c r="X9" i="59"/>
  <c r="AA8" i="59"/>
  <c r="AA9" i="59"/>
  <c r="AA10" i="59"/>
  <c r="X7" i="59"/>
  <c r="AA7" i="59"/>
  <c r="F9" i="59"/>
  <c r="F8" i="59" s="1"/>
  <c r="F7" i="59" s="1"/>
  <c r="F6" i="59" s="1"/>
  <c r="V10" i="59"/>
  <c r="E5" i="59"/>
  <c r="U6" i="59"/>
  <c r="D14" i="59"/>
  <c r="Y10" i="59"/>
  <c r="Z10" i="59" s="1"/>
  <c r="Y7" i="59"/>
  <c r="Z7" i="59" s="1"/>
  <c r="Y8" i="59"/>
  <c r="Z8" i="59" s="1"/>
  <c r="Y9" i="59"/>
  <c r="Z9" i="59" s="1"/>
  <c r="C10" i="59"/>
  <c r="AB8" i="59"/>
  <c r="AB9" i="59"/>
  <c r="AB7" i="59"/>
  <c r="X6" i="59"/>
  <c r="Y5" i="59"/>
  <c r="Z5" i="59" s="1"/>
  <c r="X8" i="59"/>
  <c r="AA6" i="59"/>
  <c r="AA5" i="59"/>
  <c r="X5" i="59"/>
  <c r="Y6" i="59"/>
  <c r="Z6" i="59" s="1"/>
  <c r="AB6" i="59"/>
  <c r="AB5" i="59"/>
  <c r="M43" i="9"/>
  <c r="A30" i="51"/>
  <c r="B22" i="63" s="1"/>
  <c r="A30" i="64"/>
  <c r="F36" i="44"/>
  <c r="L27" i="6"/>
  <c r="AZ13" i="3"/>
  <c r="AZ5" i="3" s="1"/>
  <c r="E3" i="6" s="1"/>
  <c r="BL5" i="3"/>
  <c r="E6" i="6"/>
  <c r="D12" i="11"/>
  <c r="C12" i="11" s="1"/>
  <c r="L38" i="9"/>
  <c r="B14" i="66" s="1"/>
  <c r="B1" i="66" s="1"/>
  <c r="C7" i="66" s="1"/>
  <c r="H61" i="46"/>
  <c r="H58" i="46"/>
  <c r="K17" i="4"/>
  <c r="A22" i="51" s="1"/>
  <c r="B16" i="63" s="1"/>
  <c r="S7" i="21"/>
  <c r="D67" i="40"/>
  <c r="R49" i="21"/>
  <c r="E48" i="21"/>
  <c r="E53" i="21" s="1"/>
  <c r="F53" i="21" s="1"/>
  <c r="U7" i="21"/>
  <c r="E14" i="52"/>
  <c r="G30" i="6"/>
  <c r="G31" i="6" s="1"/>
  <c r="C8" i="66"/>
  <c r="D10" i="11"/>
  <c r="C21" i="4"/>
  <c r="O5" i="54" s="1"/>
  <c r="B45" i="63" s="1"/>
  <c r="I52" i="21"/>
  <c r="J52" i="21" s="1"/>
  <c r="C15" i="43"/>
  <c r="C27" i="43"/>
  <c r="C31" i="43"/>
  <c r="C28" i="15"/>
  <c r="H1" i="65"/>
  <c r="W7" i="21"/>
  <c r="Q16" i="1"/>
  <c r="F31" i="6"/>
  <c r="H51" i="46"/>
  <c r="X7" i="46"/>
  <c r="E17" i="46"/>
  <c r="N17" i="46"/>
  <c r="O17" i="46"/>
  <c r="M17" i="46"/>
  <c r="L17" i="46"/>
  <c r="D13" i="11"/>
  <c r="C13" i="11" s="1"/>
  <c r="E28" i="6"/>
  <c r="O7" i="1"/>
  <c r="P7" i="1" s="1"/>
  <c r="O11" i="1"/>
  <c r="P11" i="1" s="1"/>
  <c r="O13" i="1"/>
  <c r="P13" i="1" s="1"/>
  <c r="O9" i="1"/>
  <c r="P9" i="1" s="1"/>
  <c r="E14" i="6"/>
  <c r="E15" i="6"/>
  <c r="E13" i="6"/>
  <c r="E12" i="6"/>
  <c r="E10" i="6"/>
  <c r="E11" i="6"/>
  <c r="AP7" i="1"/>
  <c r="AP16" i="1" s="1"/>
  <c r="G13" i="1"/>
  <c r="G52" i="21"/>
  <c r="H52" i="21" s="1"/>
  <c r="G53" i="21"/>
  <c r="H53" i="21" s="1"/>
  <c r="E52" i="21"/>
  <c r="F52" i="21" s="1"/>
  <c r="E52" i="37"/>
  <c r="D46" i="36"/>
  <c r="E48" i="35"/>
  <c r="D59" i="34"/>
  <c r="G6" i="1"/>
  <c r="G16" i="1" s="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C36" i="44"/>
  <c r="C8" i="44"/>
  <c r="F63" i="15"/>
  <c r="C4" i="65"/>
  <c r="B39" i="1" s="1"/>
  <c r="J54" i="44"/>
  <c r="I55" i="44"/>
  <c r="J58" i="44"/>
  <c r="J56" i="44" s="1"/>
  <c r="J59" i="44" s="1"/>
  <c r="Q52" i="44" s="1"/>
  <c r="L57" i="44"/>
  <c r="J22" i="44"/>
  <c r="Q72" i="15"/>
  <c r="Q73" i="44"/>
  <c r="F64" i="15"/>
  <c r="L60" i="44"/>
  <c r="L59" i="44"/>
  <c r="C27" i="15"/>
  <c r="F62" i="15"/>
  <c r="C61" i="15" s="1"/>
  <c r="C34" i="15"/>
  <c r="J20" i="15"/>
  <c r="F49" i="15"/>
  <c r="M7" i="15"/>
  <c r="C29" i="44"/>
  <c r="F70" i="15"/>
  <c r="M9" i="44"/>
  <c r="J8" i="44" s="1"/>
  <c r="E17" i="52"/>
  <c r="E11" i="52"/>
  <c r="E15" i="52"/>
  <c r="E13" i="52"/>
  <c r="B14" i="52"/>
  <c r="E8" i="52"/>
  <c r="E16" i="52"/>
  <c r="B5" i="52"/>
  <c r="B9" i="52"/>
  <c r="B16" i="52"/>
  <c r="B8" i="52"/>
  <c r="B13" i="52"/>
  <c r="E10" i="52"/>
  <c r="E21" i="52"/>
  <c r="F31" i="15"/>
  <c r="M19" i="44"/>
  <c r="F58" i="15"/>
  <c r="F33" i="44"/>
  <c r="M17" i="15"/>
  <c r="J3" i="65"/>
  <c r="F13" i="15"/>
  <c r="M26" i="15"/>
  <c r="I6" i="65"/>
  <c r="F42" i="15"/>
  <c r="J5" i="65"/>
  <c r="C17" i="15"/>
  <c r="J4" i="65"/>
  <c r="M9" i="15"/>
  <c r="I5" i="65"/>
  <c r="M27" i="15"/>
  <c r="F33" i="12"/>
  <c r="C15" i="12"/>
  <c r="M28" i="15"/>
  <c r="L47" i="15"/>
  <c r="C18" i="44"/>
  <c r="D21" i="12"/>
  <c r="J6" i="65"/>
  <c r="F38" i="15"/>
  <c r="L48" i="15"/>
  <c r="C16" i="15"/>
  <c r="F8" i="15"/>
  <c r="J7" i="65"/>
  <c r="I3" i="65"/>
  <c r="I7" i="65"/>
  <c r="M23" i="15"/>
  <c r="I4" i="65"/>
  <c r="F40" i="15"/>
  <c r="F6" i="15"/>
  <c r="I53" i="21" l="1"/>
  <c r="J53" i="21" s="1"/>
  <c r="E67" i="40"/>
  <c r="F65" i="40"/>
  <c r="H81" i="46"/>
  <c r="H80" i="46"/>
  <c r="H86" i="46"/>
  <c r="H85" i="46"/>
  <c r="H84" i="46"/>
  <c r="H82" i="46"/>
  <c r="H87" i="46"/>
  <c r="H83" i="46"/>
  <c r="G17" i="46"/>
  <c r="C16" i="46" s="1"/>
  <c r="D5" i="46" s="1"/>
  <c r="J60" i="44"/>
  <c r="J61" i="44" s="1"/>
  <c r="Q50" i="44" s="1"/>
  <c r="H16" i="1"/>
  <c r="C6" i="15"/>
  <c r="F50" i="15"/>
  <c r="C48" i="15" s="1"/>
  <c r="F65" i="15"/>
  <c r="F67" i="15"/>
  <c r="J57" i="15"/>
  <c r="J55" i="15" s="1"/>
  <c r="J58" i="15" s="1"/>
  <c r="Q51" i="15" s="1"/>
  <c r="L56" i="15"/>
  <c r="I54" i="15"/>
  <c r="J53" i="15"/>
  <c r="Q53" i="15" s="1"/>
  <c r="L58" i="15"/>
  <c r="Q61" i="15" s="1"/>
  <c r="L59" i="15"/>
  <c r="Q62" i="15" s="1"/>
  <c r="C9" i="59"/>
  <c r="D10" i="59"/>
  <c r="T10" i="59"/>
  <c r="C12" i="59"/>
  <c r="D12" i="59" s="1"/>
  <c r="D13" i="59"/>
  <c r="D20" i="59"/>
  <c r="C21" i="59"/>
  <c r="C50" i="59"/>
  <c r="D49" i="59"/>
  <c r="C42" i="59"/>
  <c r="D41" i="59"/>
  <c r="AA25" i="37"/>
  <c r="S25" i="37"/>
  <c r="U25" i="37"/>
  <c r="AB25" i="37"/>
  <c r="U12" i="33"/>
  <c r="AB12" i="33"/>
  <c r="U9" i="33"/>
  <c r="AB9" i="33"/>
  <c r="AB9" i="21"/>
  <c r="U9" i="21"/>
  <c r="AB34" i="35"/>
  <c r="U34" i="35"/>
  <c r="J6" i="15"/>
  <c r="F5" i="59"/>
  <c r="V6" i="59"/>
  <c r="V14" i="59"/>
  <c r="F13" i="59"/>
  <c r="F12" i="59" s="1"/>
  <c r="C30" i="59"/>
  <c r="D29" i="59"/>
  <c r="G5" i="3"/>
  <c r="B3" i="3" s="1"/>
  <c r="E503" i="3"/>
  <c r="E553" i="3"/>
  <c r="W25" i="37"/>
  <c r="AC25" i="37"/>
  <c r="W9" i="35"/>
  <c r="AC9" i="35"/>
  <c r="AA12" i="33"/>
  <c r="S12" i="33"/>
  <c r="AA9" i="33"/>
  <c r="S9" i="33"/>
  <c r="AA26" i="33"/>
  <c r="S26" i="33"/>
  <c r="AA34" i="35"/>
  <c r="S34" i="35"/>
  <c r="AC34" i="35"/>
  <c r="W34" i="35"/>
  <c r="H70" i="39"/>
  <c r="G72" i="39"/>
  <c r="C21" i="12"/>
  <c r="D16" i="43"/>
  <c r="C16" i="43" s="1"/>
  <c r="D45" i="9"/>
  <c r="D44" i="9"/>
  <c r="D46" i="9"/>
  <c r="C6" i="66"/>
  <c r="C49" i="21"/>
  <c r="B3" i="21" s="1"/>
  <c r="B2" i="21" s="1"/>
  <c r="C48" i="21"/>
  <c r="C34" i="12"/>
  <c r="D33" i="12" s="1"/>
  <c r="B5" i="59"/>
  <c r="J1" i="65"/>
  <c r="I1" i="65"/>
  <c r="E20" i="46"/>
  <c r="P28" i="46" s="1"/>
  <c r="C5" i="46"/>
  <c r="F18" i="11"/>
  <c r="C18" i="11" s="1"/>
  <c r="F24" i="43"/>
  <c r="C26" i="43" s="1"/>
  <c r="D24" i="43" s="1"/>
  <c r="E16" i="6"/>
  <c r="E60" i="40"/>
  <c r="E65" i="39"/>
  <c r="E61" i="40"/>
  <c r="E66" i="39"/>
  <c r="E63" i="39"/>
  <c r="E58" i="40"/>
  <c r="E64" i="39"/>
  <c r="E59" i="40"/>
  <c r="E67" i="39"/>
  <c r="E62" i="40"/>
  <c r="K19" i="6"/>
  <c r="S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C7" i="46"/>
  <c r="Q76" i="44"/>
  <c r="Q63" i="44"/>
  <c r="Q54" i="44"/>
  <c r="F1" i="44"/>
  <c r="F13" i="44"/>
  <c r="C12" i="44" s="1"/>
  <c r="C7" i="44" s="1"/>
  <c r="M11" i="15"/>
  <c r="J10" i="15" s="1"/>
  <c r="F11" i="15"/>
  <c r="M13" i="44"/>
  <c r="J12" i="44" s="1"/>
  <c r="J7" i="44" s="1"/>
  <c r="Q75" i="44"/>
  <c r="Q62" i="44"/>
  <c r="E3" i="65"/>
  <c r="D22" i="12"/>
  <c r="E2" i="65"/>
  <c r="D16" i="12"/>
  <c r="F67" i="40" l="1"/>
  <c r="G65" i="40"/>
  <c r="F1" i="15"/>
  <c r="Q74" i="15"/>
  <c r="Q75" i="15"/>
  <c r="J5" i="15"/>
  <c r="J26" i="15" s="1"/>
  <c r="C22" i="12"/>
  <c r="C20" i="12" s="1"/>
  <c r="D19" i="12"/>
  <c r="C19" i="12" s="1"/>
  <c r="C16" i="12"/>
  <c r="D1"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80" i="3"/>
  <c r="E238" i="3"/>
  <c r="E161" i="3"/>
  <c r="E450" i="3"/>
  <c r="E492" i="3"/>
  <c r="E36" i="3"/>
  <c r="E149" i="3"/>
  <c r="E131" i="3"/>
  <c r="E295" i="3"/>
  <c r="E237" i="3"/>
  <c r="E249" i="3"/>
  <c r="E304" i="3"/>
  <c r="E89" i="3"/>
  <c r="E428" i="3"/>
  <c r="E549" i="3"/>
  <c r="E165" i="3"/>
  <c r="E201" i="3"/>
  <c r="E100" i="3"/>
  <c r="E460" i="3"/>
  <c r="E404" i="3"/>
  <c r="E170" i="3"/>
  <c r="E374" i="3"/>
  <c r="E30" i="3"/>
  <c r="E274" i="3"/>
  <c r="E463" i="3"/>
  <c r="E441" i="3"/>
  <c r="E205" i="3"/>
  <c r="E367" i="3"/>
  <c r="E399" i="3"/>
  <c r="E415" i="3"/>
  <c r="E478" i="3"/>
  <c r="E80" i="3"/>
  <c r="E317" i="3"/>
  <c r="E28" i="3"/>
  <c r="E178" i="3"/>
  <c r="E119" i="3"/>
  <c r="J6" i="3"/>
  <c r="E168" i="3"/>
  <c r="AS6" i="3"/>
  <c r="E48" i="3"/>
  <c r="E97" i="3"/>
  <c r="E438" i="3"/>
  <c r="AE6" i="3"/>
  <c r="E383" i="3"/>
  <c r="E550" i="3"/>
  <c r="E247" i="3"/>
  <c r="E136" i="3"/>
  <c r="E568" i="3"/>
  <c r="E85" i="3"/>
  <c r="E539" i="3"/>
  <c r="E332" i="3"/>
  <c r="E245" i="3"/>
  <c r="E139" i="3"/>
  <c r="E52" i="3"/>
  <c r="E102" i="3"/>
  <c r="O6" i="3"/>
  <c r="E25" i="3"/>
  <c r="E204" i="3"/>
  <c r="E258" i="3"/>
  <c r="E207" i="3"/>
  <c r="E479" i="3"/>
  <c r="E449" i="3"/>
  <c r="E43" i="3"/>
  <c r="E196" i="3"/>
  <c r="E276" i="3"/>
  <c r="E259" i="3"/>
  <c r="E370" i="3"/>
  <c r="E308" i="3"/>
  <c r="E526" i="3"/>
  <c r="E416" i="3"/>
  <c r="E477" i="3"/>
  <c r="E96" i="3"/>
  <c r="E540" i="3"/>
  <c r="E160" i="3"/>
  <c r="E134" i="3"/>
  <c r="E242" i="3"/>
  <c r="AI6" i="3"/>
  <c r="E72" i="3"/>
  <c r="E290" i="3"/>
  <c r="E440" i="3"/>
  <c r="AF6" i="3"/>
  <c r="E234" i="3"/>
  <c r="E458" i="3"/>
  <c r="E362" i="3"/>
  <c r="E559" i="3"/>
  <c r="E256" i="3"/>
  <c r="E228" i="3"/>
  <c r="E314" i="3"/>
  <c r="E324" i="3"/>
  <c r="E502" i="3"/>
  <c r="E334" i="3"/>
  <c r="E456" i="3"/>
  <c r="E353" i="3"/>
  <c r="E569" i="3"/>
  <c r="E50" i="3"/>
  <c r="AJ6" i="3"/>
  <c r="E216" i="3"/>
  <c r="E320" i="3"/>
  <c r="E392" i="3"/>
  <c r="E45" i="3"/>
  <c r="E373" i="3"/>
  <c r="E284" i="3"/>
  <c r="E360" i="3"/>
  <c r="E354" i="3"/>
  <c r="E56" i="3"/>
  <c r="E181" i="3"/>
  <c r="E144" i="3"/>
  <c r="E269" i="3"/>
  <c r="E219" i="3"/>
  <c r="E338" i="3"/>
  <c r="E506" i="3"/>
  <c r="E562" i="3"/>
  <c r="E571" i="3"/>
  <c r="E518" i="3"/>
  <c r="E497" i="3"/>
  <c r="E330" i="3"/>
  <c r="E566" i="3"/>
  <c r="E515" i="3"/>
  <c r="E494" i="3"/>
  <c r="E273" i="3"/>
  <c r="E542" i="3"/>
  <c r="E563" i="3"/>
  <c r="E254" i="3"/>
  <c r="E112" i="3"/>
  <c r="E341" i="3"/>
  <c r="E268" i="3"/>
  <c r="E316" i="3"/>
  <c r="E175" i="3"/>
  <c r="E318" i="3"/>
  <c r="E565" i="3"/>
  <c r="E523" i="3"/>
  <c r="E557" i="3"/>
  <c r="E13" i="3"/>
  <c r="E297" i="3"/>
  <c r="E411" i="3"/>
  <c r="E395" i="3"/>
  <c r="E250" i="3"/>
  <c r="AN6" i="3"/>
  <c r="E41" i="3"/>
  <c r="E471" i="3"/>
  <c r="E59" i="3"/>
  <c r="E418" i="3"/>
  <c r="E270" i="3"/>
  <c r="E408" i="3"/>
  <c r="E464" i="3"/>
  <c r="E92" i="3"/>
  <c r="E157" i="3"/>
  <c r="E209" i="3"/>
  <c r="E414" i="3"/>
  <c r="E44" i="3"/>
  <c r="E202" i="3"/>
  <c r="I3" i="6"/>
  <c r="E223" i="3"/>
  <c r="E32" i="3"/>
  <c r="E292" i="3"/>
  <c r="E547" i="3"/>
  <c r="E426" i="3"/>
  <c r="E447" i="3"/>
  <c r="E60" i="3"/>
  <c r="E33" i="3"/>
  <c r="E75" i="3"/>
  <c r="Q6" i="3"/>
  <c r="E357" i="3"/>
  <c r="E141" i="3"/>
  <c r="E179" i="3"/>
  <c r="E500" i="3"/>
  <c r="E34" i="3"/>
  <c r="E444" i="3"/>
  <c r="E407" i="3"/>
  <c r="E455" i="3"/>
  <c r="E289" i="3"/>
  <c r="E363" i="3"/>
  <c r="E113" i="3"/>
  <c r="E79" i="3"/>
  <c r="E425" i="3"/>
  <c r="E401" i="3"/>
  <c r="E257" i="3"/>
  <c r="E272" i="3"/>
  <c r="E166" i="3"/>
  <c r="E445" i="3"/>
  <c r="E451" i="3"/>
  <c r="E556" i="3"/>
  <c r="U6" i="3"/>
  <c r="E291" i="3"/>
  <c r="E305" i="3"/>
  <c r="E73" i="3"/>
  <c r="E365" i="3"/>
  <c r="E126" i="3"/>
  <c r="E248" i="3"/>
  <c r="E211" i="3"/>
  <c r="E336" i="3"/>
  <c r="Y6" i="3"/>
  <c r="AR6" i="3"/>
  <c r="E466" i="3"/>
  <c r="E65" i="3"/>
  <c r="E51" i="3"/>
  <c r="E513" i="3"/>
  <c r="E198" i="3"/>
  <c r="E345" i="3"/>
  <c r="E281" i="3"/>
  <c r="E133" i="3"/>
  <c r="E239" i="3"/>
  <c r="E87" i="3"/>
  <c r="E331" i="3"/>
  <c r="E40" i="3"/>
  <c r="E128" i="3"/>
  <c r="E29" i="3"/>
  <c r="E176" i="3"/>
  <c r="E150" i="3"/>
  <c r="E554" i="3"/>
  <c r="E491" i="3"/>
  <c r="E525" i="3"/>
  <c r="E319" i="3"/>
  <c r="K6" i="3"/>
  <c r="E489" i="3"/>
  <c r="E325" i="3"/>
  <c r="E286" i="3"/>
  <c r="E396" i="3"/>
  <c r="E183" i="3"/>
  <c r="E236" i="3"/>
  <c r="E546" i="3"/>
  <c r="E474" i="3"/>
  <c r="E15" i="3"/>
  <c r="E171" i="3"/>
  <c r="E251" i="3"/>
  <c r="E42" i="3"/>
  <c r="T6" i="3"/>
  <c r="E531" i="3"/>
  <c r="E122" i="3"/>
  <c r="E208" i="3"/>
  <c r="E344" i="3"/>
  <c r="E485" i="3"/>
  <c r="E335" i="3"/>
  <c r="E483" i="3"/>
  <c r="E366" i="3"/>
  <c r="E532" i="3"/>
  <c r="E167" i="3"/>
  <c r="E340" i="3"/>
  <c r="E350" i="3"/>
  <c r="E521" i="3"/>
  <c r="E496" i="3"/>
  <c r="E130" i="3"/>
  <c r="E352" i="3"/>
  <c r="E461" i="3"/>
  <c r="E138" i="3"/>
  <c r="E328" i="3"/>
  <c r="E155" i="3"/>
  <c r="E252" i="3"/>
  <c r="E346" i="3"/>
  <c r="E544" i="3"/>
  <c r="E541" i="3"/>
  <c r="E38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6" i="3" s="1"/>
  <c r="E103" i="3"/>
  <c r="E548" i="3"/>
  <c r="E200" i="3"/>
  <c r="Z6" i="3"/>
  <c r="E62" i="3"/>
  <c r="E454" i="3"/>
  <c r="E389" i="3"/>
  <c r="E520" i="3"/>
  <c r="E230" i="3"/>
  <c r="AK6" i="3"/>
  <c r="E143" i="3"/>
  <c r="D30" i="59"/>
  <c r="T30" i="59"/>
  <c r="E519" i="3"/>
  <c r="C22" i="59"/>
  <c r="D21" i="59"/>
  <c r="C8" i="59"/>
  <c r="D9" i="59"/>
  <c r="S16" i="1"/>
  <c r="H72" i="39"/>
  <c r="I70" i="39"/>
  <c r="E527" i="3"/>
  <c r="E486" i="3"/>
  <c r="E495" i="3"/>
  <c r="D42" i="59"/>
  <c r="T42" i="59"/>
  <c r="D50" i="59"/>
  <c r="T50" i="59"/>
  <c r="O28" i="46"/>
  <c r="M28" i="46"/>
  <c r="N28" i="46"/>
  <c r="G20" i="46" s="1"/>
  <c r="B40" i="1"/>
  <c r="F24" i="15" s="1"/>
  <c r="C24" i="15" s="1"/>
  <c r="F17" i="11"/>
  <c r="C17" i="11" s="1"/>
  <c r="C19" i="11" s="1"/>
  <c r="C20" i="11" s="1"/>
  <c r="C21" i="11" s="1"/>
  <c r="C22" i="11" s="1"/>
  <c r="C23" i="11" s="1"/>
  <c r="B2" i="11" s="1"/>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6"/>
  <c r="F7" i="34"/>
  <c r="J28" i="44"/>
  <c r="J26" i="44"/>
  <c r="J20" i="44"/>
  <c r="C34" i="44"/>
  <c r="C40" i="44"/>
  <c r="C52" i="15"/>
  <c r="C47" i="15" s="1"/>
  <c r="C10" i="15"/>
  <c r="C5" i="15" s="1"/>
  <c r="AE6" i="1"/>
  <c r="F46" i="44"/>
  <c r="L52" i="44"/>
  <c r="F41" i="15"/>
  <c r="F68" i="15" l="1"/>
  <c r="J31" i="44"/>
  <c r="Q67" i="44" s="1"/>
  <c r="J29" i="15"/>
  <c r="H65" i="40"/>
  <c r="G67" i="40"/>
  <c r="J24" i="15"/>
  <c r="J18" i="15"/>
  <c r="F21" i="43"/>
  <c r="C23" i="43" s="1"/>
  <c r="D21" i="43" s="1"/>
  <c r="J70" i="39"/>
  <c r="I72" i="39"/>
  <c r="D8" i="59"/>
  <c r="C7" i="59"/>
  <c r="D22" i="59"/>
  <c r="T22" i="59"/>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C20" i="46"/>
  <c r="E41" i="46"/>
  <c r="C41" i="46" s="1"/>
  <c r="F26" i="12"/>
  <c r="C27" i="12" s="1"/>
  <c r="D26" i="12" s="1"/>
  <c r="C32" i="12" s="1"/>
  <c r="D30" i="12" s="1"/>
  <c r="F26" i="44"/>
  <c r="C26" i="44" s="1"/>
  <c r="I19" i="6"/>
  <c r="M27" i="6"/>
  <c r="T13" i="1"/>
  <c r="T16" i="1" s="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Q49" i="44"/>
  <c r="Q55" i="44" s="1"/>
  <c r="Q58" i="44"/>
  <c r="C14" i="15"/>
  <c r="C16" i="44"/>
  <c r="I65" i="40" l="1"/>
  <c r="H67" i="40"/>
  <c r="C6" i="59"/>
  <c r="D7" i="59"/>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F44" i="9"/>
  <c r="K38" i="9"/>
  <c r="C14" i="66" s="1"/>
  <c r="B2" i="66" s="1"/>
  <c r="D26" i="6"/>
  <c r="R26" i="6" s="1"/>
  <c r="D11" i="6"/>
  <c r="H20" i="6"/>
  <c r="D9" i="6"/>
  <c r="D29" i="6"/>
  <c r="D15" i="6"/>
  <c r="E44" i="9"/>
  <c r="E46" i="9"/>
  <c r="K70" i="39"/>
  <c r="J72" i="39"/>
  <c r="P14" i="1"/>
  <c r="P16" i="1"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3" i="12"/>
  <c r="I67" i="40" l="1"/>
  <c r="J65" i="40"/>
  <c r="R25" i="6"/>
  <c r="L70" i="39"/>
  <c r="K72" i="39"/>
  <c r="D16" i="6"/>
  <c r="D27" i="6"/>
  <c r="R22" i="6"/>
  <c r="R21" i="6"/>
  <c r="T6" i="59"/>
  <c r="C5" i="59"/>
  <c r="D5" i="59" s="1"/>
  <c r="D6" i="59"/>
  <c r="M20" i="46" s="1"/>
  <c r="C19" i="46" s="1"/>
  <c r="D6" i="66"/>
  <c r="D7" i="66"/>
  <c r="D8" i="66"/>
  <c r="D30" i="6"/>
  <c r="R24" i="6"/>
  <c r="R20" i="6"/>
  <c r="A6" i="51"/>
  <c r="B7" i="63" s="1"/>
  <c r="A20" i="64"/>
  <c r="N5" i="54"/>
  <c r="B43" i="63" s="1"/>
  <c r="A6" i="64"/>
  <c r="A20" i="51"/>
  <c r="B15" i="63" s="1"/>
  <c r="C17" i="12"/>
  <c r="C14" i="12"/>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J67" i="40" l="1"/>
  <c r="K65" i="40"/>
  <c r="C18" i="12"/>
  <c r="C23" i="12" s="1"/>
  <c r="D31" i="6"/>
  <c r="C38" i="46"/>
  <c r="T15" i="46"/>
  <c r="V15" i="46" s="1"/>
  <c r="T13" i="46"/>
  <c r="V13" i="46" s="1"/>
  <c r="T9" i="46"/>
  <c r="V9" i="46" s="1"/>
  <c r="T12" i="46"/>
  <c r="V12" i="46" s="1"/>
  <c r="T10" i="46"/>
  <c r="V10" i="46" s="1"/>
  <c r="C39" i="46"/>
  <c r="T8" i="46"/>
  <c r="V8" i="46" s="1"/>
  <c r="T16" i="46"/>
  <c r="V16" i="46" s="1"/>
  <c r="C37" i="46"/>
  <c r="C34" i="46"/>
  <c r="C35" i="46"/>
  <c r="T11" i="46"/>
  <c r="V11" i="46" s="1"/>
  <c r="T14" i="46"/>
  <c r="V14" i="46" s="1"/>
  <c r="C33" i="46"/>
  <c r="C36" i="46"/>
  <c r="L72" i="39"/>
  <c r="M70" i="39"/>
  <c r="R27" i="6"/>
  <c r="R6" i="1"/>
  <c r="R16" i="1" s="1"/>
  <c r="C18" i="43"/>
  <c r="C19" i="43" s="1"/>
  <c r="C25" i="43" s="1"/>
  <c r="C24" i="43" s="1"/>
  <c r="C28" i="44"/>
  <c r="C31" i="44" s="1"/>
  <c r="C23" i="15"/>
  <c r="C29" i="15" s="1"/>
  <c r="C36" i="15" s="1"/>
  <c r="K48" i="35"/>
  <c r="L48" i="35" s="1"/>
  <c r="M48" i="35" s="1"/>
  <c r="N48" i="35" s="1"/>
  <c r="O48" i="35" s="1"/>
  <c r="J7" i="35"/>
  <c r="K52" i="37"/>
  <c r="K67" i="40" l="1"/>
  <c r="L65" i="40"/>
  <c r="M72" i="39"/>
  <c r="N70" i="39"/>
  <c r="N72" i="39" s="1"/>
  <c r="G36" i="46"/>
  <c r="I36" i="46" s="1"/>
  <c r="E36" i="46"/>
  <c r="G35" i="46"/>
  <c r="I35" i="46" s="1"/>
  <c r="E35" i="46"/>
  <c r="G37" i="46"/>
  <c r="I37" i="46" s="1"/>
  <c r="E37" i="46"/>
  <c r="I6" i="6"/>
  <c r="G3" i="46" s="1"/>
  <c r="I5" i="6"/>
  <c r="G33" i="46"/>
  <c r="I33" i="46" s="1"/>
  <c r="E33" i="46"/>
  <c r="E34" i="46"/>
  <c r="G34" i="46"/>
  <c r="I34" i="46" s="1"/>
  <c r="G39" i="46"/>
  <c r="I39" i="46" s="1"/>
  <c r="E39" i="46"/>
  <c r="E38" i="46"/>
  <c r="G38" i="46"/>
  <c r="I38" i="46"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M65" i="40" l="1"/>
  <c r="L67" i="40"/>
  <c r="H101" i="46"/>
  <c r="I101" i="46"/>
  <c r="AD11" i="46"/>
  <c r="AD13" i="46" s="1"/>
  <c r="J101" i="46"/>
  <c r="F22" i="46"/>
  <c r="E22" i="46"/>
  <c r="AA11" i="46"/>
  <c r="AA13" i="46" s="1"/>
  <c r="AB11" i="46"/>
  <c r="AB13" i="46" s="1"/>
  <c r="AC11" i="46"/>
  <c r="AC13" i="46" s="1"/>
  <c r="G101" i="46"/>
  <c r="L101" i="46"/>
  <c r="K101" i="46"/>
  <c r="AH11" i="46"/>
  <c r="AH13" i="46" s="1"/>
  <c r="AE11" i="46"/>
  <c r="AE13" i="46" s="1"/>
  <c r="G22" i="46"/>
  <c r="H22" i="46"/>
  <c r="D101" i="46"/>
  <c r="N101" i="46"/>
  <c r="C101" i="46"/>
  <c r="N104" i="45"/>
  <c r="Z7" i="46"/>
  <c r="Z11" i="46"/>
  <c r="Z13" i="46" s="1"/>
  <c r="AF11" i="46"/>
  <c r="AF13" i="46" s="1"/>
  <c r="M101" i="46"/>
  <c r="AJ11" i="46"/>
  <c r="AJ13" i="46" s="1"/>
  <c r="B113" i="46"/>
  <c r="E101" i="46"/>
  <c r="AG11" i="46"/>
  <c r="AG13" i="46" s="1"/>
  <c r="AI11" i="46"/>
  <c r="AI13" i="46" s="1"/>
  <c r="Y11" i="46"/>
  <c r="Y13" i="46" s="1"/>
  <c r="F101" i="46"/>
  <c r="F9" i="39"/>
  <c r="H9" i="39"/>
  <c r="J9" i="39"/>
  <c r="J22" i="15"/>
  <c r="J16" i="15" s="1"/>
  <c r="J25" i="15" s="1"/>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L51" i="15"/>
  <c r="N65" i="40" l="1"/>
  <c r="N67" i="40" s="1"/>
  <c r="M67" i="40"/>
  <c r="S9" i="39"/>
  <c r="AA9" i="39"/>
  <c r="R49" i="39" s="1"/>
  <c r="I116" i="46"/>
  <c r="J116" i="46" s="1"/>
  <c r="K116" i="46" s="1"/>
  <c r="L116" i="46" s="1"/>
  <c r="M116" i="46" s="1"/>
  <c r="D116" i="46"/>
  <c r="E116" i="46" s="1"/>
  <c r="F116" i="46" s="1"/>
  <c r="G116" i="46" s="1"/>
  <c r="H116" i="46" s="1"/>
  <c r="D115" i="46"/>
  <c r="E115" i="46" s="1"/>
  <c r="F115" i="46" s="1"/>
  <c r="G115" i="46" s="1"/>
  <c r="H115" i="46" s="1"/>
  <c r="B118" i="46"/>
  <c r="C118" i="46" s="1"/>
  <c r="B115" i="46"/>
  <c r="I117" i="46"/>
  <c r="J117" i="46" s="1"/>
  <c r="K117" i="46" s="1"/>
  <c r="L117" i="46" s="1"/>
  <c r="M117" i="46" s="1"/>
  <c r="B117" i="46"/>
  <c r="C117" i="46" s="1"/>
  <c r="I118" i="46"/>
  <c r="J118" i="46" s="1"/>
  <c r="K118" i="46" s="1"/>
  <c r="L118" i="46" s="1"/>
  <c r="M118" i="46" s="1"/>
  <c r="D117" i="46"/>
  <c r="E117" i="46" s="1"/>
  <c r="F117" i="46" s="1"/>
  <c r="G117" i="46" s="1"/>
  <c r="H117" i="46" s="1"/>
  <c r="G118" i="46"/>
  <c r="H118" i="46" s="1"/>
  <c r="I115" i="46"/>
  <c r="J115" i="46" s="1"/>
  <c r="K115" i="46" s="1"/>
  <c r="L115" i="46" s="1"/>
  <c r="M115" i="46" s="1"/>
  <c r="D118" i="46"/>
  <c r="E118" i="46" s="1"/>
  <c r="F118" i="46" s="1"/>
  <c r="B116" i="46"/>
  <c r="C116" i="46" s="1"/>
  <c r="M109" i="46"/>
  <c r="M102" i="46"/>
  <c r="M103" i="46"/>
  <c r="M107" i="46"/>
  <c r="M104" i="46"/>
  <c r="M105" i="46"/>
  <c r="M106" i="46"/>
  <c r="N104" i="46"/>
  <c r="N103" i="46"/>
  <c r="N102" i="46"/>
  <c r="N105" i="46"/>
  <c r="N109" i="46"/>
  <c r="N107" i="46"/>
  <c r="N106" i="46"/>
  <c r="K103" i="46"/>
  <c r="K105" i="46"/>
  <c r="K107" i="46"/>
  <c r="K102" i="46"/>
  <c r="K106" i="46"/>
  <c r="K109" i="46"/>
  <c r="K104" i="46"/>
  <c r="G106" i="46"/>
  <c r="G107" i="46"/>
  <c r="G105" i="46"/>
  <c r="G109" i="46"/>
  <c r="G104" i="46"/>
  <c r="G103" i="46"/>
  <c r="G102" i="46"/>
  <c r="D22" i="46"/>
  <c r="J106" i="46"/>
  <c r="J105" i="46"/>
  <c r="J107" i="46"/>
  <c r="J103" i="46"/>
  <c r="J104" i="46"/>
  <c r="J109" i="46"/>
  <c r="J102" i="46"/>
  <c r="I106" i="46"/>
  <c r="I105" i="46"/>
  <c r="I104" i="46"/>
  <c r="I102" i="46"/>
  <c r="I109" i="46"/>
  <c r="I103" i="46"/>
  <c r="I107" i="46"/>
  <c r="AC9" i="39"/>
  <c r="V49" i="39" s="1"/>
  <c r="I49" i="39" s="1"/>
  <c r="W9" i="39"/>
  <c r="U9" i="39"/>
  <c r="AB9" i="39"/>
  <c r="T49" i="39" s="1"/>
  <c r="G49" i="39" s="1"/>
  <c r="F106" i="46"/>
  <c r="F102" i="46"/>
  <c r="F107" i="46"/>
  <c r="F104" i="46"/>
  <c r="F109" i="46"/>
  <c r="F105" i="46"/>
  <c r="F103" i="46"/>
  <c r="E103" i="46"/>
  <c r="E104" i="46"/>
  <c r="E109" i="46"/>
  <c r="E106" i="46"/>
  <c r="E107" i="46"/>
  <c r="E102" i="46"/>
  <c r="E105" i="46"/>
  <c r="C109" i="46"/>
  <c r="C102" i="46"/>
  <c r="C104" i="46"/>
  <c r="C103" i="46"/>
  <c r="C107" i="46"/>
  <c r="C105" i="46"/>
  <c r="C106" i="46"/>
  <c r="D106" i="46"/>
  <c r="D103" i="46"/>
  <c r="D104" i="46"/>
  <c r="D109" i="46"/>
  <c r="D107" i="46"/>
  <c r="D105" i="46"/>
  <c r="D102" i="46"/>
  <c r="L106" i="46"/>
  <c r="L104" i="46"/>
  <c r="L102" i="46"/>
  <c r="L105" i="46"/>
  <c r="L107" i="46"/>
  <c r="L103" i="46"/>
  <c r="L109" i="46"/>
  <c r="C23" i="46" s="1"/>
  <c r="H103" i="46"/>
  <c r="H104" i="46"/>
  <c r="H109" i="46"/>
  <c r="H102" i="46"/>
  <c r="H105" i="46"/>
  <c r="H107" i="46"/>
  <c r="H106" i="46"/>
  <c r="C57" i="15"/>
  <c r="C66" i="15" s="1"/>
  <c r="C67" i="15" s="1"/>
  <c r="C70" i="15" s="1"/>
  <c r="J39" i="15"/>
  <c r="J40" i="15" s="1"/>
  <c r="Q70" i="15"/>
  <c r="Q69" i="15" s="1"/>
  <c r="L57" i="15"/>
  <c r="L60" i="15" s="1"/>
  <c r="Q58" i="15" s="1"/>
  <c r="Q68" i="15"/>
  <c r="Q71" i="44"/>
  <c r="Q70" i="44" s="1"/>
  <c r="C44" i="44"/>
  <c r="C45" i="44" s="1"/>
  <c r="C43" i="15"/>
  <c r="Q48" i="15"/>
  <c r="Q54" i="15" s="1"/>
  <c r="Q57" i="15"/>
  <c r="Q66" i="15"/>
  <c r="J42" i="15"/>
  <c r="J43" i="15" s="1"/>
  <c r="J18" i="44"/>
  <c r="J27" i="44" s="1"/>
  <c r="N52" i="37"/>
  <c r="O52" i="37" s="1"/>
  <c r="F7" i="37"/>
  <c r="R39" i="35"/>
  <c r="E38" i="35"/>
  <c r="G42" i="35"/>
  <c r="H42" i="35" s="1"/>
  <c r="G43" i="35"/>
  <c r="H43" i="35" s="1"/>
  <c r="J9" i="40" l="1"/>
  <c r="H9" i="40"/>
  <c r="F9" i="40"/>
  <c r="B2" i="44"/>
  <c r="B3" i="44" s="1"/>
  <c r="S6" i="46"/>
  <c r="T6" i="46" s="1"/>
  <c r="V6" i="46" s="1"/>
  <c r="S3" i="46"/>
  <c r="T3" i="46" s="1"/>
  <c r="V3" i="46" s="1"/>
  <c r="S7" i="46"/>
  <c r="T7" i="46" s="1"/>
  <c r="V7" i="46" s="1"/>
  <c r="S5" i="46"/>
  <c r="T5" i="46" s="1"/>
  <c r="V5" i="46" s="1"/>
  <c r="S2" i="46"/>
  <c r="T2" i="46" s="1"/>
  <c r="V2" i="46" s="1"/>
  <c r="S4" i="46"/>
  <c r="T4" i="46" s="1"/>
  <c r="V4" i="46" s="1"/>
  <c r="G53" i="39"/>
  <c r="H53" i="39" s="1"/>
  <c r="G54" i="39"/>
  <c r="H54" i="39" s="1"/>
  <c r="R50" i="39"/>
  <c r="E49" i="39"/>
  <c r="I54" i="39" s="1"/>
  <c r="J54" i="39" s="1"/>
  <c r="I53" i="39"/>
  <c r="J53" i="39" s="1"/>
  <c r="C115" i="46"/>
  <c r="D113" i="46" s="1"/>
  <c r="J22" i="46" s="1"/>
  <c r="C21" i="46" s="1"/>
  <c r="C29" i="46" s="1"/>
  <c r="C46" i="15"/>
  <c r="Q63" i="15"/>
  <c r="Q67" i="15"/>
  <c r="Q76" i="15" s="1"/>
  <c r="L46" i="15"/>
  <c r="B2" i="15" s="1"/>
  <c r="AA7" i="37"/>
  <c r="R42" i="37" s="1"/>
  <c r="S7" i="37"/>
  <c r="E43" i="35"/>
  <c r="F43" i="35" s="1"/>
  <c r="E42" i="35"/>
  <c r="F42" i="35" s="1"/>
  <c r="I43" i="35"/>
  <c r="J43" i="35" s="1"/>
  <c r="C39" i="35"/>
  <c r="B3" i="35" s="1"/>
  <c r="B2" i="35" s="1"/>
  <c r="C38" i="35"/>
  <c r="H7" i="37"/>
  <c r="J7" i="37"/>
  <c r="B3" i="15" l="1"/>
  <c r="C8" i="12" s="1"/>
  <c r="C10" i="12"/>
  <c r="U9" i="40"/>
  <c r="AB9" i="40"/>
  <c r="T44" i="40" s="1"/>
  <c r="G44" i="40" s="1"/>
  <c r="AA9" i="40"/>
  <c r="R44" i="40" s="1"/>
  <c r="S9" i="40"/>
  <c r="W9" i="40"/>
  <c r="AC9" i="40"/>
  <c r="V44" i="40" s="1"/>
  <c r="I44" i="40" s="1"/>
  <c r="I48" i="40" s="1"/>
  <c r="J48" i="40" s="1"/>
  <c r="B5" i="44"/>
  <c r="C6" i="12"/>
  <c r="C24" i="12" s="1"/>
  <c r="B4" i="44"/>
  <c r="E29" i="46"/>
  <c r="C30" i="46"/>
  <c r="E30" i="46" s="1"/>
  <c r="C27" i="46" s="1"/>
  <c r="E54" i="39"/>
  <c r="F54" i="39" s="1"/>
  <c r="E53" i="39"/>
  <c r="F53" i="39" s="1"/>
  <c r="C49" i="39"/>
  <c r="C50" i="39"/>
  <c r="W7" i="37"/>
  <c r="AC7" i="37"/>
  <c r="V42" i="37" s="1"/>
  <c r="I42" i="37" s="1"/>
  <c r="AB7" i="37"/>
  <c r="T42" i="37" s="1"/>
  <c r="G42" i="37" s="1"/>
  <c r="U7" i="37"/>
  <c r="E42" i="37"/>
  <c r="R43" i="37"/>
  <c r="F7" i="67"/>
  <c r="E44" i="40" l="1"/>
  <c r="R45" i="40"/>
  <c r="G48" i="40"/>
  <c r="H48" i="40" s="1"/>
  <c r="G49" i="40"/>
  <c r="H49" i="40" s="1"/>
  <c r="C29" i="12"/>
  <c r="C35" i="12"/>
  <c r="C33" i="12" s="1"/>
  <c r="C28" i="12"/>
  <c r="C26" i="12" s="1"/>
  <c r="E4" i="67"/>
  <c r="B62" i="39"/>
  <c r="F62" i="39" s="1"/>
  <c r="B64" i="39"/>
  <c r="F64" i="39" s="1"/>
  <c r="F68" i="39"/>
  <c r="B2" i="39" s="1"/>
  <c r="B66" i="39"/>
  <c r="F66" i="39" s="1"/>
  <c r="B58" i="39"/>
  <c r="F58" i="39" s="1"/>
  <c r="B61" i="39"/>
  <c r="F61" i="39" s="1"/>
  <c r="B59" i="39"/>
  <c r="F59" i="39" s="1"/>
  <c r="B67" i="39"/>
  <c r="F67" i="39" s="1"/>
  <c r="B65" i="39"/>
  <c r="F65" i="39" s="1"/>
  <c r="B60" i="39"/>
  <c r="F60" i="39" s="1"/>
  <c r="B63" i="39"/>
  <c r="F63" i="39" s="1"/>
  <c r="C26" i="46"/>
  <c r="C43" i="37"/>
  <c r="B3" i="37" s="1"/>
  <c r="B2" i="37" s="1"/>
  <c r="C42" i="37"/>
  <c r="I46" i="37"/>
  <c r="J46" i="37" s="1"/>
  <c r="I47" i="37"/>
  <c r="J47" i="37" s="1"/>
  <c r="E47" i="37"/>
  <c r="F47" i="37" s="1"/>
  <c r="E46" i="37"/>
  <c r="F46" i="37" s="1"/>
  <c r="G46" i="37"/>
  <c r="H46" i="37" s="1"/>
  <c r="G47" i="37"/>
  <c r="H47" i="37" s="1"/>
  <c r="E7" i="67"/>
  <c r="C31" i="12" l="1"/>
  <c r="C30" i="12" s="1"/>
  <c r="C45" i="40"/>
  <c r="C44" i="40"/>
  <c r="I49" i="40"/>
  <c r="J49" i="40" s="1"/>
  <c r="E48" i="40"/>
  <c r="F48" i="40" s="1"/>
  <c r="E49" i="40"/>
  <c r="F49" i="40" s="1"/>
  <c r="C36" i="12"/>
  <c r="B2" i="12" s="1"/>
  <c r="E3" i="67"/>
  <c r="B5" i="39"/>
  <c r="B3" i="39"/>
  <c r="B4" i="39"/>
  <c r="B2" i="46"/>
  <c r="B7" i="67"/>
  <c r="D19" i="9"/>
  <c r="C19" i="9"/>
  <c r="B4" i="12"/>
  <c r="B5" i="12"/>
  <c r="B58" i="40" l="1"/>
  <c r="F58" i="40" s="1"/>
  <c r="B55" i="40"/>
  <c r="F55" i="40" s="1"/>
  <c r="B53" i="40"/>
  <c r="F53" i="40" s="1"/>
  <c r="B57" i="40"/>
  <c r="F57" i="40" s="1"/>
  <c r="F63" i="40"/>
  <c r="B2" i="40" s="1"/>
  <c r="B56" i="40"/>
  <c r="F56" i="40" s="1"/>
  <c r="B60" i="40"/>
  <c r="F60" i="40" s="1"/>
  <c r="B61" i="40"/>
  <c r="F61" i="40" s="1"/>
  <c r="B59" i="40"/>
  <c r="F59" i="40" s="1"/>
  <c r="B54" i="40"/>
  <c r="F54" i="40" s="1"/>
  <c r="B62" i="40"/>
  <c r="F62" i="40" s="1"/>
  <c r="L43" i="9"/>
  <c r="B2" i="67"/>
  <c r="D22" i="9"/>
  <c r="L44" i="9"/>
  <c r="G19" i="9"/>
  <c r="B3" i="46"/>
  <c r="D4" i="46"/>
  <c r="B4" i="46"/>
  <c r="B3" i="12"/>
  <c r="D21" i="9"/>
  <c r="C20" i="9"/>
  <c r="C21" i="9"/>
  <c r="D20" i="9"/>
  <c r="B5" i="40" l="1"/>
  <c r="B3" i="40"/>
  <c r="B4" i="40"/>
  <c r="G20" i="9"/>
  <c r="G21" i="9"/>
  <c r="G22" i="9"/>
  <c r="N43" i="9"/>
  <c r="C32" i="9"/>
  <c r="B4" i="67"/>
  <c r="B3" i="67"/>
  <c r="C42" i="9" l="1"/>
  <c r="C34" i="9"/>
  <c r="C35" i="9"/>
  <c r="F42" i="9" s="1"/>
  <c r="C33" i="9"/>
  <c r="O38" i="9"/>
  <c r="O43" i="9"/>
  <c r="N38" i="9" l="1"/>
  <c r="K28" i="9" s="1"/>
  <c r="D42" i="9"/>
  <c r="Q5" i="54" s="1"/>
  <c r="B47" i="63" s="1"/>
  <c r="E42" i="9"/>
  <c r="P5" i="54" s="1"/>
  <c r="B46" i="63" s="1"/>
  <c r="M38" i="9"/>
  <c r="K27" i="9" s="1"/>
  <c r="K25" i="9"/>
  <c r="K26" i="9"/>
  <c r="D14" i="66"/>
  <c r="D63" i="9"/>
  <c r="N68" i="9"/>
  <c r="R5" i="54"/>
  <c r="B48" i="63" s="1"/>
  <c r="C111" i="9" l="1"/>
  <c r="C104" i="9" s="1"/>
  <c r="D71" i="9"/>
  <c r="D66" i="9" s="1"/>
  <c r="N72" i="9" s="1"/>
  <c r="C82" i="9"/>
  <c r="C81" i="9" s="1"/>
  <c r="C85" i="9" s="1"/>
  <c r="C86" i="9" s="1"/>
  <c r="D72" i="9" s="1"/>
  <c r="D70" i="9"/>
  <c r="D77" i="9"/>
  <c r="N75" i="9" s="1"/>
  <c r="C103" i="9"/>
  <c r="C96" i="9"/>
  <c r="C91" i="9" s="1"/>
  <c r="C90" i="9"/>
  <c r="B5" i="66"/>
  <c r="E14" i="66"/>
  <c r="F14" i="66"/>
  <c r="C113" i="9" l="1"/>
  <c r="C114" i="9" s="1"/>
  <c r="E114" i="9" s="1"/>
  <c r="E115" i="9" s="1"/>
  <c r="C5" i="66"/>
  <c r="D5" i="66"/>
  <c r="C97" i="9"/>
  <c r="C115" i="9" l="1"/>
  <c r="D76" i="9" s="1"/>
  <c r="D74" i="9" s="1"/>
  <c r="N74" i="9" s="1"/>
  <c r="O77" i="9" s="1"/>
  <c r="Q77" i="9" s="1"/>
  <c r="C98" i="9"/>
  <c r="E98" i="9" s="1"/>
  <c r="E99" i="9" s="1"/>
  <c r="O78" i="9" l="1"/>
  <c r="O79" i="9"/>
  <c r="C9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<sst xmlns="http://schemas.openxmlformats.org/spreadsheetml/2006/main" count="7266" uniqueCount="3249">
  <si>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</si>
  <si>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</si>
  <si>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</si>
  <si>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</si>
  <si>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</si>
  <si>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</si>
  <si>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</si>
  <si>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</si>
  <si>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</si>
  <si>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</si>
  <si>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</si>
  <si>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</si>
  <si>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</si>
  <si>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</si>
  <si>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</si>
  <si>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</si>
  <si>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</si>
  <si>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</si>
  <si>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</si>
  <si>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</si>
  <si>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</si>
  <si>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</si>
  <si>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</si>
  <si>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</si>
  <si>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</si>
  <si>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</si>
  <si>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</si>
  <si>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</si>
  <si>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</si>
  <si>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</si>
  <si>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</si>
  <si>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</si>
  <si>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</si>
  <si>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</si>
  <si>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</si>
  <si>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</si>
  <si>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</si>
  <si>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</si>
  <si>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</si>
  <si>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</si>
  <si>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</si>
  <si>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</si>
  <si>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</si>
  <si>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</si>
  <si>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</si>
  <si>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</si>
  <si>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</si>
  <si>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</si>
  <si>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</si>
  <si>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</si>
  <si>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</si>
  <si>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</si>
  <si>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</si>
  <si>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</si>
  <si>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</si>
  <si>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</si>
  <si>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</si>
  <si>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</si>
  <si>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</si>
  <si>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</si>
  <si>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</si>
  <si>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</si>
  <si>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</si>
  <si>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</si>
  <si>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</si>
  <si>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</si>
  <si>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</si>
  <si>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</si>
  <si>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</si>
  <si>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</si>
  <si>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</si>
  <si>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</si>
  <si>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</si>
  <si>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</si>
  <si>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</si>
  <si>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</si>
  <si>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</si>
  <si>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</si>
  <si>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</si>
  <si>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</si>
  <si>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</si>
  <si>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</si>
  <si>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</si>
  <si>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</si>
  <si>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</si>
  <si>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</si>
  <si>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</si>
  <si>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</si>
  <si>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</si>
  <si>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</si>
  <si>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</si>
  <si>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</si>
  <si>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</si>
  <si>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</si>
  <si>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</si>
  <si>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</si>
  <si>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</si>
  <si>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</si>
  <si>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</si>
  <si>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</si>
  <si>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</si>
  <si>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</si>
  <si>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</si>
  <si>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</si>
  <si>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</si>
  <si>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</si>
  <si>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</si>
  <si>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</si>
  <si>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</si>
  <si>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</si>
  <si>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</si>
  <si>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</si>
  <si>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</si>
  <si>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</si>
  <si>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</si>
  <si>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</si>
  <si>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</si>
  <si>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</si>
  <si>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</si>
  <si>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</si>
  <si>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</si>
  <si>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</si>
  <si>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</si>
  <si>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</si>
  <si>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</si>
  <si>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</si>
  <si>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</si>
  <si>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</si>
  <si>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</si>
  <si>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</si>
  <si>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</si>
  <si>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</si>
  <si>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</si>
  <si>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</si>
  <si>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</si>
  <si>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</si>
  <si>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</si>
  <si>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</si>
  <si>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</si>
  <si>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</si>
  <si>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</si>
  <si>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</si>
  <si>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</si>
  <si>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</si>
  <si>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</si>
  <si>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</si>
  <si>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</si>
  <si>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</si>
  <si>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</si>
  <si>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</si>
  <si>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</si>
  <si>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</si>
  <si>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</si>
  <si>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</si>
  <si>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</si>
  <si>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</si>
  <si>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</si>
  <si>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</si>
  <si>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</si>
  <si>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</si>
  <si>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</si>
  <si>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</si>
  <si>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</si>
  <si>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</si>
  <si>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</si>
  <si>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</si>
  <si>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</si>
  <si>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</si>
  <si>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</si>
  <si>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</si>
  <si>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</si>
  <si>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</si>
  <si>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</si>
  <si>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</si>
  <si>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</si>
  <si>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</si>
  <si>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</si>
  <si>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</si>
  <si>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</si>
  <si>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</si>
  <si>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</si>
  <si>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</si>
  <si>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</si>
  <si>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</si>
  <si>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</si>
  <si>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</si>
  <si>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</si>
  <si>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</si>
  <si>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</si>
  <si>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</si>
  <si>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</si>
  <si>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</si>
  <si>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</si>
  <si>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</si>
  <si>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</si>
  <si>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</si>
  <si>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</si>
  <si>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</si>
  <si>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</si>
  <si>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</si>
  <si>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</si>
  <si>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</si>
  <si>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</si>
  <si>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</si>
  <si>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</si>
  <si>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</si>
  <si>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</si>
  <si>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</si>
  <si>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</si>
  <si>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</si>
  <si>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</si>
  <si>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</si>
  <si>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</si>
  <si>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</si>
  <si>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</si>
  <si>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</si>
  <si>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</si>
  <si>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</si>
  <si>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</si>
  <si>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</si>
  <si>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</si>
  <si>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</si>
  <si>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</si>
  <si>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</si>
  <si>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</si>
  <si>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</si>
  <si>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</si>
  <si>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</si>
  <si>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</si>
  <si>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</si>
  <si>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</si>
  <si>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</si>
  <si>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</si>
  <si>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</si>
  <si>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</si>
  <si>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</si>
  <si>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</si>
  <si>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</si>
  <si>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</si>
  <si>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</si>
  <si>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</si>
  <si>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</si>
  <si>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</si>
  <si>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</si>
  <si>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</si>
  <si>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</si>
  <si>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</si>
  <si>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</si>
  <si>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</si>
  <si>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</si>
  <si>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</si>
  <si>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</si>
  <si>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</si>
  <si>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</si>
  <si>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</si>
  <si>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</si>
  <si>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</si>
  <si>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</si>
  <si>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</si>
  <si>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</si>
  <si>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</si>
  <si>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</si>
  <si>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</si>
  <si>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</si>
  <si>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</si>
  <si>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</si>
  <si>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</si>
  <si>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</si>
  <si>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</si>
  <si>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</si>
  <si>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</si>
  <si>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</si>
  <si>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</si>
  <si>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</si>
  <si>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</si>
  <si>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</si>
  <si>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</si>
  <si>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</si>
  <si>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</si>
  <si>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</si>
  <si>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</si>
  <si>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</si>
  <si>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</si>
  <si>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</si>
  <si>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</si>
  <si>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</si>
  <si>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</si>
  <si>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</si>
  <si>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</si>
  <si>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</si>
  <si>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</si>
  <si>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</si>
  <si>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</si>
  <si>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</si>
  <si>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</si>
  <si>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</si>
  <si>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</si>
  <si>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</si>
  <si>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</si>
  <si>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</si>
  <si>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</si>
  <si>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</si>
  <si>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</si>
  <si>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</si>
  <si>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</si>
  <si>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</si>
  <si>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</si>
  <si>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</si>
  <si>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</si>
  <si>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</si>
  <si>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</si>
  <si>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</si>
  <si>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</si>
  <si>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</si>
  <si>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</si>
  <si>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</si>
  <si>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</si>
  <si>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</si>
  <si>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</si>
  <si>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</si>
  <si>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</si>
  <si>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</si>
  <si>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</si>
  <si>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</si>
  <si>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</si>
  <si>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</si>
  <si>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</si>
  <si>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</si>
  <si>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</si>
  <si>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</si>
  <si>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</si>
  <si>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</si>
  <si>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</si>
  <si>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</si>
  <si>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</si>
  <si>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</si>
  <si>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</si>
  <si>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</si>
  <si>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</si>
  <si>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</si>
  <si>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</si>
  <si>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</si>
  <si>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</si>
  <si>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</si>
  <si>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</si>
  <si>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</si>
  <si>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</si>
  <si>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</si>
  <si>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</si>
  <si>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</si>
  <si>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</si>
  <si>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</si>
  <si>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</si>
  <si>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</si>
  <si>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</si>
  <si>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</si>
  <si>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</si>
  <si>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</si>
  <si>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</si>
  <si>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</si>
  <si>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</si>
  <si>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</si>
  <si>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</si>
  <si>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</si>
  <si>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</si>
  <si>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</si>
  <si>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</si>
  <si>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</si>
  <si>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</si>
  <si>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</si>
  <si>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</si>
  <si>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</si>
  <si>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</si>
  <si>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</si>
  <si>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</si>
  <si>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</si>
  <si>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</si>
  <si>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</si>
  <si>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</si>
  <si>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</si>
  <si>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</si>
  <si>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</si>
  <si>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</si>
  <si>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</si>
  <si>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</si>
  <si>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</si>
  <si>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</si>
  <si>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</si>
  <si>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</si>
  <si>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</si>
  <si>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</si>
  <si>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</si>
  <si>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</si>
  <si>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</si>
  <si>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</si>
  <si>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</si>
  <si>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</si>
  <si>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</si>
  <si>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</si>
  <si>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</si>
  <si>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</si>
  <si>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</si>
  <si>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</si>
  <si>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</si>
  <si>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</si>
  <si>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</si>
  <si>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</si>
  <si>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</si>
  <si>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</si>
  <si>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</si>
  <si>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</si>
  <si>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</si>
  <si>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</si>
  <si>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</si>
  <si>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</si>
  <si>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</si>
  <si>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</si>
  <si>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</si>
  <si>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</si>
  <si>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</si>
  <si>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</si>
  <si>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</si>
  <si>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</si>
  <si>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</si>
  <si>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</si>
  <si>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</si>
  <si>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</si>
  <si>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</si>
  <si>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</si>
  <si>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</si>
  <si>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</si>
  <si>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</si>
  <si>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</si>
  <si>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</si>
  <si>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</si>
  <si>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</si>
  <si>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</si>
  <si>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</si>
  <si>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</si>
  <si>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</si>
  <si>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</si>
  <si>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</si>
  <si>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</si>
  <si>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</si>
  <si>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</si>
  <si>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</si>
  <si>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</si>
  <si>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</si>
  <si>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</si>
  <si>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</si>
  <si>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</si>
  <si>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</si>
  <si>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</si>
  <si>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</si>
  <si>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</si>
  <si>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</si>
  <si>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</si>
  <si>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</si>
  <si>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</si>
  <si>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</si>
  <si>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</si>
  <si>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</si>
  <si>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</si>
  <si>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</si>
  <si>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</si>
  <si>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</si>
  <si>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</si>
  <si>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</si>
  <si>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</si>
  <si>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</si>
  <si>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</si>
  <si>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</si>
  <si>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</si>
  <si>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</si>
  <si>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</si>
  <si>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</si>
  <si>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</si>
  <si>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</si>
  <si>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</si>
  <si>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</si>
  <si>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</si>
  <si>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</si>
  <si>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</si>
  <si>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</si>
  <si>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</si>
  <si>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</si>
  <si>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</si>
  <si>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</si>
  <si>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</si>
  <si>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</si>
  <si>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</si>
  <si>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</si>
  <si>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</si>
  <si>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</si>
  <si>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</si>
  <si>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</si>
  <si>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</si>
  <si>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</si>
  <si>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</si>
  <si>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</si>
  <si>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</si>
  <si>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</si>
  <si>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</si>
  <si>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</si>
  <si>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</si>
  <si>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</si>
  <si>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</si>
  <si>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</si>
  <si>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</si>
  <si>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</si>
  <si>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</si>
  <si>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</si>
  <si>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</si>
  <si>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</si>
  <si>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</si>
  <si>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</si>
  <si>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</si>
  <si>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</si>
  <si>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</si>
  <si>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</si>
  <si>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</si>
  <si>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</si>
  <si>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</si>
  <si>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</si>
  <si>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</si>
  <si>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</si>
  <si>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</si>
  <si>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</si>
  <si>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</si>
  <si>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</si>
  <si>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</si>
  <si>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</si>
  <si>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</si>
  <si>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</si>
  <si>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</si>
  <si>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</si>
  <si>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</si>
  <si>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</si>
  <si>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</si>
  <si>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</si>
  <si>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</si>
  <si>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</si>
  <si>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</si>
  <si>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</si>
  <si>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</si>
  <si>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</si>
  <si>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</si>
  <si>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</si>
  <si>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</si>
  <si>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</si>
  <si>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</si>
  <si>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</si>
  <si>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</si>
  <si>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</si>
  <si>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</si>
  <si>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</si>
  <si>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</si>
  <si>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</si>
  <si>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</si>
  <si>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</si>
  <si>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</si>
  <si>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</si>
  <si>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</si>
  <si>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</si>
  <si>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</si>
  <si>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</si>
  <si>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</si>
  <si>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</si>
  <si>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</si>
  <si>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</si>
  <si>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</si>
  <si>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</si>
  <si>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</si>
  <si>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</si>
  <si>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</si>
  <si>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</si>
  <si>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</si>
  <si>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</si>
  <si>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</si>
  <si>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</si>
  <si>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</si>
  <si>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</si>
  <si>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</si>
  <si>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</si>
  <si>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</si>
  <si>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</si>
  <si>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</si>
  <si>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</si>
  <si>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</si>
  <si>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</si>
  <si>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</si>
  <si>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</si>
  <si>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</si>
  <si>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</si>
  <si>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</si>
  <si>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</si>
  <si>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</si>
  <si>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</si>
  <si>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</si>
  <si>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</si>
  <si>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</si>
  <si>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</si>
  <si>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</si>
  <si>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</si>
  <si>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</si>
  <si>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</si>
  <si>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</si>
  <si>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</si>
  <si>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</si>
  <si>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</si>
  <si>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</si>
  <si>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</si>
  <si>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</si>
  <si>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</si>
  <si>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</si>
  <si>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</si>
  <si>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</si>
  <si>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</si>
  <si>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</si>
  <si>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</si>
  <si>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</si>
  <si>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</si>
  <si>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</si>
  <si>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</si>
  <si>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</si>
  <si>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</si>
  <si>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</si>
  <si>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</si>
  <si>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</si>
  <si>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</si>
  <si>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</si>
  <si>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</si>
  <si>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</si>
  <si>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</si>
  <si>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</si>
  <si>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</si>
  <si>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</si>
  <si>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</si>
  <si>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</si>
  <si>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</si>
  <si>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</si>
  <si>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</si>
  <si>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</si>
  <si>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</si>
  <si>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</si>
  <si>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</si>
  <si>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</si>
  <si>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</si>
  <si>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</si>
  <si>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</si>
  <si>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</si>
  <si>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</si>
  <si>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</si>
  <si>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</si>
  <si>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</si>
  <si>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</si>
  <si>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</si>
  <si>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</si>
  <si>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</si>
  <si>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</si>
  <si>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</si>
  <si>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</si>
  <si>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</si>
  <si>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</si>
  <si>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</si>
  <si>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</si>
  <si>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</si>
  <si>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</si>
  <si>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</si>
  <si>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</si>
  <si>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</si>
  <si>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</si>
  <si>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</si>
  <si>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</si>
  <si>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</si>
  <si>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</si>
  <si>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</si>
  <si>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</si>
  <si>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</si>
  <si>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</si>
  <si>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</si>
  <si>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</si>
  <si>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</si>
  <si>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</si>
  <si>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</si>
  <si>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</si>
  <si>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</si>
  <si>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</si>
  <si>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</si>
  <si>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</si>
  <si>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</si>
  <si>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</si>
  <si>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</si>
  <si>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</si>
  <si>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</si>
  <si>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</si>
  <si>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</si>
  <si>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</si>
  <si>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</si>
  <si>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</si>
  <si>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</si>
  <si>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</si>
  <si>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</si>
  <si>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</si>
  <si>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</si>
  <si>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</si>
  <si>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</si>
  <si>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</si>
  <si>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</si>
  <si>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</si>
  <si>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</si>
  <si>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</si>
  <si>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</si>
  <si>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</si>
  <si>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</si>
  <si>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</si>
  <si>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</si>
  <si>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</si>
  <si>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</si>
  <si>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</si>
  <si>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</si>
  <si>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</si>
  <si>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</si>
  <si>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</si>
  <si>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</si>
  <si>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</si>
  <si>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</si>
  <si>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</si>
  <si>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</si>
  <si>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</si>
  <si>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</si>
  <si>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</si>
  <si>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</si>
  <si>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</si>
  <si>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</si>
  <si>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</si>
  <si>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</si>
  <si>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</si>
  <si>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</si>
  <si>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</si>
  <si>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</si>
  <si>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</si>
  <si>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</si>
  <si>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</si>
  <si>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</si>
  <si>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</si>
  <si>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</si>
  <si>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</si>
  <si>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</si>
  <si>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</si>
  <si>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</si>
  <si>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</si>
  <si>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</si>
  <si>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</si>
  <si>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</si>
  <si>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</si>
  <si>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</si>
  <si>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</si>
  <si>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</si>
  <si>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</si>
  <si>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</si>
  <si>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</si>
  <si>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</si>
  <si>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</si>
  <si>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</si>
  <si>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</si>
  <si>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</si>
  <si>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</si>
  <si>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</si>
  <si>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</si>
  <si>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</si>
  <si>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</si>
  <si>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</si>
  <si>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</si>
  <si>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</si>
  <si>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</si>
  <si>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</si>
  <si>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</si>
  <si>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</si>
  <si>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</si>
  <si>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</si>
  <si>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</si>
  <si>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</si>
  <si>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</si>
  <si>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</si>
  <si>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</si>
  <si>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</si>
  <si>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</si>
  <si>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</si>
  <si>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</si>
  <si>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</si>
  <si>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</si>
  <si>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</si>
  <si>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</si>
  <si>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</si>
  <si>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</si>
  <si>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</si>
  <si>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</si>
  <si>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</si>
  <si>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</si>
  <si>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</si>
  <si>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</si>
  <si>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</si>
  <si>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</si>
  <si>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</si>
  <si>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</si>
  <si>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</si>
  <si>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</si>
  <si>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</si>
  <si>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</si>
  <si>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</si>
  <si>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</si>
  <si>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</si>
  <si>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</si>
  <si>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</si>
  <si>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</si>
  <si>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</si>
  <si>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</si>
  <si>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</si>
  <si>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</si>
  <si>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</si>
  <si>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</si>
  <si>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</si>
  <si>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</si>
  <si>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</si>
  <si>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</si>
  <si>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</si>
  <si>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</si>
  <si>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</si>
  <si>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</si>
  <si>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</si>
  <si>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</si>
  <si>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</si>
  <si>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</si>
  <si>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</si>
  <si>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</si>
  <si>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</si>
  <si>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</si>
  <si>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</si>
  <si>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</si>
  <si>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</si>
  <si>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</si>
  <si>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</si>
  <si>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</si>
  <si>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</si>
  <si>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</si>
  <si>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</si>
  <si>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</si>
  <si>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</si>
  <si>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</si>
  <si>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</si>
  <si>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</si>
  <si>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</si>
  <si>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</si>
  <si>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</si>
  <si>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</si>
  <si>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</si>
  <si>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</si>
  <si>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</si>
  <si>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</si>
  <si>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</si>
  <si>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</si>
  <si>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</si>
  <si>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</si>
  <si>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</si>
  <si>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</si>
  <si>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</si>
  <si>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</si>
  <si>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</si>
  <si>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</si>
  <si>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</si>
  <si>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</si>
  <si>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</si>
  <si>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</si>
  <si>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</si>
  <si>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</si>
  <si>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</si>
  <si>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</si>
  <si>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</si>
  <si>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</si>
  <si>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</si>
  <si>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</si>
  <si>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</si>
  <si>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</si>
  <si>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</si>
  <si>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</si>
  <si>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</si>
  <si>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</si>
  <si>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</si>
  <si>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</si>
  <si>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</si>
  <si>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</si>
  <si>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</si>
  <si>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</si>
  <si>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</si>
  <si>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</si>
  <si>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</si>
  <si>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</si>
  <si>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</si>
  <si>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</si>
  <si>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</si>
  <si>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</si>
  <si>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</si>
  <si>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</si>
  <si>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</si>
  <si>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</si>
  <si>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</si>
  <si>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</si>
  <si>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</si>
  <si>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</si>
  <si>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</si>
  <si>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</si>
  <si>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</si>
  <si>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</si>
  <si>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</si>
  <si>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</si>
  <si>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</si>
  <si>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</si>
  <si>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</si>
  <si>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</si>
  <si>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</si>
  <si>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</si>
  <si>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</si>
  <si>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</si>
  <si>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</si>
  <si>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</si>
  <si>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</si>
  <si>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</si>
  <si>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</si>
  <si>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</si>
  <si>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</si>
  <si>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</si>
  <si>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</si>
  <si>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</si>
  <si>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</si>
  <si>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</si>
  <si>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</si>
  <si>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</si>
  <si>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</si>
  <si>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</si>
  <si>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</si>
  <si>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</si>
  <si>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</si>
  <si>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</si>
  <si>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</si>
  <si>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</si>
  <si>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</si>
  <si>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</si>
  <si>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</si>
  <si>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</si>
  <si>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</si>
  <si>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</si>
  <si>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</si>
  <si>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</si>
  <si>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</si>
  <si>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</si>
  <si>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</si>
  <si>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</si>
  <si>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</si>
  <si>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</si>
  <si>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</si>
  <si>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</si>
  <si>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</si>
  <si>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</si>
  <si>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</si>
  <si>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</si>
  <si>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</si>
  <si>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</si>
  <si>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</si>
  <si>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</si>
  <si>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</si>
  <si>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</si>
  <si>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</si>
  <si>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</si>
  <si>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</si>
  <si>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</si>
  <si>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</si>
  <si>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</si>
  <si>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</si>
  <si>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</si>
  <si>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</si>
  <si>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</si>
  <si>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</si>
  <si>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</si>
  <si>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</si>
  <si>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</si>
  <si>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</si>
  <si>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</si>
  <si>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</si>
  <si>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</si>
  <si>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</si>
  <si>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</si>
  <si>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</si>
  <si>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</si>
  <si>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</si>
  <si>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</si>
  <si>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</si>
  <si>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</si>
  <si>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</si>
  <si>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</si>
  <si>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</si>
  <si>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</si>
  <si>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</si>
  <si>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</si>
  <si>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</si>
  <si>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</si>
  <si>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</si>
  <si>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</si>
  <si>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</si>
  <si>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</si>
  <si>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</si>
  <si>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</si>
  <si>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</si>
  <si>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</si>
  <si>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</si>
  <si>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</si>
  <si>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</si>
  <si>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</si>
  <si>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</si>
  <si>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</si>
  <si>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</si>
  <si>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</si>
  <si>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</si>
  <si>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</si>
  <si>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</si>
  <si>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</si>
  <si>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</si>
  <si>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</si>
  <si>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</si>
  <si>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</si>
  <si>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</si>
  <si>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</si>
  <si>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</si>
  <si>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</si>
  <si>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</si>
  <si>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</si>
  <si>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</si>
  <si>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</si>
  <si>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</si>
  <si>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</si>
  <si>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</si>
  <si>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</si>
  <si>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</si>
  <si>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</si>
  <si>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</si>
  <si>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</si>
  <si>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</si>
  <si>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</si>
  <si>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</si>
  <si>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</si>
  <si>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</si>
  <si>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</si>
  <si>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</si>
  <si>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</si>
  <si>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</si>
  <si>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</si>
  <si>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</si>
  <si>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</si>
  <si>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</si>
  <si>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</si>
  <si>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</si>
  <si>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</si>
  <si>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</si>
  <si>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</si>
  <si>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</si>
  <si>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</si>
  <si>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</si>
  <si>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</si>
  <si>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</si>
  <si>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</si>
  <si>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</si>
  <si>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</si>
  <si>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</si>
  <si>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</si>
  <si>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</si>
  <si>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</si>
  <si>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</si>
  <si>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</si>
  <si>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</si>
  <si>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</si>
  <si>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</si>
  <si>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</si>
  <si>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</si>
  <si>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</si>
  <si>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</si>
  <si>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</si>
  <si>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</si>
  <si>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</si>
  <si>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</si>
  <si>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</si>
  <si>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</si>
  <si>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</si>
  <si>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</si>
  <si>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</si>
  <si>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</si>
  <si>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</si>
  <si>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</si>
  <si>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</si>
  <si>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</si>
  <si>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</si>
  <si>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</si>
  <si>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</si>
  <si>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</si>
  <si>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</si>
  <si>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</si>
  <si>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</si>
  <si>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</si>
  <si>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</si>
  <si>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</si>
  <si>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</si>
  <si>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</si>
  <si>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</si>
  <si>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</si>
  <si>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</si>
  <si>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</si>
  <si>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</si>
  <si>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</si>
  <si>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</si>
  <si>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</si>
  <si>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</si>
  <si>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</si>
  <si>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</si>
  <si>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</si>
  <si>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</si>
  <si>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</si>
  <si>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</si>
  <si>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</si>
  <si>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</si>
  <si>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</si>
  <si>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</si>
  <si>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</si>
  <si>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</si>
  <si>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</si>
  <si>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</si>
  <si>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</si>
  <si>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</si>
  <si>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</si>
  <si>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</si>
  <si>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</si>
  <si>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</si>
  <si>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</si>
  <si>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</si>
  <si>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</si>
  <si>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</si>
  <si>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</si>
  <si>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</si>
  <si>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</si>
  <si>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</si>
  <si>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</si>
  <si>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</si>
  <si>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</si>
  <si>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</si>
  <si>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</si>
  <si>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</si>
  <si>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</si>
  <si>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</si>
  <si>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</si>
  <si>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</si>
  <si>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</si>
  <si>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</si>
  <si>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</si>
  <si>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</si>
  <si>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</si>
  <si>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</si>
  <si>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</si>
  <si>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</si>
  <si>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</si>
  <si>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</si>
  <si>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</si>
  <si>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</si>
  <si>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</si>
  <si>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</si>
  <si>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</si>
  <si>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</si>
  <si>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</si>
  <si>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</si>
  <si>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</si>
  <si>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</si>
  <si>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</si>
  <si>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</si>
  <si>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</si>
  <si>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</si>
  <si>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</si>
  <si>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</si>
  <si>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</si>
  <si>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</si>
  <si>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</si>
  <si>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</si>
  <si>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</si>
  <si>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</si>
  <si>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</si>
  <si>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</si>
  <si>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</si>
  <si>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</si>
  <si>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</si>
  <si>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</si>
  <si>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</si>
  <si>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</si>
  <si>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</si>
  <si>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</si>
  <si>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</si>
  <si>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</si>
  <si>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</si>
  <si>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</si>
  <si>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</si>
  <si>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</si>
  <si>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</si>
  <si>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</si>
  <si>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</si>
  <si>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</si>
  <si>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</si>
  <si>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</si>
  <si>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</si>
  <si>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</si>
  <si>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</si>
  <si>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</si>
  <si>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</si>
  <si>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</si>
  <si>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</si>
  <si>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</si>
  <si>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</si>
  <si>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</si>
  <si>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</si>
  <si>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</si>
  <si>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</si>
  <si>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</si>
  <si>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</si>
  <si>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</si>
  <si>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</si>
  <si>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</si>
  <si>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</si>
  <si>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</si>
  <si>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</si>
  <si>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</si>
  <si>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</si>
  <si>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</si>
  <si>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</si>
  <si>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</si>
  <si>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</si>
  <si>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</si>
  <si>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</si>
  <si>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</si>
  <si>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</si>
  <si>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</si>
  <si>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</si>
  <si>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</si>
  <si>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</si>
  <si>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</si>
  <si>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</si>
  <si>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</si>
  <si>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</si>
  <si>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</si>
  <si>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</si>
  <si>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</si>
  <si>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</si>
  <si>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</si>
  <si>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</si>
  <si>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</si>
  <si>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</si>
  <si>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</si>
  <si>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</si>
  <si>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</si>
  <si>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</si>
  <si>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</si>
  <si>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</si>
  <si>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</si>
  <si>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</si>
  <si>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</si>
  <si>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</si>
  <si>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</si>
  <si>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</si>
  <si>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</si>
  <si>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</si>
  <si>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</si>
  <si>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</si>
  <si>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</si>
  <si>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</si>
  <si>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</si>
  <si>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</si>
  <si>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</si>
  <si>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</si>
  <si>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</si>
  <si>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</si>
  <si>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</si>
  <si>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</si>
  <si>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</si>
  <si>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</si>
  <si>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</si>
  <si>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</si>
  <si>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</si>
  <si>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</si>
  <si>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</si>
  <si>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</si>
  <si>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</si>
  <si>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</si>
  <si>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</si>
  <si>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</si>
  <si>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</si>
  <si>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</si>
  <si>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</si>
  <si>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</si>
  <si>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</si>
  <si>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</si>
  <si>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</si>
  <si>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</si>
  <si>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</si>
  <si>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</si>
  <si>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</si>
  <si>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</si>
  <si>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</si>
  <si>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</si>
  <si>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</si>
  <si>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</si>
  <si>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</si>
  <si>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</si>
  <si>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</si>
  <si>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</si>
  <si>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</si>
  <si>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</si>
  <si>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</si>
  <si>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</si>
  <si>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</si>
  <si>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</si>
  <si>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</si>
  <si>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</si>
  <si>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</si>
  <si>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</si>
  <si>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</si>
  <si>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</si>
  <si>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</si>
  <si>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</si>
  <si>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</si>
  <si>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</si>
  <si>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</si>
  <si>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</si>
  <si>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</si>
  <si>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</si>
  <si>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</si>
  <si>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</si>
  <si>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</si>
  <si>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</si>
  <si>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</si>
  <si>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</si>
  <si>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</si>
  <si>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</si>
  <si>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</si>
  <si>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</si>
  <si>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</si>
  <si>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</si>
  <si>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</si>
  <si>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</si>
  <si>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</si>
  <si>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</si>
  <si>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</si>
  <si>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</si>
  <si>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</si>
  <si>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</si>
  <si>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</si>
  <si>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</si>
  <si>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</si>
  <si>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</si>
  <si>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</si>
  <si>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</si>
  <si>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</si>
  <si>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</si>
  <si>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</si>
  <si>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</si>
  <si>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</si>
  <si>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</si>
  <si>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</si>
  <si>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</si>
  <si>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</si>
  <si>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</si>
  <si>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</si>
  <si>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</si>
  <si>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</si>
  <si>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</si>
  <si>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</si>
  <si>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</si>
  <si>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</si>
  <si>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</si>
  <si>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</si>
  <si>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</si>
  <si>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</si>
  <si>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</si>
  <si>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</si>
  <si>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</si>
  <si>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</si>
  <si>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</si>
  <si>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</si>
  <si>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</si>
  <si>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</si>
  <si>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</si>
  <si>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</si>
  <si>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</si>
  <si>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</si>
  <si>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</si>
  <si>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</si>
  <si>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</si>
  <si>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</si>
  <si>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</si>
  <si>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</si>
  <si>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</si>
  <si>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</si>
  <si>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</si>
  <si>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</si>
  <si>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</si>
  <si>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</si>
  <si>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</si>
  <si>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</si>
  <si>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</si>
  <si>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</si>
  <si>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</si>
  <si>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</si>
  <si>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</si>
  <si>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</si>
  <si>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</si>
  <si>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</si>
  <si>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</si>
  <si>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</si>
  <si>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</si>
  <si>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</si>
  <si>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</si>
  <si>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</si>
  <si>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</si>
  <si>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</si>
  <si>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</si>
  <si>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</si>
  <si>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</si>
  <si>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</si>
  <si>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</si>
  <si>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</si>
  <si>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</si>
  <si>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</si>
  <si>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</si>
  <si>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</si>
  <si>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</si>
  <si>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</si>
  <si>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</si>
  <si>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</si>
  <si>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</si>
  <si>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</si>
  <si>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</si>
  <si>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</si>
  <si>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</si>
  <si>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</si>
  <si>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</si>
  <si>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</si>
  <si>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</si>
  <si>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</si>
  <si>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</si>
  <si>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</si>
  <si>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</si>
  <si>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</si>
  <si>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</si>
  <si>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</si>
  <si>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</si>
  <si>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</si>
  <si>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</si>
  <si>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</si>
  <si>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</si>
  <si>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</si>
  <si>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</si>
  <si>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</si>
  <si>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</si>
  <si>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</si>
  <si>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</si>
  <si>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</si>
  <si>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</si>
  <si>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</si>
  <si>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</si>
  <si>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</si>
  <si>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</si>
  <si>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</si>
  <si>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</si>
  <si>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</si>
  <si>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</si>
  <si>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</si>
  <si>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</si>
  <si>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</si>
  <si>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</si>
  <si>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</si>
  <si>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</si>
  <si>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</si>
  <si>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</si>
  <si>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</si>
  <si>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</si>
  <si>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</si>
  <si>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</si>
  <si>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</si>
  <si>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</si>
  <si>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</si>
  <si>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</si>
  <si>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</si>
  <si>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</si>
  <si>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</si>
  <si>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</si>
  <si>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</si>
  <si>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</si>
  <si>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</si>
  <si>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</si>
  <si>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</si>
  <si>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</si>
  <si>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</si>
  <si>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</si>
  <si>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</si>
  <si>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</si>
  <si>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</si>
  <si>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</si>
  <si>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</si>
  <si>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</si>
  <si>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</si>
  <si>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</si>
  <si>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</si>
  <si>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</si>
  <si>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</si>
  <si>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</si>
  <si>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</si>
  <si>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</si>
  <si>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</si>
  <si>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</si>
  <si>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</si>
  <si>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</si>
  <si>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</si>
  <si>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</si>
  <si>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</si>
  <si>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</si>
  <si>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</si>
  <si>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</si>
  <si>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</si>
  <si>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</si>
  <si>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</si>
  <si>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</si>
  <si>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</si>
  <si>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</si>
  <si>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</si>
  <si>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</si>
  <si>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</si>
  <si>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</si>
  <si>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</si>
  <si>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</si>
  <si>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</si>
  <si>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</si>
  <si>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</si>
  <si>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</si>
  <si>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</si>
  <si>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</si>
  <si>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</si>
  <si>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</si>
  <si>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</si>
  <si>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</si>
  <si>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</si>
  <si>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</si>
  <si>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</si>
  <si>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</si>
  <si>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</si>
  <si>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</si>
  <si>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</si>
  <si>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</si>
  <si>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</si>
  <si>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</si>
  <si>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</si>
  <si>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</si>
  <si>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</si>
  <si>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</si>
  <si>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</si>
  <si>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</si>
  <si>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</si>
  <si>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</si>
  <si>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</si>
  <si>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</si>
  <si>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</si>
  <si>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</si>
  <si>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</si>
  <si>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</si>
  <si>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</si>
  <si>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</si>
  <si>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</si>
  <si>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</si>
  <si>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</si>
  <si>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</si>
  <si>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</si>
  <si>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</si>
  <si>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</si>
  <si>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</si>
  <si>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</si>
  <si>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</si>
  <si>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</si>
  <si>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</si>
  <si>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</si>
  <si>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</si>
  <si>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</si>
  <si>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</si>
  <si>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</si>
  <si>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</si>
  <si>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</si>
  <si>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</si>
  <si>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</si>
  <si>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</si>
  <si>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</si>
  <si>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</si>
  <si>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</si>
  <si>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</si>
  <si>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</si>
  <si>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</si>
  <si>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</si>
  <si>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</si>
  <si>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</si>
  <si>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</si>
  <si>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</si>
  <si>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</si>
  <si>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</si>
  <si>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</si>
  <si>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</si>
  <si>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</si>
  <si>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</si>
  <si>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</si>
  <si>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</si>
  <si>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</si>
  <si>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</si>
  <si>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</si>
  <si>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</si>
  <si>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</si>
  <si>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</si>
  <si>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</si>
  <si>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</si>
  <si>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</si>
  <si>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</si>
  <si>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</si>
  <si>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</si>
  <si>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</si>
  <si>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</si>
  <si>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</si>
  <si>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</si>
  <si>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</si>
  <si>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</si>
  <si>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</si>
  <si>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</si>
  <si>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</si>
  <si>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</si>
  <si>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</si>
  <si>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</si>
  <si>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</si>
  <si>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</si>
  <si>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</si>
  <si>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</si>
  <si>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</si>
  <si>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</si>
  <si>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</si>
  <si>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</si>
  <si>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</si>
  <si>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</si>
  <si>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</si>
  <si>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</si>
  <si>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</si>
  <si>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</si>
  <si>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</si>
  <si>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</si>
  <si>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</si>
  <si>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</si>
  <si>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</si>
  <si>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</si>
  <si>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</si>
  <si>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</si>
  <si>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</si>
  <si>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</si>
  <si>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</si>
  <si>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</si>
  <si>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</si>
  <si>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</si>
  <si>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</si>
  <si>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</si>
  <si>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</si>
  <si>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</si>
  <si>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</si>
  <si>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</si>
  <si>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</si>
  <si>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</si>
  <si>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</si>
  <si>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</si>
  <si>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</si>
  <si>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</si>
  <si>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</si>
  <si>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</si>
  <si>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</si>
  <si>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</si>
  <si>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</si>
  <si>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</si>
  <si>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</si>
  <si>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</si>
  <si>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</si>
  <si>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</si>
  <si>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</si>
  <si>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</si>
  <si>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</si>
  <si>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</si>
  <si>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</si>
  <si>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</si>
  <si>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</si>
  <si>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</si>
  <si>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</si>
  <si>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</si>
  <si>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</si>
  <si>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</si>
  <si>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</si>
  <si>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</si>
  <si>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</si>
  <si>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</si>
  <si>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</si>
  <si>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</si>
  <si>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</si>
  <si>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</si>
  <si>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</si>
  <si>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</si>
  <si>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</si>
  <si>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</si>
  <si>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</si>
  <si>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</si>
  <si>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</si>
  <si>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</si>
  <si>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</si>
  <si>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</si>
  <si>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</si>
  <si>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</si>
  <si>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</si>
  <si>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</si>
  <si>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</si>
  <si>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</si>
  <si>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</si>
  <si>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</si>
  <si>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</si>
  <si>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</si>
  <si>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</si>
  <si>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</si>
  <si>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</si>
  <si>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</si>
  <si>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</si>
  <si>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</si>
  <si>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</si>
  <si>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</si>
  <si>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</si>
  <si>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</si>
  <si>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</si>
  <si>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</si>
  <si>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</si>
  <si>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</si>
  <si>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</si>
  <si>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</si>
  <si>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</si>
  <si>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</si>
  <si>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</si>
  <si>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</si>
  <si>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</si>
  <si>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</si>
  <si>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</si>
  <si>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</si>
  <si>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</si>
  <si>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</si>
  <si>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</si>
  <si>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</si>
  <si>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</si>
  <si>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</si>
  <si>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</si>
  <si>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</si>
  <si>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</si>
  <si>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</si>
  <si>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</si>
  <si>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</si>
  <si>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</si>
  <si>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</si>
  <si>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</si>
  <si>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</si>
  <si>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</si>
  <si>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</si>
  <si>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</si>
  <si>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</si>
  <si>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</si>
  <si>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</si>
  <si>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</si>
  <si>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</si>
  <si>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</si>
  <si>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</si>
  <si>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</si>
  <si>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</si>
  <si>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</si>
  <si>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</si>
  <si>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</si>
  <si>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</si>
  <si>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</si>
  <si>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</si>
  <si>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</si>
  <si>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</si>
  <si>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</si>
  <si>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</si>
  <si>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</si>
  <si>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</si>
  <si>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</si>
  <si>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</si>
  <si>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</si>
  <si>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</si>
  <si>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</si>
  <si>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</si>
  <si>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</si>
  <si>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</si>
  <si>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</si>
  <si>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</si>
  <si>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</si>
  <si>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</si>
  <si>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</si>
  <si>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</si>
  <si>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</si>
  <si>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</si>
  <si>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</si>
  <si>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</si>
  <si>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</si>
  <si>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</si>
  <si>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</si>
  <si>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</si>
  <si>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</si>
  <si>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</si>
  <si>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</si>
  <si>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</si>
  <si>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</si>
  <si>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</si>
  <si>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</si>
  <si>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</si>
  <si>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</si>
  <si>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</si>
  <si>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</si>
  <si>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</si>
  <si>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</si>
  <si>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</si>
  <si>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</si>
  <si>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</si>
  <si>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</si>
  <si>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</si>
  <si>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</si>
  <si>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</si>
  <si>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</si>
  <si>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</si>
  <si>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</si>
  <si>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</si>
  <si>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</si>
  <si>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</si>
  <si>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</si>
  <si>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</si>
  <si>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</si>
  <si>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</si>
  <si>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</si>
  <si>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</si>
  <si>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</si>
  <si>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</si>
  <si>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</si>
  <si>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</si>
  <si>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</si>
  <si>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</si>
  <si>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</si>
  <si>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</si>
  <si>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</si>
  <si>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</si>
  <si>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</si>
  <si>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</si>
  <si>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</si>
  <si>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</si>
  <si>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</si>
  <si>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</si>
  <si>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</si>
  <si>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</si>
  <si>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</si>
  <si>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</si>
  <si>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</si>
  <si>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</si>
  <si>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</si>
  <si>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</si>
  <si>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</si>
  <si>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</si>
  <si>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</si>
  <si>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</si>
  <si>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</si>
  <si>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</si>
  <si>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</si>
  <si>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</si>
  <si>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</si>
  <si>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</si>
  <si>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</si>
  <si>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</si>
  <si>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</si>
  <si>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</si>
  <si>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</si>
  <si>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</si>
  <si>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</si>
  <si>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</si>
  <si>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</si>
  <si>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</si>
  <si>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</si>
  <si>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</si>
  <si>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</si>
  <si>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</si>
  <si>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</si>
  <si>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</si>
  <si>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</si>
  <si>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</si>
  <si>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</si>
  <si>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</si>
  <si>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</si>
  <si>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</si>
  <si>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</si>
  <si>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</si>
  <si>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</si>
  <si>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</si>
  <si>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</si>
  <si>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</si>
  <si>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</si>
  <si>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</si>
  <si>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</si>
  <si>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</si>
  <si>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</si>
  <si>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</si>
  <si>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</si>
  <si>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</si>
  <si>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</si>
  <si>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</si>
  <si>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</si>
  <si>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</si>
  <si>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</si>
  <si>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</si>
  <si>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</si>
  <si>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</si>
  <si>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</si>
  <si>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</si>
  <si>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</si>
  <si>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</si>
  <si>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</si>
  <si>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</si>
  <si>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</si>
  <si>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</si>
  <si>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</si>
  <si>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</si>
  <si>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</si>
  <si>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</si>
  <si>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</si>
  <si>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</si>
  <si>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</si>
  <si>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</si>
  <si>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</si>
  <si>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</si>
  <si>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</si>
  <si>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</si>
  <si>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</si>
  <si>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</si>
  <si>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</si>
  <si>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</si>
  <si>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</si>
  <si>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</si>
  <si>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</si>
  <si>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</si>
  <si>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</si>
  <si>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</si>
  <si>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</si>
  <si>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</si>
  <si>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</si>
  <si>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</si>
  <si>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</si>
  <si>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</si>
  <si>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</si>
  <si>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</si>
  <si>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</si>
  <si>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</si>
  <si>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</si>
  <si>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</si>
  <si>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</si>
  <si>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</si>
  <si>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</si>
  <si>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</si>
  <si>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</si>
  <si>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</si>
  <si>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</si>
  <si>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</si>
  <si>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</si>
  <si>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</si>
  <si>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</si>
  <si>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</si>
  <si>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</si>
  <si>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</si>
  <si>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</si>
  <si>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</si>
  <si>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</si>
  <si>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</si>
  <si>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</si>
  <si>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</si>
  <si>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</si>
  <si>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</si>
  <si>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</si>
  <si>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</si>
  <si>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</si>
  <si>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</si>
  <si>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</si>
  <si>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</si>
  <si>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</si>
  <si>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</si>
  <si>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</si>
  <si>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</si>
  <si>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</si>
  <si>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</si>
  <si>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</si>
  <si>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</si>
  <si>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</si>
  <si>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</si>
  <si>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</si>
  <si>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</si>
  <si>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</si>
  <si>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</si>
  <si>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</si>
  <si>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</si>
  <si>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</si>
  <si>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</si>
  <si>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</si>
  <si>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</si>
  <si>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</si>
  <si>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</si>
  <si>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</si>
  <si>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</si>
  <si>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</si>
  <si>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</si>
  <si>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</si>
  <si>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</si>
  <si>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</si>
  <si>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</si>
  <si>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</si>
  <si>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</si>
  <si>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</si>
  <si>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</si>
  <si>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</si>
  <si>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</si>
  <si>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</si>
  <si>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</si>
  <si>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</si>
  <si>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</si>
  <si>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</si>
  <si>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</si>
  <si>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</si>
  <si>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</si>
  <si>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</si>
  <si>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</si>
  <si>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</si>
  <si>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</si>
  <si>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</si>
  <si>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</si>
  <si>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</si>
  <si>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</si>
  <si>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</si>
  <si>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</si>
  <si>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</si>
  <si>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</si>
  <si>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</si>
  <si>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</si>
  <si>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</si>
  <si>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</si>
  <si>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</si>
  <si>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</si>
  <si>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</si>
  <si>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</si>
  <si>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</si>
  <si>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</si>
  <si>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</si>
  <si>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</si>
  <si>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</si>
  <si>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</si>
  <si>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</si>
  <si>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</si>
  <si>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</si>
  <si>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</si>
  <si>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</si>
  <si>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</si>
  <si>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</si>
  <si>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</si>
  <si>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</si>
  <si>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</si>
  <si>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</si>
  <si>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</si>
  <si>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</si>
  <si>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</si>
  <si>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</si>
  <si>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</si>
  <si>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</si>
  <si>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</si>
  <si>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</si>
  <si>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</si>
  <si>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</si>
  <si>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</si>
  <si>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</si>
  <si>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</si>
  <si>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</si>
  <si>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</si>
  <si>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</si>
  <si>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</si>
  <si>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</si>
  <si>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</si>
  <si>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</si>
  <si>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</si>
  <si>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</si>
  <si>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</si>
  <si>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</si>
  <si>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</si>
  <si>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</si>
  <si>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</si>
  <si>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</si>
  <si>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</si>
  <si>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</si>
  <si>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</si>
  <si>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</si>
  <si>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</si>
  <si>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</si>
  <si>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</si>
  <si>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</si>
  <si>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</si>
  <si>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</si>
  <si>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</si>
  <si>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</si>
  <si>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</si>
  <si>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</si>
  <si>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</si>
  <si>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</si>
  <si>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</si>
  <si>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</si>
  <si>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</si>
  <si>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</si>
  <si>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</si>
  <si>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</si>
  <si>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</si>
  <si>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</si>
  <si>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</si>
  <si>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</si>
  <si>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</si>
  <si>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</si>
  <si>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</si>
  <si>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</si>
  <si>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</si>
  <si>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</si>
  <si>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</si>
  <si>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</si>
  <si>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</si>
  <si>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</si>
  <si>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</si>
  <si>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</si>
  <si>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</si>
  <si>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</si>
  <si>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</si>
  <si>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</si>
  <si>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</si>
  <si>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</si>
  <si>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</si>
  <si>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</si>
  <si>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</si>
  <si>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</si>
  <si>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</si>
  <si>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</si>
  <si>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</si>
  <si>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</si>
  <si>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</si>
  <si>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</si>
  <si>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</si>
  <si>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</si>
  <si>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</si>
  <si>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</si>
  <si>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</si>
  <si>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</si>
  <si>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</si>
  <si>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</si>
  <si>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</si>
  <si>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</si>
  <si>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</si>
  <si>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</si>
  <si>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</si>
  <si>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</si>
  <si>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</si>
  <si>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</si>
  <si>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</si>
  <si>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</si>
  <si>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</si>
  <si>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</si>
  <si>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</si>
  <si>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</si>
  <si>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</si>
  <si>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</si>
  <si>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</si>
  <si>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</si>
  <si>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</si>
  <si>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</si>
  <si>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</si>
  <si>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</si>
  <si>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</si>
  <si>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</si>
  <si>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</si>
  <si>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</si>
  <si>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</si>
  <si>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</si>
  <si>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</si>
  <si>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</si>
  <si>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</si>
  <si>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</si>
  <si>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</si>
  <si>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</si>
  <si>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</si>
  <si>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</si>
  <si>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</si>
  <si>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</si>
  <si>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</si>
  <si>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</si>
  <si>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</si>
  <si>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</si>
  <si>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</si>
  <si>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</si>
  <si>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</si>
  <si>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</si>
  <si>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</si>
  <si>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</si>
  <si>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</si>
  <si>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</si>
  <si>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</si>
  <si>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</si>
  <si>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</si>
  <si>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</si>
  <si>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</si>
  <si>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</si>
  <si>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</si>
  <si>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</si>
  <si>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</si>
  <si>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</si>
  <si>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</si>
  <si>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</si>
  <si>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</si>
  <si>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</si>
  <si>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</si>
  <si>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</si>
  <si>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</si>
  <si>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</si>
  <si>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</si>
  <si>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</si>
  <si>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</si>
  <si>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</si>
  <si>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</si>
  <si>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</si>
  <si>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</si>
  <si>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</si>
  <si>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</si>
  <si>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</si>
  <si>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</si>
  <si>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</si>
  <si>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</si>
  <si>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</si>
  <si>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</si>
  <si>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</si>
  <si>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</si>
  <si>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</si>
  <si>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</si>
  <si>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</si>
  <si>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</si>
  <si>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</si>
  <si>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</si>
  <si>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</si>
  <si>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</si>
  <si>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</si>
  <si>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</si>
  <si>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</si>
  <si>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</si>
  <si>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</si>
  <si>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</si>
  <si>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</si>
  <si>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</si>
  <si>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</si>
  <si>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</si>
  <si>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</si>
  <si>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</si>
  <si>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</si>
  <si>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</si>
  <si>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</si>
  <si>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</si>
  <si>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</si>
  <si>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</si>
  <si>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</si>
  <si>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</si>
  <si>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</si>
  <si>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</si>
  <si>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</si>
  <si>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</si>
  <si>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</si>
  <si>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</si>
  <si>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</si>
  <si>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</si>
  <si>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</si>
  <si>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</si>
  <si>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</si>
  <si>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</si>
  <si>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</si>
  <si>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</si>
  <si>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</si>
  <si>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</si>
  <si>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</si>
  <si>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</si>
  <si>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</si>
  <si>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</si>
  <si>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</si>
  <si>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</si>
  <si>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</si>
  <si>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</si>
  <si>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</si>
  <si>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</si>
  <si>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</si>
  <si>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</si>
  <si>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</si>
  <si>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</si>
  <si>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</si>
  <si>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</si>
  <si>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</si>
  <si>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</si>
  <si>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</si>
  <si>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</si>
  <si>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</si>
  <si>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</si>
  <si>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</si>
  <si>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</si>
  <si>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</si>
  <si>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</si>
  <si>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</si>
  <si>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</si>
  <si>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</si>
  <si>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</si>
  <si>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</si>
  <si>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</si>
  <si>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</si>
  <si>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</si>
  <si>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</si>
  <si>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</si>
  <si>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</si>
  <si>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</si>
  <si>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</si>
  <si>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</si>
  <si>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</si>
  <si>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</si>
  <si>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</si>
  <si>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</si>
  <si>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</si>
  <si>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</si>
  <si>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</si>
  <si>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</si>
  <si>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</si>
  <si>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</si>
  <si>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</si>
  <si>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</si>
  <si>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</si>
  <si>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</si>
  <si>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</si>
  <si>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</si>
  <si>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</si>
  <si>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</si>
  <si>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</si>
  <si>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</si>
  <si>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</si>
  <si>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</si>
  <si>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</si>
  <si>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</si>
  <si>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</si>
  <si>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</si>
  <si>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</si>
  <si>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</si>
  <si>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</si>
  <si>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</si>
  <si>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</si>
  <si>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</si>
  <si>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</si>
  <si>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</si>
  <si>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</si>
  <si>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</si>
  <si>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</si>
  <si>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</si>
  <si>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</si>
  <si>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</si>
  <si>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</si>
  <si>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</si>
  <si>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</si>
  <si>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</si>
  <si>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</si>
  <si>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</si>
  <si>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</si>
  <si>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</si>
  <si>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</si>
  <si>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</si>
  <si>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</si>
  <si>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</si>
  <si>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</si>
  <si>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</si>
  <si>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</si>
  <si>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</si>
  <si>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</si>
  <si>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</si>
  <si>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</si>
  <si>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</si>
  <si>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</si>
  <si>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</si>
  <si>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</si>
  <si>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</si>
  <si>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</si>
  <si>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</si>
  <si>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</si>
  <si>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</si>
  <si>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</si>
  <si>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</si>
  <si>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</si>
  <si>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</si>
  <si>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</si>
  <si>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</si>
  <si>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</si>
  <si>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</si>
  <si>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</si>
  <si>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</si>
  <si>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</si>
  <si>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</si>
  <si>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</si>
  <si>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</si>
  <si>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</si>
  <si>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</si>
  <si>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</si>
  <si>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</si>
  <si>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</si>
  <si>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</si>
  <si>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</si>
  <si>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</si>
  <si>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</si>
  <si>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</si>
  <si>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</si>
  <si>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</si>
  <si>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</si>
  <si>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</si>
  <si>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</si>
  <si>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</si>
  <si>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</si>
  <si>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</si>
  <si>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</si>
  <si>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</si>
  <si>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</si>
  <si>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</si>
  <si>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</si>
  <si>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</si>
  <si>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</si>
  <si>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</si>
  <si>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</si>
  <si>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</si>
  <si>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</si>
  <si>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</si>
  <si>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</si>
  <si>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</si>
  <si>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</si>
  <si>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</si>
  <si>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</si>
  <si>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</si>
  <si>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</si>
  <si>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</si>
  <si>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</si>
  <si>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</si>
  <si>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</si>
  <si>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</si>
  <si>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</si>
  <si>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</si>
  <si>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</si>
  <si>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</si>
  <si>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</si>
  <si>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</si>
  <si>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</si>
  <si>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</si>
  <si>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</si>
  <si>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</si>
  <si>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</si>
  <si>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</si>
  <si>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</si>
  <si>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</si>
  <si>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</si>
  <si>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</si>
  <si>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</si>
  <si>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</si>
  <si>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</si>
  <si>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</si>
  <si>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</si>
  <si>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</si>
  <si>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</si>
  <si>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</si>
  <si>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</si>
  <si>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</si>
  <si>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</si>
  <si>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</si>
  <si>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</si>
  <si>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</si>
  <si>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</si>
  <si>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</si>
  <si>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</si>
  <si>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</si>
  <si>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</si>
  <si>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</si>
  <si>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</si>
  <si>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</si>
  <si>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</si>
  <si>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</si>
  <si>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</si>
  <si>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</si>
  <si>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</si>
  <si>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</si>
  <si>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</si>
  <si>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</si>
  <si>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</si>
  <si>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</si>
  <si>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</si>
  <si>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</si>
  <si>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</si>
  <si>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</si>
  <si>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</si>
  <si>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</si>
  <si>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</si>
  <si>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</si>
  <si>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</si>
  <si>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</si>
  <si>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</si>
  <si>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</si>
  <si>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</si>
  <si>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</si>
  <si>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</si>
  <si>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</si>
  <si>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</si>
  <si>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</si>
  <si>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</si>
  <si>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</si>
  <si>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</si>
  <si>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</si>
  <si>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</si>
  <si>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</si>
  <si>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</si>
  <si>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</si>
  <si>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</si>
  <si>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</si>
  <si>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</si>
  <si>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</si>
  <si>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</si>
  <si>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</si>
  <si>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</si>
  <si>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</si>
  <si>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</si>
  <si>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</si>
  <si>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</si>
  <si>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</si>
  <si>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</si>
  <si>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</si>
  <si>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</si>
  <si>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</si>
  <si>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</si>
  <si>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</si>
  <si>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</si>
  <si>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</si>
  <si>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</si>
  <si>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</si>
  <si>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</si>
  <si>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</si>
  <si>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</si>
  <si>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</si>
  <si>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</si>
  <si>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</si>
  <si>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</si>
  <si>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</si>
  <si>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</si>
  <si>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</si>
  <si>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</si>
  <si>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</si>
  <si>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</si>
  <si>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</si>
  <si>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</si>
  <si>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</si>
  <si>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</si>
  <si>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</si>
  <si>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</si>
  <si>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</si>
  <si>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</si>
  <si>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</si>
  <si>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</si>
  <si>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</si>
  <si>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</si>
  <si>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</si>
  <si>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</si>
  <si>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</si>
  <si>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</si>
  <si>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</si>
  <si>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</si>
  <si>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</si>
  <si>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</si>
  <si>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</si>
  <si>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</si>
  <si>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</si>
  <si>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</si>
  <si>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</si>
  <si>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</si>
  <si>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</si>
  <si>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</si>
  <si>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</si>
  <si>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</si>
  <si>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</si>
  <si>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</si>
  <si>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</si>
  <si>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</si>
  <si>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</si>
  <si>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</si>
  <si>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</si>
  <si>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</si>
  <si>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</si>
  <si>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</si>
  <si>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</si>
  <si>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</si>
  <si>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</si>
  <si>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</si>
  <si>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</si>
  <si>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</si>
  <si>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</si>
  <si>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</si>
  <si>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</si>
  <si>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</si>
  <si>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</si>
  <si>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</si>
  <si>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</si>
  <si>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</si>
  <si>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</si>
  <si>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</si>
  <si>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</si>
  <si>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</si>
  <si>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</si>
  <si>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</si>
  <si>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</si>
  <si>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</si>
  <si>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</si>
  <si>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</si>
  <si>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</si>
  <si>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</si>
  <si>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</si>
  <si>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</si>
  <si>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</si>
  <si>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</si>
  <si>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</si>
  <si>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</si>
  <si>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</si>
  <si>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</si>
  <si>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</si>
  <si>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</si>
  <si>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</si>
  <si>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</si>
  <si>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</si>
  <si>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</si>
  <si>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</si>
  <si>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</si>
  <si>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</si>
  <si>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</si>
  <si>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</si>
  <si>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</si>
  <si>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</si>
  <si>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</si>
  <si>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</si>
  <si>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</si>
  <si>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</si>
  <si>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</si>
  <si>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</si>
  <si>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</si>
  <si>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</si>
  <si>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</si>
  <si>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</si>
  <si>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</si>
  <si>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</si>
  <si>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</si>
  <si>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</si>
  <si>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</si>
  <si>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</si>
  <si>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</si>
  <si>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</si>
  <si>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</si>
  <si>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</si>
  <si>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</si>
  <si>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</si>
  <si>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</si>
  <si>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</si>
  <si>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</si>
  <si>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</si>
  <si>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</si>
  <si>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</si>
  <si>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</si>
  <si>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</si>
  <si>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</si>
  <si>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</si>
  <si>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</si>
  <si>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</si>
  <si>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</si>
  <si>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</si>
  <si>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</si>
  <si>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</si>
  <si>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</si>
  <si>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</si>
  <si>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</si>
  <si>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</si>
  <si>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</si>
  <si>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</si>
  <si>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</si>
  <si>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</si>
  <si>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</si>
  <si>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</si>
  <si>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</si>
  <si>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</si>
  <si>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</si>
  <si>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</si>
  <si>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</si>
  <si>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</si>
  <si>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</si>
  <si>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</si>
  <si>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</si>
  <si>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</si>
  <si>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</si>
  <si>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</si>
  <si>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</si>
  <si>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</si>
  <si>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</si>
  <si>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</si>
  <si>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</si>
  <si>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</si>
  <si>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</si>
  <si>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</si>
  <si>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</si>
  <si>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</si>
  <si>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</si>
  <si>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</si>
  <si>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</si>
  <si>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</si>
  <si>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</si>
  <si>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</si>
  <si>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</si>
  <si>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</si>
  <si>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</si>
  <si>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</si>
  <si>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</si>
  <si>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</si>
  <si>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</si>
  <si>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</si>
  <si>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</si>
  <si>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</si>
  <si>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</si>
  <si>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</si>
  <si>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</si>
  <si>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</si>
  <si>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</si>
  <si>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</si>
  <si>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</si>
  <si>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</si>
  <si>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</si>
  <si>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</si>
  <si>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</si>
  <si>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</si>
  <si>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</si>
  <si>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</si>
  <si>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</si>
  <si>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</si>
  <si>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</si>
  <si>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</si>
  <si>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</si>
  <si>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</si>
  <si>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</si>
  <si>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</si>
  <si>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</si>
  <si>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</si>
  <si>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</si>
  <si>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</si>
  <si>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</si>
  <si>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</si>
  <si>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</si>
  <si>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</si>
  <si>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</si>
  <si>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</si>
  <si>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</si>
  <si>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</si>
  <si>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</si>
  <si>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</si>
  <si>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</si>
  <si>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</si>
  <si>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</si>
  <si>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</si>
  <si>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</si>
  <si>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</si>
  <si>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</si>
  <si>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</si>
  <si>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</si>
  <si>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</si>
  <si>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</si>
  <si>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</si>
  <si>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</si>
  <si>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</si>
  <si>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</si>
  <si>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</si>
  <si>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</si>
  <si>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</si>
  <si>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</si>
  <si>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</si>
  <si>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</si>
  <si>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</si>
  <si>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</si>
  <si>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</si>
  <si>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</si>
  <si>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</si>
  <si>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</si>
  <si>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</si>
  <si>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</si>
  <si>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</si>
  <si>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</si>
  <si>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</si>
  <si>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</si>
  <si>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</si>
  <si>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</si>
  <si>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</si>
  <si>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</si>
  <si>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</si>
  <si>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</si>
  <si>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</si>
  <si>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</si>
  <si>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</si>
  <si>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</si>
  <si>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</si>
  <si>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</si>
  <si>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</si>
  <si>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</si>
  <si>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</si>
  <si>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</si>
  <si>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</si>
  <si>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</si>
  <si>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</si>
  <si>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</si>
  <si>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</si>
  <si>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</si>
  <si>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</si>
  <si>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</si>
  <si>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</si>
  <si>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</si>
  <si>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</si>
  <si>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</si>
  <si>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</si>
  <si>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</si>
  <si>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</si>
  <si>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</si>
  <si>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</si>
  <si>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</si>
  <si>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</si>
  <si>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</si>
  <si>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</si>
  <si>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</si>
  <si>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</si>
  <si>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</si>
  <si>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</si>
  <si>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</si>
  <si>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</si>
  <si>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</si>
  <si>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</si>
  <si>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</si>
  <si>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</si>
  <si>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</si>
  <si>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</si>
  <si>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</si>
  <si>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</si>
  <si>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</si>
  <si>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</si>
  <si>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</si>
  <si>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</si>
  <si>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</si>
  <si>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</si>
  <si>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</si>
  <si>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</si>
  <si>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</si>
  <si>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</si>
  <si>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</si>
  <si>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</si>
  <si>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</si>
  <si>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</si>
  <si>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</si>
  <si>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</si>
  <si>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</si>
  <si>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</si>
  <si>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</si>
  <si>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</si>
  <si>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</si>
  <si>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</si>
  <si>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</si>
  <si>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</si>
  <si>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</si>
  <si>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</si>
  <si>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</si>
  <si>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</si>
  <si>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</si>
  <si>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</si>
  <si>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</si>
  <si>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</si>
  <si>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</si>
  <si>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</si>
  <si>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</si>
  <si>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</si>
  <si>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</si>
  <si>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</si>
  <si>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</si>
  <si>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</si>
  <si>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</si>
  <si>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</si>
  <si>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</si>
  <si>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</si>
  <si>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</si>
  <si>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</si>
  <si>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</si>
  <si>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</si>
  <si>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</si>
  <si>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</si>
  <si>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</si>
  <si>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</si>
  <si>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</si>
  <si>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</si>
  <si>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</si>
  <si>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</si>
  <si>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</si>
  <si>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</si>
  <si>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</si>
  <si>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</si>
  <si>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</si>
  <si>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</si>
  <si>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</si>
  <si>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</si>
  <si>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</si>
  <si>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</si>
  <si>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</si>
  <si>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</si>
  <si>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</si>
  <si>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</si>
  <si>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</si>
  <si>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</si>
  <si>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</si>
  <si>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</si>
  <si>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</si>
  <si>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</si>
  <si>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</si>
  <si>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</si>
  <si>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</si>
  <si>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</si>
  <si>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</si>
  <si>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</si>
  <si>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</si>
  <si>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</si>
  <si>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</si>
  <si>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</si>
  <si>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</si>
  <si>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</si>
  <si>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</si>
  <si>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</si>
  <si>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</si>
  <si>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</si>
  <si>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</si>
  <si>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</si>
  <si>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</si>
  <si>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</si>
  <si>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</si>
  <si>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</si>
  <si>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</si>
  <si>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</si>
  <si>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</si>
  <si>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</si>
  <si>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</si>
  <si>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</si>
  <si>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</si>
  <si>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</si>
  <si>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</si>
  <si>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</si>
  <si>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</si>
  <si>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</si>
  <si>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</si>
  <si>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</si>
  <si>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</si>
  <si>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</si>
  <si>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</si>
  <si>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</si>
  <si>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</si>
  <si>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</si>
  <si>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</si>
  <si>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</si>
  <si>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</si>
  <si>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</si>
  <si>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</si>
  <si>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</si>
  <si>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</si>
  <si>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</si>
  <si>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</si>
  <si>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</si>
  <si>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</si>
  <si>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</si>
  <si>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</si>
  <si>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市场价格</t>
  </si>
  <si>
    <t>企业</t>
  </si>
  <si>
    <t>与级别开发程度一致</t>
  </si>
  <si>
    <t>容积率修正</t>
  </si>
  <si>
    <t>地上</t>
  </si>
  <si>
    <t>F3</t>
  </si>
  <si>
    <t>按公示增长率计算</t>
  </si>
  <si>
    <t>已全部缴纳</t>
  </si>
  <si>
    <t>项目全部</t>
  </si>
  <si>
    <t>估价对象容积率</t>
  </si>
  <si>
    <t>十二级</t>
  </si>
  <si>
    <t>Ⅻ-怀1</t>
  </si>
  <si>
    <t>M3</t>
  </si>
  <si>
    <t>M3</t>
    <phoneticPr fontId="8" type="noConversion"/>
  </si>
  <si>
    <t>砖混</t>
    <phoneticPr fontId="4" type="noConversion"/>
  </si>
  <si>
    <t>生产用地</t>
    <phoneticPr fontId="4" type="noConversion"/>
  </si>
  <si>
    <t>估价对象</t>
  </si>
  <si>
    <t>项目</t>
    <phoneticPr fontId="276" type="noConversion"/>
  </si>
  <si>
    <r>
      <rPr>
        <sz val="10"/>
        <rFont val="仿宋_GB2312"/>
        <family val="3"/>
        <charset val="134"/>
      </rPr>
      <t>估价对象</t>
    </r>
  </si>
  <si>
    <r>
      <rPr>
        <sz val="10"/>
        <rFont val="仿宋_GB2312"/>
        <family val="3"/>
        <charset val="134"/>
      </rPr>
      <t>可比案例</t>
    </r>
    <r>
      <rPr>
        <sz val="10"/>
        <rFont val="Arial"/>
        <family val="2"/>
      </rPr>
      <t>1</t>
    </r>
    <phoneticPr fontId="276" type="noConversion"/>
  </si>
  <si>
    <r>
      <rPr>
        <sz val="10"/>
        <rFont val="仿宋_GB2312"/>
        <family val="3"/>
        <charset val="134"/>
      </rPr>
      <t>可比案例</t>
    </r>
    <r>
      <rPr>
        <sz val="10"/>
        <rFont val="Arial"/>
        <family val="2"/>
      </rPr>
      <t>2</t>
    </r>
    <phoneticPr fontId="276" type="noConversion"/>
  </si>
  <si>
    <r>
      <rPr>
        <sz val="10"/>
        <rFont val="仿宋_GB2312"/>
        <family val="3"/>
        <charset val="134"/>
      </rPr>
      <t>可比案例</t>
    </r>
    <r>
      <rPr>
        <sz val="10"/>
        <rFont val="Arial"/>
        <family val="2"/>
      </rPr>
      <t>3</t>
    </r>
    <phoneticPr fontId="276" type="noConversion"/>
  </si>
  <si>
    <r>
      <rPr>
        <sz val="10"/>
        <rFont val="仿宋_GB2312"/>
        <family val="3"/>
        <charset val="134"/>
      </rPr>
      <t>可比案例</t>
    </r>
    <r>
      <rPr>
        <sz val="10"/>
        <rFont val="Arial"/>
        <family val="2"/>
      </rPr>
      <t>4</t>
    </r>
    <phoneticPr fontId="276" type="noConversion"/>
  </si>
  <si>
    <r>
      <rPr>
        <sz val="10"/>
        <rFont val="仿宋_GB2312"/>
        <family val="3"/>
        <charset val="134"/>
      </rPr>
      <t>可比案例</t>
    </r>
    <r>
      <rPr>
        <sz val="10"/>
        <rFont val="Arial"/>
        <family val="2"/>
      </rPr>
      <t>5</t>
    </r>
    <phoneticPr fontId="276" type="noConversion"/>
  </si>
  <si>
    <t>项目名称</t>
    <phoneticPr fontId="276" type="noConversion"/>
  </si>
  <si>
    <t>审定时间季度</t>
    <phoneticPr fontId="4" type="noConversion"/>
  </si>
  <si>
    <t>期日修正系数</t>
    <phoneticPr fontId="4" type="noConversion"/>
  </si>
  <si>
    <t>平均租金（元/平方米·月）</t>
    <phoneticPr fontId="276" type="noConversion"/>
  </si>
  <si>
    <r>
      <rPr>
        <sz val="10"/>
        <rFont val="仿宋_GB2312"/>
        <family val="3"/>
        <charset val="134"/>
      </rPr>
      <t>待估</t>
    </r>
    <phoneticPr fontId="276" type="noConversion"/>
  </si>
  <si>
    <t>交易时间</t>
  </si>
  <si>
    <t>2017.6</t>
    <phoneticPr fontId="229" type="noConversion"/>
  </si>
  <si>
    <t>2017.9</t>
    <phoneticPr fontId="229" type="noConversion"/>
  </si>
  <si>
    <t>2018.12</t>
    <phoneticPr fontId="229" type="noConversion"/>
  </si>
  <si>
    <t>2017.1</t>
    <phoneticPr fontId="229" type="noConversion"/>
  </si>
  <si>
    <t>17.1</t>
    <phoneticPr fontId="229" type="noConversion"/>
  </si>
  <si>
    <t>交易情况</t>
    <phoneticPr fontId="229" type="noConversion"/>
  </si>
  <si>
    <r>
      <rPr>
        <sz val="10"/>
        <rFont val="仿宋_GB2312"/>
        <family val="3"/>
        <charset val="134"/>
      </rPr>
      <t>正常</t>
    </r>
  </si>
  <si>
    <t>2017.2</t>
    <phoneticPr fontId="229" type="noConversion"/>
  </si>
  <si>
    <t>17.2</t>
    <phoneticPr fontId="229" type="noConversion"/>
  </si>
  <si>
    <t>区域状况</t>
    <phoneticPr fontId="276" type="noConversion"/>
  </si>
  <si>
    <t>一般</t>
    <phoneticPr fontId="276" type="noConversion"/>
  </si>
  <si>
    <t>较好</t>
    <phoneticPr fontId="276" type="noConversion"/>
  </si>
  <si>
    <t>2017.3</t>
    <phoneticPr fontId="229" type="noConversion"/>
  </si>
  <si>
    <t>17.3</t>
    <phoneticPr fontId="229" type="noConversion"/>
  </si>
  <si>
    <t>产聚集度</t>
    <phoneticPr fontId="276" type="noConversion"/>
  </si>
  <si>
    <t>2018.4</t>
    <phoneticPr fontId="229" type="noConversion"/>
  </si>
  <si>
    <t>18.4</t>
    <phoneticPr fontId="229" type="noConversion"/>
  </si>
  <si>
    <t>区域位置</t>
    <phoneticPr fontId="276" type="noConversion"/>
  </si>
  <si>
    <t>六环外，距市区较远</t>
  </si>
  <si>
    <t>六环内</t>
  </si>
  <si>
    <t>六环外，距市区较近</t>
  </si>
  <si>
    <t>区域配套设施</t>
    <phoneticPr fontId="276" type="noConversion"/>
  </si>
  <si>
    <t>公用服务设施完善度一般，基本能满足需要</t>
    <phoneticPr fontId="276" type="noConversion"/>
  </si>
  <si>
    <t>公用服务设施较好，较能满足需要</t>
    <phoneticPr fontId="276" type="noConversion"/>
  </si>
  <si>
    <t>18.1</t>
    <phoneticPr fontId="229" type="noConversion"/>
  </si>
  <si>
    <t>六环外，距市区较远</t>
    <phoneticPr fontId="276" type="noConversion"/>
  </si>
  <si>
    <t>六环内</t>
    <phoneticPr fontId="276" type="noConversion"/>
  </si>
  <si>
    <t>六环外，距市区较近</t>
    <phoneticPr fontId="276" type="noConversion"/>
  </si>
  <si>
    <t>自然环境与景观</t>
    <phoneticPr fontId="276" type="noConversion"/>
  </si>
  <si>
    <t>实物状况</t>
    <phoneticPr fontId="229" type="noConversion"/>
  </si>
  <si>
    <t>临路状况</t>
    <phoneticPr fontId="276" type="noConversion"/>
  </si>
  <si>
    <t>城市主干道</t>
    <phoneticPr fontId="276" type="noConversion"/>
  </si>
  <si>
    <t>宗地内开发程度</t>
    <phoneticPr fontId="276" type="noConversion"/>
  </si>
  <si>
    <t>五通</t>
    <phoneticPr fontId="276" type="noConversion"/>
  </si>
  <si>
    <t>三通一平</t>
    <phoneticPr fontId="276" type="noConversion"/>
  </si>
  <si>
    <t>六通一平</t>
    <phoneticPr fontId="276" type="noConversion"/>
  </si>
  <si>
    <t>宗地形状</t>
    <phoneticPr fontId="276" type="noConversion"/>
  </si>
  <si>
    <t>不规则</t>
    <phoneticPr fontId="276" type="noConversion"/>
  </si>
  <si>
    <t>规则</t>
    <phoneticPr fontId="276" type="noConversion"/>
  </si>
  <si>
    <t>宗地面积（公顷）</t>
    <phoneticPr fontId="276" type="noConversion"/>
  </si>
  <si>
    <t>宜居状况</t>
    <phoneticPr fontId="276" type="noConversion"/>
  </si>
  <si>
    <t>物业服务保障</t>
    <phoneticPr fontId="276" type="noConversion"/>
  </si>
  <si>
    <t>有专业物业公司，物业服务保障好</t>
    <phoneticPr fontId="276" type="noConversion"/>
  </si>
  <si>
    <t>管员人员配置</t>
    <phoneticPr fontId="276" type="noConversion"/>
  </si>
  <si>
    <r>
      <rPr>
        <sz val="10"/>
        <rFont val="仿宋_GB2312"/>
        <family val="3"/>
        <charset val="134"/>
      </rPr>
      <t>配备管理人员</t>
    </r>
    <phoneticPr fontId="276" type="noConversion"/>
  </si>
  <si>
    <t>出租稳定性</t>
    <phoneticPr fontId="276" type="noConversion"/>
  </si>
  <si>
    <t>出租稳定性好</t>
    <phoneticPr fontId="276" type="noConversion"/>
  </si>
  <si>
    <t>住户的构成</t>
    <phoneticPr fontId="276" type="noConversion"/>
  </si>
  <si>
    <t>出租房屋住户均有备案，居住安全性好</t>
    <phoneticPr fontId="276" type="noConversion"/>
  </si>
  <si>
    <t>出租房屋住户备案较少，居住安全性一般</t>
    <phoneticPr fontId="276" type="noConversion"/>
  </si>
  <si>
    <t>安全监控系统</t>
    <phoneticPr fontId="276" type="noConversion"/>
  </si>
  <si>
    <t>设有小区监控，门禁及呼叫系统</t>
    <phoneticPr fontId="276" type="noConversion"/>
  </si>
  <si>
    <t>设有小区监控，门禁及呼叫系统</t>
  </si>
  <si>
    <t>绿化环境</t>
    <phoneticPr fontId="276" type="noConversion"/>
  </si>
  <si>
    <t>绿化率约为30%，好</t>
    <phoneticPr fontId="276" type="noConversion"/>
  </si>
  <si>
    <t>配套设施</t>
    <phoneticPr fontId="276" type="noConversion"/>
  </si>
  <si>
    <t>配备活动站、医疗站</t>
    <phoneticPr fontId="276" type="noConversion"/>
  </si>
  <si>
    <t>配备活动站，无医疗站</t>
    <phoneticPr fontId="276" type="noConversion"/>
  </si>
  <si>
    <t>成交单价（元/平米）</t>
  </si>
  <si>
    <t>_____</t>
  </si>
  <si>
    <t>比较价值（元/平米）</t>
  </si>
  <si>
    <t>昌平、大兴、房山、顺义、怀柔近三年土地一级开发项目</t>
    <phoneticPr fontId="4" type="noConversion"/>
  </si>
  <si>
    <t>年度</t>
    <phoneticPr fontId="4" type="noConversion"/>
  </si>
  <si>
    <t>会期</t>
    <phoneticPr fontId="276"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</si>
  <si>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</si>
  <si>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</si>
  <si>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</si>
  <si>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</si>
  <si>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</si>
  <si>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</si>
  <si>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</si>
  <si>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</si>
  <si>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</si>
  <si>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</si>
  <si>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</si>
  <si>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</si>
  <si>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</si>
  <si>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</si>
  <si>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</si>
  <si>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</si>
  <si>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</si>
  <si>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</si>
  <si>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</si>
  <si>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</si>
  <si>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</si>
  <si>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第五期</t>
    <phoneticPr fontId="4" type="noConversion"/>
  </si>
  <si>
    <t>8月</t>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</si>
  <si>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</si>
  <si>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</si>
  <si>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</si>
  <si>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</si>
  <si>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</si>
  <si>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</si>
  <si>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</si>
  <si>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</si>
  <si>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</si>
  <si>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</si>
  <si>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</si>
  <si>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</si>
  <si>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</si>
  <si>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</si>
  <si>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</si>
  <si>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</si>
  <si>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</si>
  <si>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</si>
  <si>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</si>
  <si>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</si>
  <si>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</si>
  <si>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</si>
  <si>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</si>
  <si>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</si>
  <si>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</si>
  <si>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</si>
  <si>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</si>
  <si>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</si>
  <si>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</si>
  <si>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</si>
  <si>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</si>
  <si>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</si>
  <si>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</si>
  <si>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</si>
  <si>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</si>
  <si>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</si>
  <si>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</si>
  <si>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</si>
  <si>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</si>
  <si>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</si>
  <si>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</si>
  <si>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</si>
  <si>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</si>
  <si>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</si>
  <si>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</si>
  <si>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</si>
  <si>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</si>
  <si>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</si>
  <si>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</si>
  <si>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</si>
  <si>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</si>
  <si>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</si>
  <si>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</si>
  <si>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</si>
  <si>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</si>
  <si>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</si>
  <si>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</si>
  <si>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</si>
  <si>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</si>
  <si>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</si>
  <si>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</si>
  <si>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</si>
  <si>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</si>
  <si>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</si>
  <si>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</si>
  <si>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</si>
  <si>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</si>
  <si>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</si>
  <si>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</si>
  <si>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</si>
  <si>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</si>
  <si>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</si>
  <si>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</si>
  <si>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</si>
  <si>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</si>
  <si>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</si>
  <si>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</si>
  <si>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</si>
  <si>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6"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</si>
  <si>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</si>
  <si>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</si>
  <si>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</si>
  <si>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</si>
  <si>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6"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</si>
  <si>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</si>
  <si>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</si>
  <si>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</si>
  <si>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</si>
  <si>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</si>
  <si>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</si>
  <si>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</si>
  <si>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</si>
  <si>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</si>
  <si>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</si>
  <si>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</si>
  <si>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</si>
  <si>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</si>
  <si>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</si>
  <si>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9" type="noConversion"/>
  </si>
  <si>
    <t>第8期</t>
    <phoneticPr fontId="276"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</si>
  <si>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</si>
  <si>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</si>
  <si>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</si>
  <si>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</si>
  <si>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6"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</si>
  <si>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</si>
  <si>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</si>
  <si>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</si>
  <si>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</si>
  <si>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6"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</si>
  <si>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</si>
  <si>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</si>
  <si>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</si>
  <si>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</si>
  <si>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</si>
  <si>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</si>
  <si>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</si>
  <si>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</si>
  <si>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</si>
  <si>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</si>
  <si>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</si>
  <si>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</si>
  <si>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</si>
  <si>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</si>
  <si>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</si>
  <si>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</si>
  <si>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</si>
  <si>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</si>
  <si>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</si>
  <si>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</si>
  <si>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土地开发补偿费</t>
  </si>
  <si>
    <t>工业用地</t>
  </si>
  <si>
    <t>押三</t>
  </si>
  <si>
    <t>钢混</t>
  </si>
  <si>
    <t>按租金收入计税</t>
  </si>
  <si>
    <t>不动产收益法</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</si>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</sst>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0%"/>
    <numFmt numFmtId="196" formatCode="#,##0.00_ "/>
    <numFmt numFmtId="197"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5"/>
      <name val="宋体"/>
      <family val="3"/>
      <charset val="134"/>
    </font>
    <font>
      <sz val="9"/>
      <name val="宋体"/>
      <family val="2"/>
      <charset val="134"/>
      <scheme val="minor"/>
    </font>
    <font>
      <u/>
      <sz val="12"/>
      <color indexed="12"/>
      <name val="宋体"/>
      <family val="3"/>
      <charset val="134"/>
    </font>
    <font>
      <sz val="11"/>
      <color indexed="42"/>
      <name val="宋体"/>
      <family val="3"/>
      <charset val="134"/>
    </font>
    <font>
      <sz val="11"/>
      <color indexed="62"/>
      <name val="宋体"/>
      <family val="3"/>
      <charset val="134"/>
    </font>
    <font>
      <b/>
      <sz val="12"/>
      <name val="华文宋体"/>
      <family val="3"/>
      <charset val="134"/>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1" fillId="0" borderId="0">
      <alignment vertical="center"/>
    </xf>
    <xf numFmtId="0" fontId="257" fillId="0" borderId="0"/>
    <xf numFmtId="0" fontId="82"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77" fillId="0" borderId="0" applyNumberFormat="0" applyFill="0" applyBorder="0" applyAlignment="0" applyProtection="0">
      <alignment vertical="top"/>
      <protection locked="0"/>
    </xf>
    <xf numFmtId="0" fontId="278" fillId="17" borderId="0" applyNumberFormat="0" applyBorder="0" applyProtection="0">
      <alignment vertical="center"/>
    </xf>
    <xf numFmtId="0" fontId="278" fillId="18" borderId="0" applyNumberFormat="0" applyBorder="0" applyProtection="0">
      <alignment vertical="center"/>
    </xf>
    <xf numFmtId="0" fontId="278" fillId="19" borderId="0" applyNumberFormat="0" applyBorder="0" applyAlignment="0" applyProtection="0">
      <alignment vertical="center"/>
    </xf>
    <xf numFmtId="0" fontId="279" fillId="20" borderId="154" applyNumberFormat="0" applyProtection="0">
      <alignment vertical="center"/>
    </xf>
  </cellStyleXfs>
  <cellXfs count="357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46" fillId="0" borderId="0" xfId="1">
      <alignment vertical="center"/>
    </xf>
    <xf numFmtId="0" fontId="275" fillId="0" borderId="0" xfId="1" applyFont="1" applyFill="1" applyBorder="1" applyAlignment="1">
      <alignment horizontal="center"/>
    </xf>
    <xf numFmtId="0" fontId="107" fillId="8" borderId="0" xfId="1" applyFont="1" applyFill="1" applyAlignment="1" applyProtection="1">
      <alignment vertical="center"/>
      <protection locked="0"/>
    </xf>
    <xf numFmtId="49" fontId="107" fillId="8" borderId="0" xfId="1" applyNumberFormat="1" applyFont="1" applyFill="1" applyAlignment="1" applyProtection="1">
      <alignment vertical="center"/>
      <protection locked="0"/>
    </xf>
    <xf numFmtId="10" fontId="107" fillId="8" borderId="0" xfId="1" applyNumberFormat="1" applyFont="1" applyFill="1" applyAlignment="1" applyProtection="1">
      <alignment vertical="center"/>
      <protection locked="0"/>
    </xf>
    <xf numFmtId="0" fontId="33" fillId="8" borderId="0" xfId="1" applyFont="1" applyFill="1" applyAlignment="1" applyProtection="1">
      <alignment vertical="center"/>
      <protection locked="0"/>
    </xf>
    <xf numFmtId="14" fontId="96" fillId="8" borderId="0" xfId="1" applyNumberFormat="1" applyFont="1" applyFill="1" applyAlignment="1" applyProtection="1">
      <alignment vertical="center"/>
      <protection locked="0"/>
    </xf>
    <xf numFmtId="0" fontId="96" fillId="8" borderId="0" xfId="1" applyFont="1" applyFill="1" applyAlignment="1" applyProtection="1">
      <alignment vertical="center"/>
      <protection locked="0"/>
    </xf>
    <xf numFmtId="195" fontId="96" fillId="8" borderId="0" xfId="1" applyNumberFormat="1" applyFont="1" applyFill="1" applyAlignment="1" applyProtection="1">
      <alignment vertical="center"/>
      <protection locked="0"/>
    </xf>
    <xf numFmtId="184" fontId="87" fillId="0" borderId="2" xfId="4" applyNumberFormat="1" applyFont="1" applyFill="1" applyBorder="1" applyAlignment="1">
      <alignment horizontal="center" vertical="center" wrapText="1"/>
    </xf>
    <xf numFmtId="0" fontId="87" fillId="0" borderId="2" xfId="4" applyFont="1" applyFill="1" applyBorder="1" applyAlignment="1">
      <alignment horizontal="center" vertical="center"/>
    </xf>
    <xf numFmtId="49" fontId="87" fillId="0" borderId="2" xfId="4" applyNumberFormat="1" applyFont="1" applyFill="1" applyBorder="1" applyAlignment="1">
      <alignment horizontal="center" vertical="center" wrapText="1"/>
    </xf>
    <xf numFmtId="49" fontId="96" fillId="8" borderId="0" xfId="1" applyNumberFormat="1" applyFont="1" applyFill="1" applyAlignment="1" applyProtection="1">
      <alignment vertical="center"/>
      <protection locked="0"/>
    </xf>
    <xf numFmtId="0" fontId="87" fillId="0" borderId="2" xfId="4" applyFont="1" applyFill="1" applyBorder="1" applyAlignment="1">
      <alignment horizontal="center" vertical="center" wrapText="1"/>
    </xf>
    <xf numFmtId="0" fontId="41" fillId="0" borderId="2" xfId="4" applyFont="1" applyFill="1" applyBorder="1" applyAlignment="1">
      <alignment vertical="center" wrapText="1"/>
    </xf>
    <xf numFmtId="0" fontId="41" fillId="0" borderId="2" xfId="4" applyFont="1" applyFill="1" applyBorder="1" applyAlignment="1">
      <alignment horizontal="center" vertical="center" wrapText="1"/>
    </xf>
    <xf numFmtId="10" fontId="96" fillId="8" borderId="0" xfId="1" applyNumberFormat="1" applyFont="1" applyFill="1" applyAlignment="1" applyProtection="1">
      <alignment vertical="center"/>
      <protection locked="0"/>
    </xf>
    <xf numFmtId="0" fontId="185" fillId="0" borderId="2" xfId="4" applyFont="1" applyFill="1" applyBorder="1" applyAlignment="1">
      <alignment horizontal="center" vertical="center" wrapText="1"/>
    </xf>
    <xf numFmtId="0" fontId="41" fillId="0" borderId="9" xfId="4" applyFont="1" applyFill="1" applyBorder="1" applyAlignment="1">
      <alignment vertical="center" wrapText="1"/>
    </xf>
    <xf numFmtId="182" fontId="87" fillId="0" borderId="2" xfId="4" applyNumberFormat="1" applyFont="1" applyFill="1" applyBorder="1" applyAlignment="1">
      <alignment horizontal="center" vertical="center" wrapText="1"/>
    </xf>
    <xf numFmtId="0" fontId="87" fillId="9" borderId="2" xfId="4" applyFont="1" applyFill="1" applyBorder="1" applyAlignment="1">
      <alignment horizontal="center" vertical="center" wrapText="1"/>
    </xf>
    <xf numFmtId="196" fontId="146" fillId="0" borderId="0" xfId="1" applyNumberFormat="1">
      <alignment vertical="center"/>
    </xf>
    <xf numFmtId="0" fontId="276" fillId="0" borderId="0" xfId="16" applyFont="1" applyFill="1" applyBorder="1">
      <alignment vertical="center"/>
    </xf>
    <xf numFmtId="0" fontId="282" fillId="0" borderId="2" xfId="16" applyFont="1" applyFill="1" applyBorder="1" applyAlignment="1">
      <alignment horizontal="center" vertical="center"/>
    </xf>
    <xf numFmtId="0" fontId="276" fillId="0" borderId="0" xfId="16" applyFont="1" applyFill="1" applyBorder="1" applyAlignment="1">
      <alignment vertical="center"/>
    </xf>
    <xf numFmtId="0" fontId="283" fillId="0" borderId="2" xfId="16" applyFont="1" applyFill="1" applyBorder="1" applyAlignment="1">
      <alignment horizontal="center" vertical="center"/>
    </xf>
    <xf numFmtId="0" fontId="284" fillId="0" borderId="2" xfId="16" applyNumberFormat="1" applyFont="1" applyFill="1" applyBorder="1" applyAlignment="1">
      <alignment horizontal="center" vertical="center" wrapText="1"/>
    </xf>
    <xf numFmtId="177" fontId="285"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left" vertical="center" wrapText="1"/>
    </xf>
    <xf numFmtId="0" fontId="286" fillId="0" borderId="21" xfId="16" applyFont="1" applyFill="1" applyBorder="1" applyAlignment="1">
      <alignment horizontal="center" vertical="center"/>
    </xf>
    <xf numFmtId="0" fontId="283" fillId="0" borderId="0" xfId="16" applyFont="1" applyFill="1" applyBorder="1">
      <alignment vertical="center"/>
    </xf>
    <xf numFmtId="0" fontId="286" fillId="0" borderId="0" xfId="16" applyFont="1" applyFill="1" applyBorder="1">
      <alignment vertical="center"/>
    </xf>
    <xf numFmtId="0" fontId="286" fillId="0" borderId="2" xfId="16" applyFont="1" applyFill="1" applyBorder="1" applyAlignment="1">
      <alignment horizontal="center" vertical="center"/>
    </xf>
    <xf numFmtId="177" fontId="128" fillId="0" borderId="2" xfId="16" applyNumberFormat="1" applyFont="1" applyFill="1" applyBorder="1" applyAlignment="1">
      <alignment horizontal="center" vertical="center" wrapText="1"/>
    </xf>
    <xf numFmtId="177" fontId="83" fillId="0" borderId="2" xfId="16" applyNumberFormat="1" applyFont="1" applyFill="1" applyBorder="1" applyAlignment="1" applyProtection="1">
      <alignment horizontal="center" vertical="center" wrapText="1"/>
    </xf>
    <xf numFmtId="177" fontId="28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center" vertical="center" wrapText="1"/>
    </xf>
    <xf numFmtId="177" fontId="128" fillId="0" borderId="2" xfId="16" applyNumberFormat="1" applyFont="1" applyFill="1" applyBorder="1" applyAlignment="1" applyProtection="1">
      <alignment horizontal="center" vertical="center" wrapText="1"/>
    </xf>
    <xf numFmtId="177" fontId="284" fillId="0" borderId="2" xfId="16" applyNumberFormat="1" applyFont="1" applyBorder="1" applyAlignment="1">
      <alignment horizontal="center" vertical="center" wrapText="1"/>
    </xf>
    <xf numFmtId="177" fontId="285" fillId="0" borderId="2" xfId="16" applyNumberFormat="1" applyFont="1" applyBorder="1" applyAlignment="1">
      <alignment horizontal="center" vertical="center" wrapText="1"/>
    </xf>
    <xf numFmtId="0" fontId="286" fillId="0" borderId="10" xfId="16" applyFont="1" applyFill="1" applyBorder="1" applyAlignment="1">
      <alignment horizontal="center" vertical="center"/>
    </xf>
    <xf numFmtId="0" fontId="283" fillId="21" borderId="0" xfId="16" applyFont="1" applyFill="1" applyBorder="1">
      <alignment vertical="center"/>
    </xf>
    <xf numFmtId="177" fontId="284" fillId="0" borderId="0" xfId="16" applyNumberFormat="1" applyFont="1" applyFill="1" applyBorder="1" applyAlignment="1">
      <alignment horizontal="center" vertical="center"/>
    </xf>
    <xf numFmtId="185" fontId="284" fillId="0" borderId="2" xfId="16" applyNumberFormat="1" applyFont="1" applyFill="1" applyBorder="1" applyAlignment="1">
      <alignment horizontal="center" vertical="center" wrapText="1"/>
    </xf>
    <xf numFmtId="0" fontId="135" fillId="0" borderId="0" xfId="16" applyFont="1" applyFill="1" applyBorder="1" applyAlignment="1">
      <alignment horizontal="center" vertical="center"/>
    </xf>
    <xf numFmtId="0" fontId="283" fillId="0" borderId="2" xfId="16" applyFont="1" applyFill="1" applyBorder="1" applyAlignment="1">
      <alignment horizontal="center" vertical="center" wrapText="1"/>
    </xf>
    <xf numFmtId="177" fontId="165" fillId="8" borderId="2" xfId="16" applyNumberFormat="1" applyFont="1" applyFill="1" applyBorder="1" applyAlignment="1">
      <alignment horizontal="center" vertical="center" wrapText="1"/>
    </xf>
    <xf numFmtId="177" fontId="165" fillId="0" borderId="0" xfId="16" applyNumberFormat="1" applyFont="1" applyFill="1" applyBorder="1">
      <alignment vertical="center"/>
    </xf>
    <xf numFmtId="177" fontId="285" fillId="0" borderId="2" xfId="16" applyNumberFormat="1" applyFont="1" applyBorder="1" applyAlignment="1">
      <alignment horizontal="left" vertical="center" wrapText="1"/>
    </xf>
    <xf numFmtId="185" fontId="165" fillId="0" borderId="2" xfId="16" applyNumberFormat="1" applyFont="1" applyFill="1" applyBorder="1" applyAlignment="1">
      <alignment horizontal="center" vertical="center" wrapText="1"/>
    </xf>
    <xf numFmtId="197" fontId="284" fillId="0" borderId="2" xfId="19" applyNumberFormat="1" applyFont="1" applyFill="1" applyBorder="1" applyAlignment="1">
      <alignment horizontal="center" vertical="center" wrapText="1"/>
    </xf>
    <xf numFmtId="177" fontId="284" fillId="0" borderId="2" xfId="16" applyNumberFormat="1" applyFont="1" applyFill="1" applyBorder="1" applyAlignment="1">
      <alignment horizontal="left" vertical="center" wrapText="1"/>
    </xf>
    <xf numFmtId="0" fontId="284" fillId="0" borderId="2" xfId="19" applyFont="1" applyFill="1" applyBorder="1" applyAlignment="1">
      <alignment horizontal="center" vertical="center" wrapText="1"/>
    </xf>
    <xf numFmtId="0" fontId="165" fillId="0" borderId="0" xfId="16" applyFont="1" applyFill="1" applyBorder="1" applyAlignment="1">
      <alignment horizontal="center" vertical="center"/>
    </xf>
    <xf numFmtId="0" fontId="165" fillId="0" borderId="2" xfId="16" applyFont="1" applyFill="1" applyBorder="1" applyAlignment="1">
      <alignment horizontal="center" vertical="center"/>
    </xf>
    <xf numFmtId="0" fontId="128" fillId="0" borderId="2" xfId="16" applyFont="1" applyFill="1" applyBorder="1" applyAlignment="1">
      <alignment horizontal="center" vertical="center" wrapText="1"/>
    </xf>
    <xf numFmtId="177" fontId="83" fillId="0" borderId="2" xfId="16" applyNumberFormat="1" applyFont="1" applyBorder="1" applyAlignment="1">
      <alignment horizontal="center" vertical="center" wrapText="1"/>
    </xf>
    <xf numFmtId="177" fontId="83" fillId="0" borderId="2" xfId="16" applyNumberFormat="1" applyFont="1" applyBorder="1" applyAlignment="1">
      <alignment horizontal="left" vertical="center" wrapText="1"/>
    </xf>
    <xf numFmtId="0" fontId="128" fillId="0" borderId="2" xfId="16" applyFont="1" applyFill="1" applyBorder="1" applyAlignment="1">
      <alignment horizontal="center" vertical="center"/>
    </xf>
    <xf numFmtId="177" fontId="287" fillId="0" borderId="2" xfId="16" applyNumberFormat="1" applyFont="1" applyFill="1" applyBorder="1" applyAlignment="1">
      <alignment horizontal="center" vertical="center"/>
    </xf>
    <xf numFmtId="177" fontId="287" fillId="0" borderId="0" xfId="16"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6"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201" fillId="0" borderId="2" xfId="16" applyFont="1" applyFill="1" applyBorder="1" applyAlignment="1">
      <alignment horizontal="center" vertical="center"/>
    </xf>
    <xf numFmtId="197"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0" fontId="276" fillId="0" borderId="0" xfId="16" applyFont="1" applyFill="1" applyBorder="1" applyAlignment="1">
      <alignment horizontal="left" vertical="center"/>
    </xf>
    <xf numFmtId="0" fontId="276" fillId="0" borderId="0" xfId="16" applyFont="1" applyFill="1" applyBorder="1" applyAlignment="1">
      <alignment horizontal="center" vertical="center"/>
    </xf>
    <xf numFmtId="177" fontId="276" fillId="0" borderId="0" xfId="16" applyNumberFormat="1" applyFont="1" applyFill="1" applyBorder="1" applyAlignment="1">
      <alignment horizontal="center" vertical="center"/>
    </xf>
    <xf numFmtId="0" fontId="96" fillId="21" borderId="5" xfId="2" applyNumberFormat="1" applyFont="1" applyFill="1" applyBorder="1" applyAlignment="1" applyProtection="1">
      <alignment horizontal="center"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28" fillId="0" borderId="0" xfId="4" applyFont="1" applyFill="1" applyBorder="1" applyAlignment="1">
      <alignment horizontal="left"/>
    </xf>
    <xf numFmtId="0" fontId="87" fillId="0" borderId="2" xfId="4" applyFont="1" applyFill="1" applyBorder="1" applyAlignment="1">
      <alignment horizontal="center" vertical="center" wrapText="1"/>
    </xf>
    <xf numFmtId="0" fontId="41" fillId="0" borderId="2" xfId="4" applyFont="1" applyFill="1" applyBorder="1" applyAlignment="1">
      <alignment vertical="center" wrapText="1"/>
    </xf>
    <xf numFmtId="4" fontId="87" fillId="0" borderId="2" xfId="4" applyNumberFormat="1" applyFont="1" applyFill="1" applyBorder="1" applyAlignment="1">
      <alignment horizontal="center" vertical="center" wrapText="1"/>
    </xf>
    <xf numFmtId="0" fontId="87" fillId="0" borderId="5" xfId="4" applyFont="1" applyFill="1" applyBorder="1" applyAlignment="1">
      <alignment horizontal="center" vertical="center" wrapText="1"/>
    </xf>
    <xf numFmtId="0" fontId="87" fillId="0" borderId="9" xfId="4" applyFont="1" applyFill="1" applyBorder="1" applyAlignment="1">
      <alignment horizontal="center" vertical="center" wrapText="1"/>
    </xf>
    <xf numFmtId="0" fontId="161" fillId="0" borderId="32" xfId="1" applyFont="1" applyBorder="1" applyAlignment="1">
      <alignment horizontal="center" vertical="center"/>
    </xf>
    <xf numFmtId="0" fontId="161" fillId="0" borderId="18" xfId="1" applyFont="1" applyBorder="1" applyAlignment="1">
      <alignment horizontal="center" vertical="center"/>
    </xf>
    <xf numFmtId="0" fontId="161" fillId="0" borderId="20" xfId="1" applyFont="1" applyBorder="1" applyAlignment="1">
      <alignment horizontal="center" vertical="center"/>
    </xf>
    <xf numFmtId="0" fontId="161" fillId="0" borderId="10" xfId="1" applyFont="1" applyBorder="1" applyAlignment="1">
      <alignment horizontal="center" vertical="center"/>
    </xf>
    <xf numFmtId="0" fontId="161" fillId="0" borderId="3" xfId="1" applyFont="1" applyBorder="1" applyAlignment="1">
      <alignment horizontal="center" vertical="center"/>
    </xf>
    <xf numFmtId="0" fontId="161" fillId="0" borderId="21" xfId="1" applyFont="1" applyBorder="1" applyAlignment="1">
      <alignment horizontal="center" vertical="center"/>
    </xf>
    <xf numFmtId="0" fontId="275" fillId="0" borderId="0" xfId="1" applyFont="1" applyFill="1" applyBorder="1" applyAlignment="1">
      <alignment horizontal="center"/>
    </xf>
    <xf numFmtId="0" fontId="281" fillId="0" borderId="2" xfId="19" applyFont="1" applyFill="1" applyBorder="1" applyAlignment="1">
      <alignment horizontal="center" vertical="center" wrapText="1"/>
    </xf>
    <xf numFmtId="0" fontId="281" fillId="0" borderId="2" xfId="19" applyFont="1" applyFill="1" applyBorder="1" applyAlignment="1">
      <alignment horizontal="center" vertical="center"/>
    </xf>
    <xf numFmtId="0" fontId="282" fillId="0" borderId="2" xfId="16" applyFont="1" applyFill="1" applyBorder="1" applyAlignment="1">
      <alignment horizontal="center" vertical="center" wrapText="1"/>
    </xf>
    <xf numFmtId="0" fontId="282" fillId="0" borderId="2" xfId="16" applyFont="1" applyFill="1" applyBorder="1" applyAlignment="1">
      <alignment horizontal="center" vertical="center"/>
    </xf>
    <xf numFmtId="0" fontId="280" fillId="0" borderId="17" xfId="20" applyFont="1" applyFill="1" applyBorder="1" applyAlignment="1">
      <alignment horizontal="center" vertical="center" wrapText="1"/>
    </xf>
    <xf numFmtId="0" fontId="280" fillId="0" borderId="19" xfId="20" applyFont="1" applyFill="1" applyBorder="1" applyAlignment="1">
      <alignment horizontal="center" vertical="center" wrapText="1"/>
    </xf>
    <xf numFmtId="197" fontId="281" fillId="0" borderId="2" xfId="19" applyNumberFormat="1" applyFont="1" applyFill="1" applyBorder="1" applyAlignment="1">
      <alignment horizontal="center" vertical="center" wrapText="1"/>
    </xf>
    <xf numFmtId="197" fontId="281" fillId="0" borderId="2" xfId="19" applyNumberFormat="1" applyFont="1" applyFill="1" applyBorder="1" applyAlignment="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cellXfs>
  <cellStyles count="29">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xfId="19"/>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13">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28</xdr:row>
      <xdr:rowOff>152400</xdr:rowOff>
    </xdr:from>
    <xdr:to>
      <xdr:col>9</xdr:col>
      <xdr:colOff>189621</xdr:colOff>
      <xdr:row>57</xdr:row>
      <xdr:rowOff>66065</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 y="4914900"/>
          <a:ext cx="7038096" cy="4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6472;&#26472;\&#24037;&#20316;\&#24037;&#20316;\1-2&#24050;&#24402;&#26723;\2019&#24180;\2019-1-0288&#21271;&#20140;&#24066;&#24576;&#26580;&#21306;&#24576;&#21271;&#38215;&#27827;&#38450;&#21475;&#26449;&#21335;1&#23447;&#21010;&#25320;&#22269;&#26377;&#24314;&#35774;&#29992;&#22320;&#20351;&#29992;&#26435;&#22303;&#22320;&#34917;&#20607;&#20215;&#26684;&#21672;&#35810;&#35780;&#20272;\&#27979;&#31639;\&#27979;&#31639;&#8212;&#8212;&#27719;&#24635;-&#2647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0&#20303;&#20445;&#21150;&#25910;&#20648;&#35810;&#20215;\8\8.&#29976;&#38706;&#22253;&#39033;&#30446;&#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row r="6">
          <cell r="Q6">
            <v>1.29E-2</v>
          </cell>
        </row>
        <row r="11">
          <cell r="Q11">
            <v>1.72E-2</v>
          </cell>
        </row>
        <row r="12">
          <cell r="Q12">
            <v>1.6799999999999999E-2</v>
          </cell>
        </row>
        <row r="13">
          <cell r="Q13">
            <v>1.5800000000000002E-2</v>
          </cell>
        </row>
      </sheetData>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row r="10">
          <cell r="F10" t="str">
            <v>顺义区高丽营镇于庄土地一级开发项目03-21、03-31地块</v>
          </cell>
          <cell r="N10">
            <v>2307.3664295288172</v>
          </cell>
        </row>
        <row r="12">
          <cell r="F12" t="str">
            <v>怀柔区怀柔镇04街区HR00-0004-6001、6002、6003、6004地块F2用地及0050地块供燃气用地</v>
          </cell>
        </row>
        <row r="14">
          <cell r="F14" t="str">
            <v>顺义区国际鲜花港土地一级开发项目A-01地块</v>
          </cell>
        </row>
        <row r="19">
          <cell r="F19" t="str">
            <v>顺义卫星城牛栏山组团东南部土地一级开发项目SY00-0017-6001、1103、1202等地块</v>
          </cell>
        </row>
        <row r="28">
          <cell r="F28" t="str">
            <v>怀柔区雁栖镇陈各庄村土地一级开发项目</v>
          </cell>
        </row>
      </sheetData>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sheetData sheetId="1"/>
      <sheetData sheetId="2"/>
      <sheetData sheetId="3">
        <row r="7">
          <cell r="H7">
            <v>109.08</v>
          </cell>
        </row>
      </sheetData>
      <sheetData sheetId="4">
        <row r="6">
          <cell r="H6">
            <v>101.33</v>
          </cell>
        </row>
      </sheetData>
      <sheetData sheetId="5">
        <row r="6">
          <cell r="H6">
            <v>110.5</v>
          </cell>
        </row>
      </sheetData>
      <sheetData sheetId="6">
        <row r="6">
          <cell r="H6">
            <v>102</v>
          </cell>
        </row>
      </sheetData>
      <sheetData sheetId="7">
        <row r="6">
          <cell r="H6">
            <v>98.25</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北京市出让国有建设用地使用权市场价格预评估</v>
      </c>
      <c r="AX2" s="2851"/>
      <c r="AZ2" s="2851"/>
      <c r="BA2" s="2852"/>
      <c r="BC2" s="2852"/>
    </row>
    <row r="3" spans="1:55" s="2853" customFormat="1">
      <c r="A3" s="2832" t="s">
        <v>2661</v>
      </c>
      <c r="B3" s="2835">
        <f>'预评函-封皮'!B40</f>
        <v>0</v>
      </c>
    </row>
    <row r="4" spans="1:55" s="2834" customFormat="1">
      <c r="A4" s="2832" t="s">
        <v>2662</v>
      </c>
      <c r="B4" s="2833" t="str">
        <f>'预评函-封皮'!B46</f>
        <v>土地估价师、土地估价师</v>
      </c>
      <c r="N4" s="2834" t="str">
        <f>'预评函-1'!A28</f>
        <v>——</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受贵公司委托，我公司对北京市出让国有建设用地使用权市场价格进行了预评估。</v>
      </c>
      <c r="AM6" s="2857"/>
    </row>
    <row r="7" spans="1:55" s="2831" customFormat="1">
      <c r="A7" s="2832" t="s">
        <v>2657</v>
      </c>
      <c r="B7" s="2833" t="str">
        <f>'预评函-1'!A6</f>
        <v>估价对象为使用的、位于北京市出让国有建设用地使用权。根据《国有土地使用证》[]，估价对象（分摊）出让国有建设用地使用权面积为303666平方米。根据《建设工程规划许可证》[]、《出让合同》[]，估价对象规划建筑面积为182200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本次评估为委托估价方了解标的物之市场价格提供参考依据而评估出让国有建设用地使用权市场价格。</v>
      </c>
    </row>
    <row r="10" spans="1:55" s="2831" customFormat="1">
      <c r="A10" s="2832" t="s">
        <v>2659</v>
      </c>
      <c r="B10" s="2833" t="str">
        <f>'预评函-1'!A11</f>
        <v>2019年6月30日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根据《国有土地使用证》[]，估价对象（分摊）出让国有建设用地使用权面积为303666平方米。根据《建设工程规划许可证》[]、《出让合同》[]，估价对象规划建筑面积为182200平方米。</v>
      </c>
    </row>
    <row r="16" spans="1:55" s="2831" customFormat="1">
      <c r="A16" s="2832" t="s">
        <v>2669</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2069年3月30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6月30日，在规划利用条件下、设定土地开发程度为红线外“七通”、宗地内场地，设定用途为，剩余土地使用年限为的出让国有建设用地使用权价格。</v>
      </c>
    </row>
    <row r="19" spans="1:48" s="2831" customFormat="1">
      <c r="A19" s="2832" t="s">
        <v>2672</v>
      </c>
      <c r="B19" s="2833" t="str">
        <f>'预评函-1'!A26</f>
        <v>——</v>
      </c>
    </row>
    <row r="20" spans="1:48" s="2831" customFormat="1">
      <c r="A20" s="2832" t="s">
        <v>2673</v>
      </c>
      <c r="B20" s="2833" t="str">
        <f>'预评函-1'!A27</f>
        <v>——</v>
      </c>
    </row>
    <row r="21" spans="1:48" s="2847" customFormat="1" ht="15" thickBot="1">
      <c r="A21" s="2854" t="s">
        <v>2674</v>
      </c>
      <c r="B21" s="2855" t="str">
        <f>'预评函-1'!A28</f>
        <v>——</v>
      </c>
    </row>
    <row r="22" spans="1:48" ht="15" thickTop="1">
      <c r="A22" s="2843" t="s">
        <v>2675</v>
      </c>
      <c r="B22" s="2844"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估价期日：2019年6月30日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v>
      </c>
    </row>
    <row r="39" spans="1:2">
      <c r="A39" s="2832" t="s">
        <v>2719</v>
      </c>
      <c r="B39" s="2833" t="str">
        <f>'预评函-2'!L5</f>
        <v>红线外七通、宗地红线内场地</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303666</v>
      </c>
    </row>
    <row r="44" spans="1:2">
      <c r="A44" s="2832" t="s">
        <v>2740</v>
      </c>
      <c r="B44" s="2833" t="str">
        <f>'预评函-2'!O3</f>
        <v>规划建筑面积/㎡</v>
      </c>
    </row>
    <row r="45" spans="1:2">
      <c r="A45" s="2832" t="s">
        <v>2722</v>
      </c>
      <c r="B45" s="2833">
        <f>'预评函-2'!O5</f>
        <v>182200</v>
      </c>
    </row>
    <row r="46" spans="1:2">
      <c r="A46" s="2832" t="s">
        <v>2723</v>
      </c>
      <c r="B46" s="2833">
        <f ca="1">'预评函-2'!P5</f>
        <v>488</v>
      </c>
    </row>
    <row r="47" spans="1:2">
      <c r="A47" s="2832" t="s">
        <v>2724</v>
      </c>
      <c r="B47" s="2833">
        <f ca="1">'预评函-2'!Q5</f>
        <v>814</v>
      </c>
    </row>
    <row r="48" spans="1:2">
      <c r="A48" s="2832" t="s">
        <v>2725</v>
      </c>
      <c r="B48" s="2833">
        <f ca="1">'预评函-2'!R5</f>
        <v>14834</v>
      </c>
    </row>
    <row r="49" spans="1:2">
      <c r="A49" s="2832" t="s">
        <v>2741</v>
      </c>
      <c r="B49" s="2833" t="str">
        <f>'预评函-2'!A6</f>
        <v>——</v>
      </c>
    </row>
    <row r="50" spans="1:2">
      <c r="A50" s="2832" t="s">
        <v>2726</v>
      </c>
      <c r="B50" s="2833" t="str">
        <f>'预评函-2'!R6</f>
        <v>——</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2.基础设施条件：估价对象实际开发程度为红线外七通、宗地红线内；本次评估设定开发程度为红线外七通、宗地红线内场地。</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2.本次评估设定估价对象宗地权属无争议，未被查封或者以其他形式限制其房地产权利，未设定抵押权等他项权利，不涉及第三方权利义务。</v>
      </c>
    </row>
    <row r="60" spans="1:2">
      <c r="A60" s="2832" t="s">
        <v>2682</v>
      </c>
      <c r="B60" s="2833" t="str">
        <f>'预评函-3'!A9</f>
        <v>——</v>
      </c>
    </row>
    <row r="61" spans="1:2">
      <c r="A61" s="2832" t="s">
        <v>2684</v>
      </c>
      <c r="B61" s="2833" t="str">
        <f>'预评函-3'!A10</f>
        <v>——</v>
      </c>
    </row>
    <row r="62" spans="1:2">
      <c r="A62" s="2832" t="s">
        <v>2683</v>
      </c>
      <c r="B62" s="2833" t="str">
        <f>'预评函-3'!A11</f>
        <v>——</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v>
      </c>
    </row>
    <row r="66" spans="1:2">
      <c r="A66" s="2832" t="s">
        <v>2688</v>
      </c>
      <c r="B66" s="28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土地估价师</v>
      </c>
    </row>
    <row r="70" spans="1:2">
      <c r="A70" s="2832" t="s">
        <v>2690</v>
      </c>
      <c r="B70" s="2839">
        <f>'预评函-3'!B20</f>
        <v>0</v>
      </c>
    </row>
    <row r="71" spans="1:2">
      <c r="A71" s="2832" t="s">
        <v>2691</v>
      </c>
      <c r="B71" s="2833" t="str">
        <f>'预评函-3'!A21</f>
        <v>土地估价师</v>
      </c>
    </row>
    <row r="72" spans="1:2" s="2847" customFormat="1" ht="15" thickBot="1">
      <c r="A72" s="2854" t="s">
        <v>2691</v>
      </c>
      <c r="B72" s="2860">
        <f>'预评函-3'!B21</f>
        <v>0</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7" sqref="I7"/>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86" t="str">
        <f>IF(B10="北京市","北京市",C10)&amp;F10&amp;B16&amp;"国有建设用地使用权"&amp;B9&amp;"预评估"</f>
        <v>北京市出让国有建设用地使用权市场价格预评估</v>
      </c>
      <c r="C1" s="3287"/>
      <c r="D1" s="3287"/>
      <c r="E1" s="3287"/>
      <c r="F1" s="3287"/>
      <c r="G1" s="3287"/>
      <c r="H1" s="3287"/>
      <c r="I1" s="3288"/>
      <c r="J1" s="1677"/>
      <c r="K1" s="2418" t="str">
        <f>IF(B10="北京市","北京市",C10)&amp;F10&amp;B16&amp;"国有建设用地使用权"&amp;B9</f>
        <v>北京市出让国有建设用地使用权市场价格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北京市出让国有建设用地使用权</v>
      </c>
      <c r="L2" s="1706"/>
      <c r="M2" s="1706"/>
      <c r="N2" s="1677"/>
      <c r="O2" s="1678"/>
      <c r="P2" s="1677"/>
      <c r="Q2" s="1677"/>
      <c r="R2" s="1677"/>
      <c r="S2" s="1677"/>
      <c r="T2" s="1677"/>
      <c r="U2" s="1677"/>
    </row>
    <row r="3" spans="1:21">
      <c r="A3" s="1644" t="s">
        <v>1939</v>
      </c>
      <c r="B3" s="1645"/>
      <c r="C3" s="1646" t="s">
        <v>1995</v>
      </c>
      <c r="D3" s="1645">
        <v>43646</v>
      </c>
      <c r="E3" s="1677"/>
      <c r="F3" s="1677"/>
      <c r="G3" s="1677"/>
      <c r="H3" s="1643"/>
      <c r="I3" s="1678"/>
      <c r="J3" s="1677"/>
      <c r="K3" s="1757"/>
      <c r="L3" s="1706"/>
      <c r="M3" s="1706"/>
      <c r="N3" s="1677"/>
      <c r="O3" s="1678"/>
      <c r="P3" s="1677"/>
      <c r="Q3" s="1677"/>
      <c r="R3" s="1677"/>
      <c r="S3" s="1677"/>
      <c r="T3" s="1677"/>
      <c r="U3" s="1677"/>
    </row>
    <row r="4" spans="1:21" ht="29.25" thickBot="1">
      <c r="A4" s="1647" t="s">
        <v>1940</v>
      </c>
      <c r="B4" s="1826" t="s">
        <v>2888</v>
      </c>
      <c r="C4" s="1829">
        <f>SUMIF(土地估价师,B4,估价师及机构信息!E3:E24)</f>
        <v>0</v>
      </c>
      <c r="D4" s="1826" t="s">
        <v>2888</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2991</v>
      </c>
      <c r="C8" s="1654"/>
      <c r="D8" s="3292" t="s">
        <v>1944</v>
      </c>
      <c r="E8" s="1827"/>
      <c r="F8" s="1655"/>
      <c r="G8" s="1643"/>
      <c r="H8" s="1643"/>
      <c r="I8" s="1690"/>
      <c r="J8" s="1677"/>
      <c r="K8" s="1757"/>
      <c r="L8" s="1706"/>
      <c r="M8" s="1706"/>
      <c r="N8" s="1677"/>
      <c r="O8" s="1678"/>
      <c r="P8" s="1677"/>
      <c r="Q8" s="1677"/>
      <c r="R8" s="1677"/>
      <c r="S8" s="1677"/>
      <c r="T8" s="1677"/>
      <c r="U8" s="1677"/>
    </row>
    <row r="9" spans="1:21" ht="15" thickBot="1">
      <c r="A9" s="1656" t="s">
        <v>1943</v>
      </c>
      <c r="B9" s="1657" t="s">
        <v>2995</v>
      </c>
      <c r="C9" s="1658"/>
      <c r="D9" s="3293"/>
      <c r="E9" s="1657"/>
      <c r="F9" s="1730"/>
      <c r="G9" s="1725"/>
      <c r="H9" s="1725"/>
      <c r="I9" s="1726"/>
      <c r="J9" s="1677"/>
      <c r="K9" s="1757"/>
      <c r="L9" s="1706"/>
      <c r="M9" s="1706"/>
      <c r="N9" s="1677"/>
      <c r="O9" s="1678"/>
      <c r="P9" s="1677"/>
      <c r="Q9" s="1677"/>
      <c r="R9" s="1677"/>
      <c r="S9" s="1677"/>
      <c r="T9" s="1677"/>
      <c r="U9" s="1677"/>
    </row>
    <row r="10" spans="1:21" ht="15" thickTop="1">
      <c r="A10" s="1727" t="s">
        <v>1999</v>
      </c>
      <c r="B10" s="1702" t="s">
        <v>1945</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2996</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89"/>
      <c r="C12" s="3290"/>
      <c r="D12" s="3291"/>
      <c r="E12" s="1682" t="s">
        <v>2061</v>
      </c>
      <c r="F12" s="3307" t="s">
        <v>2889</v>
      </c>
      <c r="G12" s="3308"/>
      <c r="H12" s="3308"/>
      <c r="I12" s="3309"/>
      <c r="J12" s="1677"/>
      <c r="K12" s="1757"/>
      <c r="L12" s="1706"/>
      <c r="M12" s="1706"/>
      <c r="N12" s="1677"/>
      <c r="O12" s="1678"/>
      <c r="P12" s="1677"/>
      <c r="Q12" s="1677"/>
      <c r="R12" s="1677"/>
      <c r="S12" s="1677"/>
      <c r="T12" s="1677"/>
      <c r="U12" s="1677"/>
    </row>
    <row r="13" spans="1:21">
      <c r="A13" s="1670" t="s">
        <v>2059</v>
      </c>
      <c r="B13" s="3289"/>
      <c r="C13" s="3290"/>
      <c r="D13" s="3291"/>
      <c r="E13" s="1682" t="s">
        <v>2061</v>
      </c>
      <c r="F13" s="3307" t="s">
        <v>2890</v>
      </c>
      <c r="G13" s="3308"/>
      <c r="H13" s="3308"/>
      <c r="I13" s="3309"/>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2991</v>
      </c>
      <c r="C16" s="1682" t="s">
        <v>1948</v>
      </c>
      <c r="D16" s="2609" t="s">
        <v>1949</v>
      </c>
      <c r="E16" s="1705"/>
      <c r="F16" s="1705" t="s">
        <v>1677</v>
      </c>
      <c r="G16" s="1705"/>
      <c r="H16" s="1705"/>
      <c r="I16" s="1669" t="s">
        <v>1954</v>
      </c>
      <c r="J16" s="1677"/>
      <c r="K16" s="2419" t="str">
        <f>IF(D17="","",D16&amp;TEXT(D17,"yyyy年m月d日;;"))</f>
        <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工业2069年3月30日</v>
      </c>
    </row>
    <row r="17" spans="1:21">
      <c r="A17" s="1746"/>
      <c r="B17" s="1665"/>
      <c r="C17" s="1666" t="s">
        <v>1955</v>
      </c>
      <c r="D17" s="1683"/>
      <c r="E17" s="1683"/>
      <c r="F17" s="1683"/>
      <c r="G17" s="1683"/>
      <c r="H17" s="1683"/>
      <c r="I17" s="1683">
        <v>61817</v>
      </c>
      <c r="J17" s="1677"/>
      <c r="K17" s="2418" t="str">
        <f>CONCATENATE(K16,L16,M16,N16,O16,P16,Q16,R16,S16,T16,,U16)</f>
        <v>工业2069年3月30日</v>
      </c>
      <c r="L17" s="1706"/>
      <c r="M17" s="1706"/>
      <c r="N17" s="1677"/>
      <c r="O17" s="1678"/>
      <c r="P17" s="1677"/>
      <c r="Q17" s="1677"/>
      <c r="R17" s="1677"/>
      <c r="S17" s="1677"/>
      <c r="T17" s="1677"/>
      <c r="U17" s="1677"/>
    </row>
    <row r="18" spans="1:21">
      <c r="A18" s="1746"/>
      <c r="B18" s="1665"/>
      <c r="C18" s="1666" t="s">
        <v>1956</v>
      </c>
      <c r="D18" s="1667"/>
      <c r="E18" s="1667"/>
      <c r="F18" s="1667"/>
      <c r="G18" s="1667"/>
      <c r="H18" s="1667"/>
      <c r="I18" s="1667">
        <v>40</v>
      </c>
      <c r="J18" s="1677"/>
      <c r="K18" s="1757"/>
      <c r="L18" s="1706"/>
      <c r="M18" s="1706"/>
      <c r="N18" s="1677"/>
      <c r="O18" s="1678"/>
      <c r="P18" s="1677"/>
      <c r="Q18" s="1677"/>
      <c r="R18" s="1677"/>
      <c r="S18" s="1677"/>
      <c r="T18" s="1677"/>
      <c r="U18" s="1677"/>
    </row>
    <row r="19" spans="1:21">
      <c r="A19" s="1746"/>
      <c r="B19" s="1665"/>
      <c r="C19" s="1643" t="s">
        <v>1957</v>
      </c>
      <c r="D19" s="1741" t="str">
        <f>IF(B16="出让",IF(D17="","",ROUNDDOWN(MIN((D17-$D$3)/365,D18),2)),D18)</f>
        <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f>IF(B16="出让",IF(I17="","",ROUNDDOWN(MIN((I17-$D$3)/365,I18),2)),I18)</f>
        <v>40</v>
      </c>
      <c r="J19" s="1677"/>
      <c r="K19" s="1757"/>
      <c r="L19" s="1706"/>
      <c r="M19" s="1706"/>
      <c r="N19" s="1677"/>
      <c r="O19" s="1678"/>
      <c r="P19" s="1677"/>
      <c r="Q19" s="1677"/>
      <c r="R19" s="1677"/>
      <c r="S19" s="1677"/>
      <c r="T19" s="1677"/>
      <c r="U19" s="1677"/>
    </row>
    <row r="20" spans="1:21">
      <c r="A20" s="1769"/>
      <c r="B20" s="1770"/>
      <c r="C20" s="1771" t="s">
        <v>2060</v>
      </c>
      <c r="D20" s="3304"/>
      <c r="E20" s="3305"/>
      <c r="F20" s="3305"/>
      <c r="G20" s="3305"/>
      <c r="H20" s="3305"/>
      <c r="I20" s="3306"/>
      <c r="J20" s="1677"/>
      <c r="K20" s="1757"/>
      <c r="L20" s="1706"/>
      <c r="M20" s="1706"/>
      <c r="N20" s="1677"/>
      <c r="O20" s="1678"/>
      <c r="P20" s="1677"/>
      <c r="Q20" s="1677"/>
      <c r="R20" s="1677"/>
      <c r="S20" s="1677"/>
      <c r="T20" s="1677"/>
      <c r="U20" s="1677"/>
    </row>
    <row r="21" spans="1:21">
      <c r="A21" s="1746" t="s">
        <v>1958</v>
      </c>
      <c r="B21" s="1747" t="s">
        <v>1959</v>
      </c>
      <c r="C21" s="1742">
        <f>'数据-汇总表'!E3</f>
        <v>182200</v>
      </c>
      <c r="D21" s="1743" t="s">
        <v>1960</v>
      </c>
      <c r="E21" s="3294" t="s">
        <v>1998</v>
      </c>
      <c r="F21" s="3295"/>
      <c r="G21" s="3295"/>
      <c r="H21" s="3295"/>
      <c r="I21" s="3296"/>
      <c r="J21" s="1677"/>
      <c r="K21" s="1757"/>
      <c r="L21" s="1706"/>
      <c r="M21" s="1706"/>
      <c r="N21" s="1677"/>
      <c r="O21" s="1678"/>
      <c r="P21" s="1677"/>
      <c r="Q21" s="1677"/>
      <c r="R21" s="1677"/>
      <c r="S21" s="1677"/>
      <c r="T21" s="1677"/>
      <c r="U21" s="1677"/>
    </row>
    <row r="22" spans="1:21">
      <c r="A22" s="3096" t="s">
        <v>952</v>
      </c>
      <c r="B22" s="1644" t="s">
        <v>1961</v>
      </c>
      <c r="C22" s="1669">
        <f>'数据-汇总表'!D3</f>
        <v>303666</v>
      </c>
      <c r="D22" s="1670" t="s">
        <v>1960</v>
      </c>
      <c r="E22" s="3294" t="s">
        <v>2891</v>
      </c>
      <c r="F22" s="3295"/>
      <c r="G22" s="3295"/>
      <c r="H22" s="3295"/>
      <c r="I22" s="3296"/>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97" t="s">
        <v>1966</v>
      </c>
      <c r="C24" s="3298"/>
      <c r="D24" s="3299" t="s">
        <v>1967</v>
      </c>
      <c r="E24" s="3300"/>
      <c r="F24" s="1691" t="s">
        <v>1968</v>
      </c>
      <c r="G24" s="1677"/>
      <c r="H24" s="1677"/>
      <c r="I24" s="1690"/>
      <c r="J24" s="1677"/>
      <c r="K24" s="3285"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8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8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312" t="s">
        <v>2001</v>
      </c>
      <c r="B31" s="1747" t="s">
        <v>2002</v>
      </c>
      <c r="C31" s="3310"/>
      <c r="D31" s="3311"/>
      <c r="E31" s="1677"/>
      <c r="F31" s="1677"/>
      <c r="G31" s="1677"/>
      <c r="H31" s="1677"/>
      <c r="I31" s="1690"/>
      <c r="J31" s="1677"/>
      <c r="K31" s="2421"/>
      <c r="L31" s="1677"/>
      <c r="M31" s="1677"/>
      <c r="N31" s="1677"/>
      <c r="O31" s="1677"/>
      <c r="P31" s="1677"/>
      <c r="Q31" s="1677"/>
      <c r="R31" s="1677"/>
      <c r="S31" s="1677"/>
      <c r="T31" s="1677"/>
      <c r="U31" s="1677"/>
    </row>
    <row r="32" spans="1:21">
      <c r="A32" s="3312"/>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312"/>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313"/>
      <c r="B34" s="1644" t="s">
        <v>2005</v>
      </c>
      <c r="C34" s="3314"/>
      <c r="D34" s="3315"/>
      <c r="E34" s="1677"/>
      <c r="F34" s="1677"/>
      <c r="G34" s="1677"/>
      <c r="H34" s="1677"/>
      <c r="I34" s="1690"/>
      <c r="J34" s="1677"/>
      <c r="K34" s="2421"/>
      <c r="L34" s="1677"/>
      <c r="M34" s="1677"/>
      <c r="N34" s="1677"/>
      <c r="O34" s="1677"/>
      <c r="P34" s="1677"/>
      <c r="Q34" s="1677"/>
      <c r="R34" s="1677"/>
      <c r="S34" s="1677"/>
      <c r="T34" s="1677"/>
      <c r="U34" s="1677"/>
    </row>
    <row r="35" spans="1:21">
      <c r="A35" s="3316" t="s">
        <v>847</v>
      </c>
      <c r="B35" s="1705"/>
      <c r="C35" s="1759" t="str">
        <f>IF(B35="场地平整","——","具体情况：")</f>
        <v>具体情况：</v>
      </c>
      <c r="D35" s="3318"/>
      <c r="E35" s="3319"/>
      <c r="F35" s="3319"/>
      <c r="G35" s="3319"/>
      <c r="H35" s="3319"/>
      <c r="I35" s="3320"/>
      <c r="J35" s="1677"/>
      <c r="K35" s="1758"/>
      <c r="L35" s="1706"/>
      <c r="M35" s="1706"/>
      <c r="N35" s="1677"/>
      <c r="O35" s="1678"/>
      <c r="P35" s="1677"/>
      <c r="Q35" s="1677"/>
      <c r="R35" s="1677"/>
      <c r="S35" s="1677"/>
      <c r="T35" s="1677"/>
      <c r="U35" s="1677"/>
    </row>
    <row r="36" spans="1:21">
      <c r="A36" s="3312"/>
      <c r="B36" s="3321" t="s">
        <v>2054</v>
      </c>
      <c r="C36" s="3322"/>
      <c r="D36" s="1775"/>
      <c r="E36" s="3323"/>
      <c r="F36" s="3323"/>
      <c r="G36" s="1670" t="str">
        <f>IF(B35="场地未平整","估价结果处理","")</f>
        <v/>
      </c>
      <c r="H36" s="3324"/>
      <c r="I36" s="3324"/>
      <c r="J36" s="1677"/>
      <c r="K36" s="1758"/>
      <c r="L36" s="1706"/>
      <c r="M36" s="1706"/>
      <c r="N36" s="1677"/>
      <c r="O36" s="1678"/>
      <c r="P36" s="1677"/>
      <c r="Q36" s="1677"/>
      <c r="R36" s="1677"/>
      <c r="S36" s="1677"/>
      <c r="T36" s="1677"/>
      <c r="U36" s="1677"/>
    </row>
    <row r="37" spans="1:21" ht="28.5">
      <c r="A37" s="3312"/>
      <c r="B37" s="3301"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312"/>
      <c r="B38" s="3302"/>
      <c r="C38" s="1652" t="s">
        <v>850</v>
      </c>
      <c r="D38" s="1774">
        <f>ROUNDDOWN(MIN(('数据-取费表'!$B$2-D37)/365,D34),1)</f>
        <v>119.5</v>
      </c>
      <c r="E38" s="1710" t="s">
        <v>851</v>
      </c>
      <c r="F38" s="1677"/>
      <c r="G38" s="1677"/>
      <c r="H38" s="1677"/>
      <c r="I38" s="1690"/>
      <c r="J38" s="1677"/>
      <c r="K38" s="1758"/>
      <c r="L38" s="1677"/>
      <c r="M38" s="1677"/>
      <c r="N38" s="1677"/>
      <c r="O38" s="1677"/>
      <c r="P38" s="1677"/>
      <c r="Q38" s="1677"/>
      <c r="R38" s="1677"/>
      <c r="S38" s="1677"/>
      <c r="T38" s="1677"/>
      <c r="U38" s="1677"/>
    </row>
    <row r="39" spans="1:21">
      <c r="A39" s="3313"/>
      <c r="B39" s="330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84" t="s">
        <v>1985</v>
      </c>
      <c r="T40" s="1714" t="str">
        <f>NUMBERSTRING(7-K40,1)&amp;"通"</f>
        <v>七通</v>
      </c>
      <c r="U40" s="1677"/>
    </row>
    <row r="41" spans="1:21">
      <c r="A41" s="1646"/>
      <c r="B41" s="3317" t="s">
        <v>1721</v>
      </c>
      <c r="C41" s="3317"/>
      <c r="D41" s="3317"/>
      <c r="E41" s="3317"/>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84"/>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t="s">
        <v>3005</v>
      </c>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t="s">
        <v>3006</v>
      </c>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B26" sqref="B26"/>
      <selection pane="topRight" activeCell="B26" sqref="B26"/>
      <selection pane="bottomLeft" activeCell="B26" sqref="B26"/>
      <selection pane="bottomRight" activeCell="H18" sqref="H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2333</v>
      </c>
      <c r="BA2" s="2324"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303666</v>
      </c>
      <c r="B3" s="22">
        <f>IF(C3="否",G5-AT5,G5)</f>
        <v>182200</v>
      </c>
      <c r="C3" s="23" t="s">
        <v>952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182200</v>
      </c>
      <c r="H5" s="27">
        <f t="shared" ref="H5:AT5" si="0">SUM(H13:H641)</f>
        <v>182200</v>
      </c>
      <c r="I5" s="27">
        <f t="shared" si="0"/>
        <v>182200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182200</v>
      </c>
      <c r="BA5" s="29">
        <f t="shared" si="1"/>
        <v>182200</v>
      </c>
      <c r="BB5" s="29">
        <f t="shared" si="1"/>
        <v>182200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303666</v>
      </c>
      <c r="F6" s="27" t="s">
        <v>1</v>
      </c>
      <c r="G6" s="27" t="s">
        <v>2</v>
      </c>
      <c r="H6" s="33">
        <f>SUMIF(I$12:AB$12,"总值",I6:AB6)</f>
        <v>303666</v>
      </c>
      <c r="I6" s="27">
        <f t="shared" ref="I6:AB6" si="2">ROUND($A$3*I5/$B$3,2)</f>
        <v>303666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303666</v>
      </c>
      <c r="AZ6" s="27" t="s">
        <v>3</v>
      </c>
      <c r="BA6" s="27">
        <f>ROUND($AY$6*BA5/$AZ$5,2)</f>
        <v>303666</v>
      </c>
      <c r="BB6" s="27">
        <f>ROUND($AY$6*BB5/$AZ$5,2)</f>
        <v>303666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2999</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952</v>
      </c>
      <c r="J11" s="71"/>
      <c r="K11" s="2971"/>
      <c r="L11" s="71"/>
      <c r="M11" s="70"/>
      <c r="N11" s="71"/>
      <c r="O11" s="70"/>
      <c r="P11" s="71"/>
      <c r="Q11" s="70"/>
      <c r="R11" s="71"/>
      <c r="S11" s="70"/>
      <c r="T11" s="71"/>
      <c r="U11" s="70"/>
      <c r="V11" s="71"/>
      <c r="W11" s="70"/>
      <c r="X11" s="71"/>
      <c r="Y11" s="70"/>
      <c r="Z11" s="71"/>
      <c r="AA11" s="70"/>
      <c r="AB11" s="71"/>
      <c r="AC11" s="55"/>
      <c r="AD11" s="2318" t="s">
        <v>2330</v>
      </c>
      <c r="AE11" s="1001"/>
      <c r="AF11" s="2318" t="s">
        <v>2330</v>
      </c>
      <c r="AG11" s="1001"/>
      <c r="AH11" s="2318" t="s">
        <v>2329</v>
      </c>
      <c r="AI11" s="2319"/>
      <c r="AJ11" s="2318" t="s">
        <v>2329</v>
      </c>
      <c r="AK11" s="2317"/>
      <c r="AL11" s="999"/>
      <c r="AM11" s="1001"/>
      <c r="AN11" s="999"/>
      <c r="AO11" s="1001"/>
      <c r="AP11" s="1183"/>
      <c r="AQ11" s="1185"/>
      <c r="AR11" s="1183"/>
      <c r="AS11" s="1185"/>
      <c r="AT11" s="1002"/>
      <c r="AU11" s="45"/>
      <c r="AV11" s="55"/>
      <c r="AW11" s="1002"/>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1678</v>
      </c>
      <c r="E13" s="27">
        <f t="shared" ref="E13:E20" si="6">IF($C$3="是",ROUND($A$3*G13/$B$3,2),ROUND($A$3*(G13-AT13)/$B$3,2))</f>
        <v>303666</v>
      </c>
      <c r="F13" s="81"/>
      <c r="G13" s="82">
        <f t="shared" ref="G13:G20" si="7">H13+AC13+AT13</f>
        <v>182200</v>
      </c>
      <c r="H13" s="33">
        <f t="shared" ref="H13:H20" si="8">SUMIF(I$12:AB$12,"总值",I13:AB13)</f>
        <v>182200</v>
      </c>
      <c r="I13" s="2969">
        <v>182200</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5">
        <f t="shared" ref="AY13:AY20" si="11">ROUND($AY$6*AZ13/$AZ$5,2)</f>
        <v>303666</v>
      </c>
      <c r="AZ13" s="27">
        <f t="shared" ref="AZ13:AZ20" si="12">BA13+BL13</f>
        <v>182200</v>
      </c>
      <c r="BA13" s="27">
        <f t="shared" ref="BA13:BA20" si="13">SUM(BB13:BK13)</f>
        <v>182200</v>
      </c>
      <c r="BB13" s="27">
        <f t="shared" ref="BB13:BB20" si="14">IF($D13="是",I13-J13,0)</f>
        <v>182200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5" t="s">
        <v>0</v>
      </c>
      <c r="B1" s="3325" t="s">
        <v>4</v>
      </c>
      <c r="C1" s="3325" t="s">
        <v>5</v>
      </c>
      <c r="D1" s="3326" t="s">
        <v>40</v>
      </c>
      <c r="E1" s="3326" t="s">
        <v>41</v>
      </c>
      <c r="F1" s="3326"/>
      <c r="G1" s="3326"/>
      <c r="H1" s="3326"/>
      <c r="I1" s="3326"/>
      <c r="J1" s="3326"/>
      <c r="K1" s="3326"/>
      <c r="L1" s="3326"/>
      <c r="M1" s="3326"/>
    </row>
    <row r="2" spans="1:13" ht="27" customHeight="1">
      <c r="A2" s="3325"/>
      <c r="B2" s="3325"/>
      <c r="C2" s="3325"/>
      <c r="D2" s="3326"/>
      <c r="E2" s="3326" t="s">
        <v>24</v>
      </c>
      <c r="F2" s="3326" t="s">
        <v>25</v>
      </c>
      <c r="G2" s="3326"/>
      <c r="H2" s="3326"/>
      <c r="I2" s="3326"/>
      <c r="J2" s="3326" t="s">
        <v>26</v>
      </c>
      <c r="K2" s="3326"/>
      <c r="L2" s="3326"/>
      <c r="M2" s="3326"/>
    </row>
    <row r="3" spans="1:13" ht="28.5">
      <c r="A3" s="3325"/>
      <c r="B3" s="3325"/>
      <c r="C3" s="3325"/>
      <c r="D3" s="3326"/>
      <c r="E3" s="33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6" t="s">
        <v>42</v>
      </c>
      <c r="B9" s="3326"/>
      <c r="C9" s="33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N31" sqref="N3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36" t="s">
        <v>203</v>
      </c>
      <c r="B2" s="3336"/>
      <c r="C2" s="3336"/>
      <c r="D2" s="1959" t="s">
        <v>204</v>
      </c>
      <c r="E2" s="106" t="s">
        <v>205</v>
      </c>
      <c r="F2" s="1968"/>
      <c r="G2" s="1193"/>
      <c r="H2" s="1194"/>
      <c r="I2" s="1195" t="s">
        <v>857</v>
      </c>
      <c r="J2" s="1968"/>
      <c r="K2" s="1968"/>
      <c r="L2" s="1968"/>
    </row>
    <row r="3" spans="1:16" ht="15.75" thickBot="1">
      <c r="A3" s="3337" t="s">
        <v>206</v>
      </c>
      <c r="B3" s="3337"/>
      <c r="C3" s="3337"/>
      <c r="D3" s="107">
        <f>'数据-基础表'!AY6</f>
        <v>303666</v>
      </c>
      <c r="E3" s="107">
        <f>'数据-基础表'!AZ5</f>
        <v>182200</v>
      </c>
      <c r="F3" s="1968"/>
      <c r="G3" s="280" t="s">
        <v>858</v>
      </c>
      <c r="H3" s="275" t="s">
        <v>859</v>
      </c>
      <c r="I3" s="1960">
        <f>ROUND('数据-基础表'!B3/'数据-基础表'!A3,2)</f>
        <v>0.6</v>
      </c>
      <c r="J3" s="1968"/>
      <c r="K3" s="1968"/>
      <c r="L3" s="1968"/>
    </row>
    <row r="4" spans="1:16" ht="15">
      <c r="A4" s="3338"/>
      <c r="B4" s="3339"/>
      <c r="C4" s="3340"/>
      <c r="D4" s="108" t="s">
        <v>204</v>
      </c>
      <c r="E4" s="109" t="s">
        <v>205</v>
      </c>
      <c r="F4" s="1968"/>
      <c r="G4" s="1196"/>
      <c r="H4" s="275" t="s">
        <v>860</v>
      </c>
      <c r="I4" s="1960">
        <f>ROUND(SUMIF('数据-基础表'!I9:AS9,"地上",'数据-基础表'!I5:AS5)/'数据-基础表'!A3,2)</f>
        <v>0.6</v>
      </c>
      <c r="J4" s="1968"/>
      <c r="K4" s="1968"/>
      <c r="L4" s="1968"/>
    </row>
    <row r="5" spans="1:16">
      <c r="A5" s="110" t="s">
        <v>207</v>
      </c>
      <c r="B5" s="3341" t="s">
        <v>230</v>
      </c>
      <c r="C5" s="3341"/>
      <c r="D5" s="111">
        <f>ROUND($D$3*E5/$E$3,2)</f>
        <v>0</v>
      </c>
      <c r="E5" s="112">
        <f>SUMIF('数据-基础表'!$11:$11,"住宅",'数据-基础表'!$5:$5)</f>
        <v>0</v>
      </c>
      <c r="F5" s="1968"/>
      <c r="G5" s="280" t="s">
        <v>861</v>
      </c>
      <c r="H5" s="275" t="s">
        <v>859</v>
      </c>
      <c r="I5" s="1960">
        <f>ROUND(E31/D31,2)</f>
        <v>0.6</v>
      </c>
      <c r="J5" s="1968"/>
      <c r="K5" s="1968"/>
      <c r="L5" s="1968"/>
    </row>
    <row r="6" spans="1:16" ht="15" thickBot="1">
      <c r="A6" s="113"/>
      <c r="B6" s="3341" t="s">
        <v>208</v>
      </c>
      <c r="C6" s="3341"/>
      <c r="D6" s="111">
        <f>ROUND($D$3*E6/$E$3,2)</f>
        <v>303666</v>
      </c>
      <c r="E6" s="112">
        <f>E3-E5</f>
        <v>182200</v>
      </c>
      <c r="F6" s="1968"/>
      <c r="G6" s="1196"/>
      <c r="H6" s="275" t="s">
        <v>860</v>
      </c>
      <c r="I6" s="1960">
        <f>ROUND(F31/D31,2)</f>
        <v>0.6</v>
      </c>
      <c r="J6" s="1968"/>
      <c r="K6" s="1968"/>
      <c r="L6" s="1968"/>
    </row>
    <row r="7" spans="1:16" ht="15">
      <c r="A7" s="3333"/>
      <c r="B7" s="3334"/>
      <c r="C7" s="3335"/>
      <c r="D7" s="108" t="s">
        <v>204</v>
      </c>
      <c r="E7" s="114" t="s">
        <v>231</v>
      </c>
      <c r="F7" s="1968"/>
      <c r="G7" s="1151" t="s">
        <v>1645</v>
      </c>
      <c r="H7" s="1152"/>
      <c r="I7" s="1830">
        <v>1</v>
      </c>
      <c r="J7" s="1968"/>
      <c r="K7" s="1968"/>
      <c r="L7" s="1968"/>
    </row>
    <row r="8" spans="1:16">
      <c r="A8" s="110" t="s">
        <v>209</v>
      </c>
      <c r="B8" s="115" t="s">
        <v>210</v>
      </c>
      <c r="C8" s="111" t="s">
        <v>211</v>
      </c>
      <c r="D8" s="111">
        <f t="shared" ref="D8:D15" si="0">ROUND($D$3*E8/$E$3,2)</f>
        <v>303666</v>
      </c>
      <c r="E8" s="116">
        <f>SUMIF('数据-基础表'!BB10:BK10,"地上",'数据-基础表'!BB5:BK5)</f>
        <v>182200</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303666</v>
      </c>
      <c r="E16" s="120">
        <f>SUM(E8:E15)</f>
        <v>182200</v>
      </c>
      <c r="F16" s="1968"/>
      <c r="G16" s="1970"/>
      <c r="H16" s="967" t="s">
        <v>219</v>
      </c>
      <c r="I16" s="968"/>
      <c r="J16" s="1968"/>
      <c r="K16" s="3327" t="s">
        <v>2566</v>
      </c>
      <c r="L16" s="3328"/>
      <c r="M16" s="3328"/>
      <c r="N16" s="3328"/>
      <c r="O16" s="3328"/>
      <c r="P16" s="3329"/>
    </row>
    <row r="17" spans="1:19" ht="15">
      <c r="A17" s="121" t="s">
        <v>216</v>
      </c>
      <c r="B17" s="122" t="s">
        <v>217</v>
      </c>
      <c r="C17" s="2282" t="s">
        <v>2313</v>
      </c>
      <c r="D17" s="108" t="s">
        <v>204</v>
      </c>
      <c r="E17" s="124" t="s">
        <v>205</v>
      </c>
      <c r="F17" s="125"/>
      <c r="G17" s="1361"/>
      <c r="H17" s="969" t="s">
        <v>218</v>
      </c>
      <c r="I17" s="970" t="s">
        <v>2312</v>
      </c>
      <c r="J17" s="1968"/>
      <c r="K17" s="3330" t="s">
        <v>2567</v>
      </c>
      <c r="L17" s="3331"/>
      <c r="M17" s="3332"/>
      <c r="N17" s="3330" t="s">
        <v>2568</v>
      </c>
      <c r="O17" s="3331"/>
      <c r="P17" s="3332"/>
      <c r="R17" s="2283" t="s">
        <v>2311</v>
      </c>
      <c r="S17" s="144"/>
    </row>
    <row r="18" spans="1:19" ht="15">
      <c r="A18" s="117"/>
      <c r="B18" s="128"/>
      <c r="C18" s="129"/>
      <c r="D18" s="2605"/>
      <c r="E18" s="130" t="s">
        <v>220</v>
      </c>
      <c r="F18" s="131" t="s">
        <v>221</v>
      </c>
      <c r="G18" s="1362" t="s">
        <v>222</v>
      </c>
      <c r="H18" s="971" t="s">
        <v>223</v>
      </c>
      <c r="I18" s="972"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6" t="s">
        <v>3008</v>
      </c>
      <c r="D19" s="111">
        <f t="shared" ref="D19:D26" si="1">ROUND($D$3*E19/$E$3,2)</f>
        <v>303666</v>
      </c>
      <c r="E19" s="134">
        <f t="shared" ref="E19:E26" si="2">SUM(F19:G19)</f>
        <v>182200</v>
      </c>
      <c r="F19" s="135">
        <f>'数据-基础表'!I13</f>
        <v>182200</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303666</v>
      </c>
      <c r="S19" s="2285">
        <f t="shared" si="5"/>
        <v>182200</v>
      </c>
    </row>
    <row r="20" spans="1:19">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303666</v>
      </c>
      <c r="E27" s="143">
        <f>IF(SUM(E19:E26)='数据-基础表'!BA5,SUM(E19:E26),IF(F27="地上面积有误","面积有误","地下面积有误"))</f>
        <v>182200</v>
      </c>
      <c r="F27" s="134">
        <f>IF(SUM(F19:F26)=E8,SUM(F19:F26),"地上面积有误")</f>
        <v>182200</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303666</v>
      </c>
      <c r="S27" s="275">
        <f>IF(SUM(S19:S26)=$E$3,SUM(S19:S26),SUM(S19:S26)&amp;"误差"&amp;ROUND(SUM(S19:S26)-E3,2))</f>
        <v>182200</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2322</v>
      </c>
      <c r="D31" s="1367">
        <f>D27+D30</f>
        <v>303666</v>
      </c>
      <c r="E31" s="1367">
        <f>E27+E30</f>
        <v>182200</v>
      </c>
      <c r="F31" s="1368">
        <f>F27+F30</f>
        <v>182200</v>
      </c>
      <c r="G31" s="1369">
        <f>G27+G30</f>
        <v>0</v>
      </c>
      <c r="H31" s="1968"/>
      <c r="I31" s="1968"/>
      <c r="J31" s="1968"/>
      <c r="K31" s="1968"/>
      <c r="L31" s="1968"/>
    </row>
    <row r="32" spans="1:19">
      <c r="A32" s="1968"/>
      <c r="B32" s="2326" t="s">
        <v>2321</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activeCell="B26" sqref="B26"/>
      <selection pane="topRight" activeCell="B26" sqref="B26"/>
      <selection pane="bottomLeft" activeCell="B26" sqref="B26"/>
      <selection pane="bottomRight" activeCell="U7" sqref="U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13.75" style="1982"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43646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M3</v>
      </c>
      <c r="B6" s="2321" t="str">
        <f>IF(A6=0,"","经营性")</f>
        <v>经营性</v>
      </c>
      <c r="C6" s="173" t="s">
        <v>981</v>
      </c>
      <c r="D6" s="2292">
        <f>SUMIF(项目基本情况!D$15:I$15,C6,项目基本情况!D$18:I$18)</f>
        <v>40</v>
      </c>
      <c r="E6" s="2293">
        <f>IF(B6="","",SUMIF(项目基本情况!D$15:I$15,C6,项目基本情况!D$17:I$17))</f>
        <v>61817</v>
      </c>
      <c r="F6" s="174">
        <f>SUMIF(项目基本情况!D$15:I$15,C6,项目基本情况!D$19:I$19)</f>
        <v>40</v>
      </c>
      <c r="G6" s="175">
        <f>IF(ISERROR(ROUND(POWER(1+H6,D6-F6)*(POWER(1+H6,F6)-1)/(POWER(1+H6,D6)-1),3)),0,ROUND(POWER(1+H6,D6-F6)*(POWER(1+H6,F6)-1)/(POWER(1+H6,D6)-1),3))</f>
        <v>1</v>
      </c>
      <c r="H6" s="2977">
        <v>3.5000000000000003E-2</v>
      </c>
      <c r="I6" s="2977">
        <v>0.03</v>
      </c>
      <c r="J6" s="176">
        <v>4.4999999999999998E-2</v>
      </c>
      <c r="K6" s="179">
        <f>SUMIF('数据-汇总表'!C$19:C$33,'数据-取费表'!A6,'数据-汇总表'!E$19:E$33)</f>
        <v>182200</v>
      </c>
      <c r="L6" s="2978">
        <v>1500</v>
      </c>
      <c r="M6" s="177">
        <f t="shared" ref="M6:M14" si="0">ROUND(K6*L6/10000,0)</f>
        <v>27330</v>
      </c>
      <c r="N6" s="2979">
        <v>0</v>
      </c>
      <c r="O6" s="177">
        <f>IF($N$5="成新度","——",ROUND(M6*N6,0))</f>
        <v>0</v>
      </c>
      <c r="P6" s="178">
        <f>IF($N$5="成新度","——",M6-O6)</f>
        <v>27330</v>
      </c>
      <c r="Q6" s="2980">
        <v>0.05</v>
      </c>
      <c r="R6" s="179">
        <f>SUMIF('数据-汇总表'!C$19:C$33,A6,'数据-汇总表'!R$19:R$33)</f>
        <v>303666</v>
      </c>
      <c r="S6" s="132">
        <f>IF('数据-汇总表'!$I$17="按面积比例",SUMIF('数据-汇总表'!C$19:C$33,A6,'数据-汇总表'!K$19:K$33),SUMIF('数据-汇总表'!C$19:C$33,A6,'数据-汇总表'!N$19:N$33))</f>
        <v>0</v>
      </c>
      <c r="T6" s="2218" t="str">
        <f>IF($T$4="按面积比例",IF(ISERROR(ROUND($M$14*S6/S$16,0)),"0",ROUND($M$14*S6/S$16,0)),"需自行计算录入")</f>
        <v>0</v>
      </c>
      <c r="U6" s="180">
        <v>0.45</v>
      </c>
      <c r="V6" s="181">
        <v>1.4999999999999999E-2</v>
      </c>
      <c r="W6" s="181">
        <v>0.15</v>
      </c>
      <c r="X6" s="2305"/>
      <c r="Y6" s="182">
        <v>1</v>
      </c>
      <c r="Z6" s="183"/>
      <c r="AA6" s="176"/>
      <c r="AB6" s="176"/>
      <c r="AC6" s="2308"/>
      <c r="AD6" s="184"/>
      <c r="AE6" s="971">
        <f ca="1">IF(AN6="",0,SUMIF(INDIRECT("'"&amp;AN6&amp;"'"&amp;"!E:E"),$AE$5,INDIRECT("'"&amp;AN6&amp;"'"&amp;"!F:F")))</f>
        <v>40</v>
      </c>
      <c r="AF6" s="141"/>
      <c r="AG6" s="1208">
        <f>IF(AF6="",0,AE6-AF6)</f>
        <v>0</v>
      </c>
      <c r="AH6" s="141"/>
      <c r="AI6" s="187">
        <v>365</v>
      </c>
      <c r="AJ6" s="188"/>
      <c r="AK6" s="189">
        <v>5.0000000000000001E-3</v>
      </c>
      <c r="AL6" s="190">
        <v>5.0000000000000001E-4</v>
      </c>
      <c r="AM6" s="2991">
        <v>5.0000000000000001E-3</v>
      </c>
      <c r="AN6" s="2355" t="s">
        <v>3247</v>
      </c>
      <c r="AO6" s="1984"/>
      <c r="AP6" s="1199">
        <f>ROUND(1-1/(1+H6)^F6,3)</f>
        <v>0.747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2314</v>
      </c>
      <c r="B14" s="2290" t="s">
        <v>1679</v>
      </c>
      <c r="C14" s="2291" t="s">
        <v>2314</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182200</v>
      </c>
      <c r="L16" s="206">
        <f>ROUND(M16*10000/SUM(K6:K14),0)</f>
        <v>1500</v>
      </c>
      <c r="M16" s="206">
        <f>SUM(M6:M14)</f>
        <v>27330</v>
      </c>
      <c r="N16" s="207">
        <f>ROUND(SUMPRODUCT(M6:M14,N6:N14)/M16,3)</f>
        <v>0</v>
      </c>
      <c r="O16" s="206">
        <f>SUM(O6:O14)</f>
        <v>0</v>
      </c>
      <c r="P16" s="206">
        <f>SUM(P6:P14)</f>
        <v>27330</v>
      </c>
      <c r="Q16" s="208">
        <f>ROUND(SUMPRODUCT(Q6:Q13,K6:K13)/SUMPRODUCT((Q6:Q13&gt;0)*(K6:K13)),2)</f>
        <v>0.05</v>
      </c>
      <c r="R16" s="2295">
        <f>SUM(R6:R13)</f>
        <v>303666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0.747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2338</v>
      </c>
      <c r="B27" s="227">
        <v>160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2339</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f>50+40+10+25+20</f>
        <v>145</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145</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0.01</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2894</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0.01</v>
      </c>
      <c r="C36" s="2328" t="s">
        <v>2896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0.01</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0.01</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4.3499999999999997E-2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3027" t="s">
        <v>2904</v>
      </c>
      <c r="D53" s="3028"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2906</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2907</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2908</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2909</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2910</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2911</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B26" sqref="B26"/>
      <selection pane="topRight" activeCell="B26" sqref="B26"/>
      <selection pane="bottomLeft" activeCell="B26" sqref="B26"/>
      <selection pane="bottomRight" activeCell="B26" sqref="B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42" t="s">
        <v>1663</v>
      </c>
      <c r="B1" s="3343"/>
      <c r="C1" s="3343"/>
      <c r="D1" s="3343"/>
      <c r="E1" s="3343"/>
      <c r="F1" s="3343"/>
      <c r="G1" s="3343"/>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4">
      <c r="A3" s="1222" t="s">
        <v>1666</v>
      </c>
      <c r="B3" s="1223" t="s">
        <v>1653</v>
      </c>
      <c r="C3" s="3032" t="s">
        <v>2922</v>
      </c>
      <c r="D3" s="1993"/>
      <c r="E3" s="1224" t="s">
        <v>1666</v>
      </c>
      <c r="F3" s="1225" t="s">
        <v>1654</v>
      </c>
      <c r="G3" s="3036" t="s">
        <v>2921</v>
      </c>
      <c r="H3" s="1992"/>
      <c r="I3" s="1992"/>
      <c r="J3" s="1992"/>
      <c r="K3" s="1992"/>
      <c r="L3" s="1992"/>
      <c r="M3" s="1992"/>
      <c r="N3" s="1992"/>
      <c r="O3" s="1992"/>
      <c r="P3" s="1992"/>
      <c r="Q3" s="1992"/>
      <c r="R3" s="1992"/>
    </row>
    <row r="4" spans="1:18" ht="41.25">
      <c r="A4" s="1224"/>
      <c r="B4" s="1226" t="s">
        <v>1667</v>
      </c>
      <c r="C4" s="3033" t="s">
        <v>2923</v>
      </c>
      <c r="D4" s="1993"/>
      <c r="E4" s="1227"/>
      <c r="F4" s="1228" t="s">
        <v>1668</v>
      </c>
      <c r="G4" s="3034" t="s">
        <v>2918</v>
      </c>
      <c r="H4" s="1992"/>
      <c r="I4" s="1992"/>
      <c r="J4" s="1992"/>
      <c r="K4" s="1992"/>
      <c r="L4" s="1992"/>
      <c r="M4" s="1992"/>
      <c r="N4" s="1992"/>
      <c r="O4" s="1992"/>
      <c r="P4" s="1992"/>
      <c r="Q4" s="1992"/>
      <c r="R4" s="1992"/>
    </row>
    <row r="5" spans="1:18" ht="41.25">
      <c r="A5" s="1224"/>
      <c r="B5" s="1226" t="s">
        <v>1669</v>
      </c>
      <c r="C5" s="3033" t="s">
        <v>2924</v>
      </c>
      <c r="D5" s="1993"/>
      <c r="E5" s="1227"/>
      <c r="F5" s="1226" t="s">
        <v>2546</v>
      </c>
      <c r="G5" s="3034" t="s">
        <v>2919</v>
      </c>
      <c r="H5" s="1992"/>
      <c r="I5" s="1992"/>
      <c r="J5" s="1992"/>
      <c r="K5" s="1992"/>
      <c r="L5" s="1992"/>
      <c r="M5" s="1992"/>
      <c r="N5" s="1992"/>
      <c r="O5" s="1992"/>
      <c r="P5" s="1992"/>
      <c r="Q5" s="1992"/>
      <c r="R5" s="1992"/>
    </row>
    <row r="6" spans="1:18" ht="54">
      <c r="A6" s="1224"/>
      <c r="B6" s="1226" t="s">
        <v>1655</v>
      </c>
      <c r="C6" s="3034" t="s">
        <v>2918</v>
      </c>
      <c r="D6" s="1993"/>
      <c r="E6" s="1227"/>
      <c r="F6" s="1226" t="s">
        <v>2547</v>
      </c>
      <c r="G6" s="3034" t="s">
        <v>2916</v>
      </c>
      <c r="H6" s="1992"/>
      <c r="I6" s="1992"/>
      <c r="J6" s="1992"/>
      <c r="K6" s="1992"/>
      <c r="L6" s="1992"/>
      <c r="M6" s="1992"/>
      <c r="N6" s="1992"/>
      <c r="O6" s="1992"/>
      <c r="P6" s="1992"/>
      <c r="Q6" s="1992"/>
      <c r="R6" s="1992"/>
    </row>
    <row r="7" spans="1:18" ht="41.25" thickBot="1">
      <c r="A7" s="1224"/>
      <c r="B7" s="1226" t="s">
        <v>2546</v>
      </c>
      <c r="C7" s="3034" t="s">
        <v>2919</v>
      </c>
      <c r="D7" s="1994"/>
      <c r="E7" s="1229"/>
      <c r="F7" s="1230" t="s">
        <v>1670</v>
      </c>
      <c r="G7" s="3037" t="s">
        <v>2920</v>
      </c>
      <c r="H7" s="1992"/>
      <c r="I7" s="1992"/>
      <c r="J7" s="1992"/>
      <c r="K7" s="1992"/>
      <c r="L7" s="1992"/>
      <c r="M7" s="1992"/>
      <c r="N7" s="1992"/>
      <c r="O7" s="1992"/>
      <c r="P7" s="1992"/>
      <c r="Q7" s="1992"/>
      <c r="R7" s="1992"/>
    </row>
    <row r="8" spans="1:18" ht="27">
      <c r="A8" s="1224"/>
      <c r="B8" s="1226" t="s">
        <v>2547</v>
      </c>
      <c r="C8" s="3034" t="s">
        <v>2916</v>
      </c>
      <c r="D8" s="1994"/>
      <c r="E8" s="1994"/>
      <c r="F8" s="1539"/>
      <c r="G8" s="1539"/>
      <c r="H8" s="1992"/>
      <c r="I8" s="1992"/>
      <c r="J8" s="1992"/>
      <c r="K8" s="1992"/>
      <c r="L8" s="1992"/>
      <c r="M8" s="1992"/>
      <c r="N8" s="1992"/>
      <c r="O8" s="1992"/>
      <c r="P8" s="1992"/>
      <c r="Q8" s="1992"/>
      <c r="R8" s="1992"/>
    </row>
    <row r="9" spans="1:18" ht="40.5">
      <c r="A9" s="1224"/>
      <c r="B9" s="1226" t="s">
        <v>1656</v>
      </c>
      <c r="C9" s="3033" t="s">
        <v>2917</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19"/>
      <c r="E13" s="2541"/>
      <c r="F13" s="2541"/>
      <c r="G13" s="2541"/>
    </row>
    <row r="14" spans="1:18" ht="14.25" thickBot="1">
      <c r="A14" s="1233"/>
      <c r="B14" s="1234"/>
      <c r="C14" s="1235" t="s">
        <v>1664</v>
      </c>
      <c r="D14" s="1993"/>
      <c r="E14" s="1236"/>
      <c r="F14" s="1236"/>
      <c r="G14" s="1218" t="s">
        <v>1665</v>
      </c>
    </row>
    <row r="15" spans="1:18" ht="54">
      <c r="A15" s="2551" t="s">
        <v>1657</v>
      </c>
      <c r="B15" s="1237" t="s">
        <v>1653</v>
      </c>
      <c r="C15" s="1238" t="str">
        <f>C3</f>
        <v>估价对象周边居住用地比例、居住小区规模和社区发展完善程度，综合评价居住社区成熟度一般</v>
      </c>
      <c r="D15" s="1993"/>
      <c r="E15" s="2548" t="s">
        <v>1658</v>
      </c>
      <c r="F15" s="1237" t="s">
        <v>1673</v>
      </c>
      <c r="G15" s="1239" t="str">
        <f>G3</f>
        <v>估价对象位于XX开发区，园区建设成熟度XX，产业集聚程度XX</v>
      </c>
    </row>
    <row r="16" spans="1:18" ht="40.5">
      <c r="A16" s="2552"/>
      <c r="B16" s="1240" t="s">
        <v>1667</v>
      </c>
      <c r="C16" s="1241" t="str">
        <f>C4</f>
        <v>估价对象位于XX商圈，周边商业氛围成熟，人流量大，商业繁华度好</v>
      </c>
      <c r="D16" s="1993"/>
      <c r="E16" s="2549"/>
      <c r="F16" s="1242" t="s">
        <v>1668</v>
      </c>
      <c r="G16" s="1004" t="str">
        <f>G4</f>
        <v>估价对象周边道路状况、公共交通通达情况、停车便捷程度，综合评价交通便捷度较好</v>
      </c>
    </row>
    <row r="17" spans="1:7" ht="40.5">
      <c r="A17" s="2552"/>
      <c r="B17" s="1240" t="s">
        <v>1669</v>
      </c>
      <c r="C17" s="1241" t="str">
        <f>C5</f>
        <v>估价对象位于XX商圈，周边办公楼项目较多，入驻率高，办公集聚程度较好</v>
      </c>
      <c r="D17" s="1994"/>
      <c r="E17" s="2549"/>
      <c r="F17" s="1242" t="s">
        <v>1674</v>
      </c>
      <c r="G17" s="2749"/>
    </row>
    <row r="18" spans="1:7" ht="54">
      <c r="A18" s="2552"/>
      <c r="B18" s="1242" t="s">
        <v>1655</v>
      </c>
      <c r="C18" s="1004" t="str">
        <f>C6</f>
        <v>估价对象周边道路状况、公共交通通达情况、停车便捷程度，综合评价交通便捷度较好</v>
      </c>
      <c r="D18" s="1994"/>
      <c r="E18" s="2549"/>
      <c r="F18" s="1242" t="s">
        <v>1670</v>
      </c>
      <c r="G18" s="1004" t="str">
        <f>G7</f>
        <v>该园区内是否有污染型企业，绿化情况，卫生条件，整体环境状况判断</v>
      </c>
    </row>
    <row r="19" spans="1:7" ht="27">
      <c r="A19" s="2552"/>
      <c r="B19" s="1242" t="s">
        <v>1659</v>
      </c>
      <c r="C19" s="2749"/>
      <c r="D19" s="1993"/>
      <c r="E19" s="2549"/>
      <c r="F19" s="1226" t="s">
        <v>2546</v>
      </c>
      <c r="G19" s="1004" t="str">
        <f>G5</f>
        <v>估价对象所在区域公共配套设施齐备情况</v>
      </c>
    </row>
    <row r="20" spans="1:7" ht="40.5">
      <c r="A20" s="2552"/>
      <c r="B20" s="1242" t="s">
        <v>1660</v>
      </c>
      <c r="C20" s="1241" t="str">
        <f>C9</f>
        <v>区域自然环境：；人文环境；综合评价环境状况一般</v>
      </c>
      <c r="D20" s="1994"/>
      <c r="E20" s="2549"/>
      <c r="F20" s="1226" t="s">
        <v>2547</v>
      </c>
      <c r="G20" s="1004" t="str">
        <f>G6</f>
        <v>估价对象所在区域基础设施水平</v>
      </c>
    </row>
    <row r="21" spans="1:7" ht="27">
      <c r="A21" s="2552"/>
      <c r="B21" s="1226" t="s">
        <v>2546</v>
      </c>
      <c r="C21" s="1004" t="str">
        <f>C7</f>
        <v>估价对象所在区域公共配套设施齐备情况</v>
      </c>
      <c r="D21" s="1993"/>
      <c r="E21" s="2549"/>
      <c r="F21" s="1242" t="s">
        <v>1661</v>
      </c>
      <c r="G21" s="3038"/>
    </row>
    <row r="22" spans="1:7" ht="27">
      <c r="A22" s="2552"/>
      <c r="B22" s="1226" t="s">
        <v>2547</v>
      </c>
      <c r="C22" s="1004" t="str">
        <f>C8</f>
        <v>估价对象所在区域基础设施水平</v>
      </c>
      <c r="D22" s="1993"/>
      <c r="E22" s="2549"/>
      <c r="F22" s="1242" t="s">
        <v>1671</v>
      </c>
      <c r="G22" s="2749"/>
    </row>
    <row r="23" spans="1:7" ht="15" thickBot="1">
      <c r="A23" s="2552"/>
      <c r="B23" s="1242" t="s">
        <v>1661</v>
      </c>
      <c r="C23" s="3038"/>
      <c r="E23" s="2550"/>
      <c r="F23" s="1243" t="s">
        <v>1675</v>
      </c>
      <c r="G23" s="3039"/>
    </row>
    <row r="24" spans="1:7" ht="14.2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2843</v>
      </c>
      <c r="B1" s="2996">
        <f>SUM(B14:B23)</f>
        <v>182200</v>
      </c>
      <c r="C1" s="2997"/>
      <c r="D1" s="2997"/>
      <c r="E1" s="2997"/>
      <c r="F1" s="2997"/>
    </row>
    <row r="2" spans="1:9" ht="16.5">
      <c r="A2" s="2996" t="s">
        <v>2844</v>
      </c>
      <c r="B2" s="2996">
        <f>SUM(C14:C23)</f>
        <v>303666</v>
      </c>
      <c r="C2" s="2997"/>
      <c r="D2" s="2997"/>
      <c r="E2" s="2997"/>
      <c r="F2" s="2997"/>
    </row>
    <row r="3" spans="1:9" ht="16.5">
      <c r="A3" s="2996" t="s">
        <v>2845</v>
      </c>
      <c r="B3" s="2998">
        <f>项目基本情况!D3</f>
        <v>43646</v>
      </c>
      <c r="C3" s="2997"/>
      <c r="D3" s="2997"/>
      <c r="E3" s="2997"/>
      <c r="F3" s="2997"/>
    </row>
    <row r="4" spans="1:9" ht="33">
      <c r="A4" s="2996" t="s">
        <v>2846</v>
      </c>
      <c r="B4" s="2996" t="s">
        <v>2847</v>
      </c>
      <c r="C4" s="2996" t="s">
        <v>2848</v>
      </c>
      <c r="D4" s="2996" t="s">
        <v>2849</v>
      </c>
      <c r="E4" s="2997"/>
      <c r="F4" s="2997"/>
    </row>
    <row r="5" spans="1:9" ht="16.5">
      <c r="A5" s="2996" t="s">
        <v>2850</v>
      </c>
      <c r="B5" s="2996">
        <f ca="1">SUM(D14:D23)</f>
        <v>14834</v>
      </c>
      <c r="C5" s="2996">
        <f ca="1">ROUND(B5*10000/$B$1,0)</f>
        <v>814</v>
      </c>
      <c r="D5" s="2996">
        <f ca="1">ROUND(B5*10000/$B$2,0)</f>
        <v>488</v>
      </c>
      <c r="E5" s="2997"/>
      <c r="F5" s="2997"/>
    </row>
    <row r="6" spans="1:9" ht="16.5">
      <c r="A6" s="2996" t="s">
        <v>2851</v>
      </c>
      <c r="B6" s="2996">
        <f>SUM(G14:G23)</f>
        <v>0</v>
      </c>
      <c r="C6" s="2996">
        <f t="shared" ref="C6:C8" si="0">ROUND(B6*10000/$B$1,0)</f>
        <v>0</v>
      </c>
      <c r="D6" s="2996">
        <f t="shared" ref="D6:D8" si="1">ROUND(B6*10000/$B$2,0)</f>
        <v>0</v>
      </c>
      <c r="E6" s="2997"/>
      <c r="F6" s="2997"/>
    </row>
    <row r="7" spans="1:9" ht="16.5">
      <c r="A7" s="2996" t="s">
        <v>2852</v>
      </c>
      <c r="B7" s="2996">
        <f>SUM(H14:H23)</f>
        <v>0</v>
      </c>
      <c r="C7" s="2996">
        <f t="shared" si="0"/>
        <v>0</v>
      </c>
      <c r="D7" s="2996">
        <f t="shared" si="1"/>
        <v>0</v>
      </c>
      <c r="E7" s="2997"/>
      <c r="F7" s="2997"/>
    </row>
    <row r="8" spans="1:9" ht="16.5">
      <c r="A8" s="2996" t="s">
        <v>2853</v>
      </c>
      <c r="B8" s="2996">
        <f>SUM(I14:I23)</f>
        <v>0</v>
      </c>
      <c r="C8" s="2996">
        <f t="shared" si="0"/>
        <v>0</v>
      </c>
      <c r="D8" s="2996">
        <f t="shared" si="1"/>
        <v>0</v>
      </c>
      <c r="E8" s="2997"/>
      <c r="F8" s="2997"/>
    </row>
    <row r="9" spans="1:9" ht="16.5">
      <c r="A9" s="2996" t="s">
        <v>2854</v>
      </c>
      <c r="B9" s="2999"/>
      <c r="C9" s="2997"/>
      <c r="D9" s="2997"/>
      <c r="E9" s="2997"/>
      <c r="F9" s="2997"/>
    </row>
    <row r="10" spans="1:9" ht="16.5">
      <c r="A10" s="2996" t="s">
        <v>2855</v>
      </c>
      <c r="B10" s="2999"/>
      <c r="C10" s="2997"/>
      <c r="D10" s="2997"/>
      <c r="E10" s="2997"/>
      <c r="F10" s="2997"/>
    </row>
    <row r="11" spans="1:9" ht="16.5">
      <c r="A11" s="2996" t="s">
        <v>2872</v>
      </c>
      <c r="B11" s="2999"/>
      <c r="C11" s="2997"/>
      <c r="D11" s="2997"/>
      <c r="E11" s="2997"/>
      <c r="F11" s="2997"/>
    </row>
    <row r="12" spans="1:9" ht="16.5">
      <c r="A12" s="2997"/>
      <c r="B12" s="2997"/>
      <c r="C12" s="2997"/>
      <c r="D12" s="2997"/>
      <c r="E12" s="2997"/>
      <c r="F12" s="2997"/>
    </row>
    <row r="13" spans="1:9" ht="33">
      <c r="A13" s="3002" t="s">
        <v>2871</v>
      </c>
      <c r="B13" s="3000" t="s">
        <v>2843</v>
      </c>
      <c r="C13" s="3000" t="s">
        <v>2844</v>
      </c>
      <c r="D13" s="3000" t="s">
        <v>2856</v>
      </c>
      <c r="E13" s="2996" t="s">
        <v>2870</v>
      </c>
      <c r="F13" s="2996" t="s">
        <v>2849</v>
      </c>
      <c r="G13" s="3000" t="s">
        <v>2857</v>
      </c>
      <c r="H13" s="3000" t="s">
        <v>2858</v>
      </c>
      <c r="I13" s="3000" t="s">
        <v>2859</v>
      </c>
    </row>
    <row r="14" spans="1:9" ht="16.5">
      <c r="A14" s="3003" t="s">
        <v>2869</v>
      </c>
      <c r="B14" s="3000">
        <f>结果表!L38</f>
        <v>182200</v>
      </c>
      <c r="C14" s="3000">
        <f>结果表!K38</f>
        <v>303666</v>
      </c>
      <c r="D14" s="3000">
        <f ca="1">结果表!C42</f>
        <v>14834</v>
      </c>
      <c r="E14" s="3000">
        <f ca="1">ROUND(D14*10000/B14,0)</f>
        <v>814</v>
      </c>
      <c r="F14" s="3000">
        <f ca="1">ROUND(D14*10000/C14,0)</f>
        <v>488</v>
      </c>
      <c r="G14" s="3000" t="str">
        <f>结果表!C44</f>
        <v>——</v>
      </c>
      <c r="H14" s="3000" t="str">
        <f>结果表!C45</f>
        <v>——</v>
      </c>
      <c r="I14" s="3000" t="str">
        <f>结果表!C46</f>
        <v>——</v>
      </c>
    </row>
    <row r="15" spans="1:9" ht="16.5">
      <c r="A15" s="3003" t="s">
        <v>2860</v>
      </c>
      <c r="B15" s="3004"/>
      <c r="C15" s="3004"/>
      <c r="D15" s="3004"/>
      <c r="E15" s="3000" t="e">
        <f t="shared" ref="E15:E23" si="2">ROUND(D15*10000/B15,0)</f>
        <v>#DIV/0!</v>
      </c>
      <c r="F15" s="3000" t="e">
        <f t="shared" ref="F15:F23" si="3">ROUND(D15*10000/C15,0)</f>
        <v>#DIV/0!</v>
      </c>
      <c r="G15" s="3001"/>
      <c r="H15" s="3001"/>
      <c r="I15" s="3004"/>
    </row>
    <row r="16" spans="1:9" ht="16.5">
      <c r="A16" s="3003" t="s">
        <v>2861</v>
      </c>
      <c r="B16" s="3004"/>
      <c r="C16" s="3004"/>
      <c r="D16" s="3004"/>
      <c r="E16" s="3000" t="e">
        <f t="shared" si="2"/>
        <v>#DIV/0!</v>
      </c>
      <c r="F16" s="3000" t="e">
        <f t="shared" si="3"/>
        <v>#DIV/0!</v>
      </c>
      <c r="G16" s="3001"/>
      <c r="H16" s="3001"/>
      <c r="I16" s="3004"/>
    </row>
    <row r="17" spans="1:9" ht="16.5">
      <c r="A17" s="3003" t="s">
        <v>2862</v>
      </c>
      <c r="B17" s="3004"/>
      <c r="C17" s="3004"/>
      <c r="D17" s="3004"/>
      <c r="E17" s="3000" t="e">
        <f t="shared" si="2"/>
        <v>#DIV/0!</v>
      </c>
      <c r="F17" s="3000" t="e">
        <f t="shared" si="3"/>
        <v>#DIV/0!</v>
      </c>
      <c r="G17" s="3001"/>
      <c r="H17" s="3001"/>
      <c r="I17" s="3004"/>
    </row>
    <row r="18" spans="1:9" ht="16.5">
      <c r="A18" s="3003" t="s">
        <v>2863</v>
      </c>
      <c r="B18" s="3004"/>
      <c r="C18" s="3004"/>
      <c r="D18" s="3004"/>
      <c r="E18" s="3000" t="e">
        <f t="shared" si="2"/>
        <v>#DIV/0!</v>
      </c>
      <c r="F18" s="3000" t="e">
        <f t="shared" si="3"/>
        <v>#DIV/0!</v>
      </c>
      <c r="G18" s="3004"/>
      <c r="H18" s="3004"/>
      <c r="I18" s="3004"/>
    </row>
    <row r="19" spans="1:9" ht="16.5">
      <c r="A19" s="3003" t="s">
        <v>2864</v>
      </c>
      <c r="B19" s="3004"/>
      <c r="C19" s="3004"/>
      <c r="D19" s="3004"/>
      <c r="E19" s="3000" t="e">
        <f t="shared" si="2"/>
        <v>#DIV/0!</v>
      </c>
      <c r="F19" s="3000" t="e">
        <f t="shared" si="3"/>
        <v>#DIV/0!</v>
      </c>
      <c r="G19" s="3004"/>
      <c r="H19" s="3004"/>
      <c r="I19" s="3004"/>
    </row>
    <row r="20" spans="1:9" ht="16.5">
      <c r="A20" s="3003" t="s">
        <v>2865</v>
      </c>
      <c r="B20" s="3004"/>
      <c r="C20" s="3004"/>
      <c r="D20" s="3004"/>
      <c r="E20" s="3000" t="e">
        <f t="shared" si="2"/>
        <v>#DIV/0!</v>
      </c>
      <c r="F20" s="3000" t="e">
        <f t="shared" si="3"/>
        <v>#DIV/0!</v>
      </c>
      <c r="G20" s="3004"/>
      <c r="H20" s="3004"/>
      <c r="I20" s="3004"/>
    </row>
    <row r="21" spans="1:9" ht="16.5">
      <c r="A21" s="3003" t="s">
        <v>2866</v>
      </c>
      <c r="B21" s="3004"/>
      <c r="C21" s="3004"/>
      <c r="D21" s="3004"/>
      <c r="E21" s="3000" t="e">
        <f t="shared" si="2"/>
        <v>#DIV/0!</v>
      </c>
      <c r="F21" s="3000" t="e">
        <f t="shared" si="3"/>
        <v>#DIV/0!</v>
      </c>
      <c r="G21" s="3004"/>
      <c r="H21" s="3004"/>
      <c r="I21" s="3004"/>
    </row>
    <row r="22" spans="1:9" ht="16.5">
      <c r="A22" s="3003" t="s">
        <v>2867</v>
      </c>
      <c r="B22" s="3004"/>
      <c r="C22" s="3004"/>
      <c r="D22" s="3004"/>
      <c r="E22" s="3000" t="e">
        <f t="shared" si="2"/>
        <v>#DIV/0!</v>
      </c>
      <c r="F22" s="3000" t="e">
        <f t="shared" si="3"/>
        <v>#DIV/0!</v>
      </c>
      <c r="G22" s="3004"/>
      <c r="H22" s="3004"/>
      <c r="I22" s="3004"/>
    </row>
    <row r="23" spans="1:9" ht="16.5">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G19" sqref="G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2055</v>
      </c>
      <c r="B1" s="1761"/>
      <c r="C1" s="1789" t="s">
        <v>2056</v>
      </c>
      <c r="D1" s="1790" t="s">
        <v>3003</v>
      </c>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89" t="str">
        <f>项目基本情况!K2</f>
        <v>北京市出让国有建设用地使用权</v>
      </c>
      <c r="B2" s="3390"/>
      <c r="C2" s="3391"/>
      <c r="D2" s="3391"/>
      <c r="E2" s="3391"/>
      <c r="F2" s="3391"/>
      <c r="G2" s="3390"/>
      <c r="H2" s="3390"/>
      <c r="I2" s="3392"/>
      <c r="J2" s="2014"/>
      <c r="K2" s="2013"/>
      <c r="L2" s="2013"/>
      <c r="M2" s="2013"/>
      <c r="N2" s="2013"/>
      <c r="O2" s="2013"/>
      <c r="P2" s="2013"/>
      <c r="Q2" s="2013"/>
      <c r="R2" s="2013"/>
      <c r="S2" s="2013"/>
      <c r="T2" s="2013"/>
      <c r="U2" s="2013"/>
      <c r="V2" s="2013"/>
    </row>
    <row r="3" spans="1:22" ht="14.25">
      <c r="A3" s="3400" t="s">
        <v>298</v>
      </c>
      <c r="B3" s="3401"/>
      <c r="C3" s="3401"/>
      <c r="D3" s="3401"/>
      <c r="E3" s="3401"/>
      <c r="F3" s="3401"/>
      <c r="G3" s="3401"/>
      <c r="H3" s="3401"/>
      <c r="I3" s="3401"/>
      <c r="J3" s="2014"/>
      <c r="K3" s="2013"/>
      <c r="L3" s="2013"/>
      <c r="M3" s="2013"/>
      <c r="N3" s="2013"/>
      <c r="O3" s="2013"/>
      <c r="P3" s="2013"/>
      <c r="Q3" s="2013"/>
      <c r="R3" s="2013"/>
      <c r="S3" s="2013"/>
      <c r="T3" s="2013"/>
      <c r="U3" s="2013"/>
      <c r="V3" s="2013"/>
    </row>
    <row r="4" spans="1:22" ht="14.25">
      <c r="A4" s="258" t="s">
        <v>299</v>
      </c>
      <c r="B4" s="259" t="s">
        <v>300</v>
      </c>
      <c r="C4" s="260" t="s">
        <v>3248</v>
      </c>
      <c r="D4" s="260" t="s">
        <v>2952</v>
      </c>
      <c r="E4" s="3364" t="s">
        <v>301</v>
      </c>
      <c r="F4" s="3406"/>
      <c r="G4" s="3406"/>
      <c r="H4" s="3406"/>
      <c r="I4" s="3365"/>
      <c r="J4" s="2014"/>
      <c r="K4" s="2013"/>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393" t="s">
        <v>302</v>
      </c>
      <c r="B5" s="3394">
        <v>25</v>
      </c>
      <c r="C5" s="3402">
        <v>5</v>
      </c>
      <c r="D5" s="3405">
        <f>10-C5</f>
        <v>5</v>
      </c>
      <c r="E5" s="261" t="s">
        <v>303</v>
      </c>
      <c r="F5" s="262"/>
      <c r="G5" s="262"/>
      <c r="H5" s="262"/>
      <c r="I5" s="263"/>
      <c r="J5" s="2014"/>
      <c r="K5" s="2013"/>
      <c r="L5" s="2013"/>
      <c r="M5" s="2013"/>
      <c r="N5" s="2013"/>
      <c r="O5" s="2013"/>
      <c r="P5" s="2013"/>
      <c r="Q5" s="2013"/>
      <c r="R5" s="2013"/>
      <c r="S5" s="2013"/>
      <c r="T5" s="2013"/>
      <c r="U5" s="2013"/>
      <c r="V5" s="2013"/>
    </row>
    <row r="6" spans="1:22" ht="14.25">
      <c r="A6" s="3393"/>
      <c r="B6" s="3394"/>
      <c r="C6" s="3403"/>
      <c r="D6" s="3405"/>
      <c r="E6" s="261" t="s">
        <v>304</v>
      </c>
      <c r="F6" s="262"/>
      <c r="G6" s="262"/>
      <c r="H6" s="262"/>
      <c r="I6" s="263"/>
      <c r="J6" s="2014"/>
      <c r="K6" s="2013"/>
      <c r="L6" s="2013"/>
      <c r="M6" s="2013"/>
      <c r="N6" s="2013"/>
      <c r="O6" s="2013"/>
      <c r="P6" s="2013"/>
      <c r="Q6" s="2013"/>
      <c r="R6" s="2013"/>
      <c r="S6" s="2013"/>
      <c r="T6" s="2013"/>
      <c r="U6" s="2013"/>
      <c r="V6" s="2013"/>
    </row>
    <row r="7" spans="1:22" ht="14.25">
      <c r="A7" s="3393"/>
      <c r="B7" s="3394"/>
      <c r="C7" s="3404"/>
      <c r="D7" s="3405"/>
      <c r="E7" s="261" t="s">
        <v>305</v>
      </c>
      <c r="F7" s="262"/>
      <c r="G7" s="262"/>
      <c r="H7" s="262"/>
      <c r="I7" s="263"/>
      <c r="J7" s="2014"/>
      <c r="K7" s="2013"/>
      <c r="L7" s="2013"/>
      <c r="M7" s="2013"/>
      <c r="N7" s="2013"/>
      <c r="O7" s="2013"/>
      <c r="P7" s="2013"/>
      <c r="Q7" s="2013"/>
      <c r="R7" s="2013"/>
      <c r="S7" s="2013"/>
      <c r="T7" s="2013"/>
      <c r="U7" s="2013"/>
      <c r="V7" s="2013"/>
    </row>
    <row r="8" spans="1:22" ht="14.25">
      <c r="A8" s="3393" t="s">
        <v>306</v>
      </c>
      <c r="B8" s="3394">
        <v>15</v>
      </c>
      <c r="C8" s="3402"/>
      <c r="D8" s="3405"/>
      <c r="E8" s="261" t="s">
        <v>307</v>
      </c>
      <c r="F8" s="262"/>
      <c r="G8" s="262"/>
      <c r="H8" s="262"/>
      <c r="I8" s="263"/>
      <c r="J8" s="2014"/>
      <c r="K8" s="2013"/>
      <c r="L8" s="2013"/>
      <c r="M8" s="2013"/>
      <c r="N8" s="2013"/>
      <c r="O8" s="2013"/>
      <c r="P8" s="2013"/>
      <c r="Q8" s="2013"/>
      <c r="R8" s="2013"/>
      <c r="S8" s="2013"/>
      <c r="T8" s="2013"/>
      <c r="U8" s="2013"/>
      <c r="V8" s="2013"/>
    </row>
    <row r="9" spans="1:22" ht="14.25">
      <c r="A9" s="3393"/>
      <c r="B9" s="3394"/>
      <c r="C9" s="3404"/>
      <c r="D9" s="3405"/>
      <c r="E9" s="261" t="s">
        <v>308</v>
      </c>
      <c r="F9" s="262"/>
      <c r="G9" s="262"/>
      <c r="H9" s="262"/>
      <c r="I9" s="263"/>
      <c r="J9" s="2014"/>
      <c r="K9" s="2013"/>
      <c r="L9" s="2013"/>
      <c r="M9" s="2013"/>
      <c r="N9" s="2013"/>
      <c r="O9" s="2013"/>
      <c r="P9" s="2013"/>
      <c r="Q9" s="2013"/>
      <c r="R9" s="2013"/>
      <c r="S9" s="2013"/>
      <c r="T9" s="2013"/>
      <c r="U9" s="2013"/>
      <c r="V9" s="2013"/>
    </row>
    <row r="10" spans="1:22" ht="14.25">
      <c r="A10" s="3393" t="s">
        <v>309</v>
      </c>
      <c r="B10" s="3394">
        <v>15</v>
      </c>
      <c r="C10" s="3402"/>
      <c r="D10" s="3405"/>
      <c r="E10" s="261" t="s">
        <v>310</v>
      </c>
      <c r="F10" s="262"/>
      <c r="G10" s="262"/>
      <c r="H10" s="262"/>
      <c r="I10" s="263"/>
      <c r="J10" s="2014"/>
      <c r="K10" s="2013"/>
      <c r="L10" s="2013"/>
      <c r="M10" s="2013"/>
      <c r="N10" s="2013"/>
      <c r="O10" s="2013"/>
      <c r="P10" s="2013"/>
      <c r="Q10" s="2013"/>
      <c r="R10" s="2013"/>
      <c r="S10" s="2013"/>
      <c r="T10" s="2013"/>
      <c r="U10" s="2013"/>
      <c r="V10" s="2013"/>
    </row>
    <row r="11" spans="1:22" ht="14.25">
      <c r="A11" s="3393"/>
      <c r="B11" s="3394"/>
      <c r="C11" s="3404"/>
      <c r="D11" s="3405"/>
      <c r="E11" s="261" t="s">
        <v>311</v>
      </c>
      <c r="F11" s="262"/>
      <c r="G11" s="262"/>
      <c r="H11" s="262"/>
      <c r="I11" s="263"/>
      <c r="J11" s="2014"/>
      <c r="K11" s="2013"/>
      <c r="L11" s="2013"/>
      <c r="M11" s="2013"/>
      <c r="N11" s="2013"/>
      <c r="O11" s="2013"/>
      <c r="P11" s="2013"/>
      <c r="Q11" s="2013"/>
      <c r="R11" s="2013"/>
      <c r="S11" s="2013"/>
      <c r="T11" s="2013"/>
      <c r="U11" s="2013"/>
      <c r="V11" s="2013"/>
    </row>
    <row r="12" spans="1:22" ht="14.25">
      <c r="A12" s="3393" t="s">
        <v>312</v>
      </c>
      <c r="B12" s="3394">
        <v>15</v>
      </c>
      <c r="C12" s="3402"/>
      <c r="D12" s="3405"/>
      <c r="E12" s="261" t="s">
        <v>313</v>
      </c>
      <c r="F12" s="262"/>
      <c r="G12" s="262"/>
      <c r="H12" s="262"/>
      <c r="I12" s="263"/>
      <c r="J12" s="2014"/>
      <c r="K12" s="2013"/>
      <c r="L12" s="2013"/>
      <c r="M12" s="2013"/>
      <c r="N12" s="2013"/>
      <c r="O12" s="2013"/>
      <c r="P12" s="2013"/>
      <c r="Q12" s="2013"/>
      <c r="R12" s="2013"/>
      <c r="S12" s="2013"/>
      <c r="T12" s="2013"/>
      <c r="U12" s="2013"/>
      <c r="V12" s="2013"/>
    </row>
    <row r="13" spans="1:22" ht="14.25">
      <c r="A13" s="3393"/>
      <c r="B13" s="3394"/>
      <c r="C13" s="3404"/>
      <c r="D13" s="3405"/>
      <c r="E13" s="261" t="s">
        <v>314</v>
      </c>
      <c r="F13" s="262"/>
      <c r="G13" s="262"/>
      <c r="H13" s="262"/>
      <c r="I13" s="263"/>
      <c r="J13" s="2014"/>
      <c r="K13" s="2013"/>
      <c r="L13" s="2013"/>
      <c r="M13" s="2013"/>
      <c r="N13" s="2013"/>
      <c r="O13" s="2013"/>
      <c r="P13" s="2013"/>
      <c r="Q13" s="2013"/>
      <c r="R13" s="2013"/>
      <c r="S13" s="2013"/>
      <c r="T13" s="2013"/>
      <c r="U13" s="2013"/>
      <c r="V13" s="2013"/>
    </row>
    <row r="14" spans="1:22" ht="14.25">
      <c r="A14" s="3393" t="s">
        <v>315</v>
      </c>
      <c r="B14" s="3394">
        <v>30</v>
      </c>
      <c r="C14" s="3402"/>
      <c r="D14" s="3405"/>
      <c r="E14" s="261" t="s">
        <v>316</v>
      </c>
      <c r="F14" s="262"/>
      <c r="G14" s="262"/>
      <c r="H14" s="262"/>
      <c r="I14" s="263"/>
      <c r="J14" s="2014"/>
      <c r="K14" s="2013"/>
      <c r="L14" s="2013"/>
      <c r="M14" s="2013"/>
      <c r="N14" s="2013"/>
      <c r="O14" s="2013"/>
      <c r="P14" s="2013"/>
      <c r="Q14" s="2013"/>
      <c r="R14" s="2013"/>
      <c r="S14" s="2013"/>
      <c r="T14" s="2013"/>
      <c r="U14" s="2013"/>
      <c r="V14" s="2013"/>
    </row>
    <row r="15" spans="1:22" ht="14.25">
      <c r="A15" s="3393"/>
      <c r="B15" s="3394"/>
      <c r="C15" s="3403"/>
      <c r="D15" s="3405"/>
      <c r="E15" s="261" t="s">
        <v>317</v>
      </c>
      <c r="F15" s="262"/>
      <c r="G15" s="262"/>
      <c r="H15" s="262"/>
      <c r="I15" s="263"/>
      <c r="J15" s="2014"/>
      <c r="K15" s="2013"/>
      <c r="L15" s="2013"/>
      <c r="M15" s="2013"/>
      <c r="N15" s="2013"/>
      <c r="O15" s="2013"/>
      <c r="P15" s="2013"/>
      <c r="Q15" s="2013"/>
      <c r="R15" s="2013"/>
      <c r="S15" s="2013"/>
      <c r="T15" s="2013"/>
      <c r="U15" s="2013"/>
      <c r="V15" s="2013"/>
    </row>
    <row r="16" spans="1:22" ht="14.25">
      <c r="A16" s="3393"/>
      <c r="B16" s="3394"/>
      <c r="C16" s="3404"/>
      <c r="D16" s="3405"/>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15365</v>
      </c>
      <c r="D19" s="271">
        <f ca="1">SUMIF(INDIRECT("'"&amp;D4&amp;"'"&amp;"!A:A"),结果表!B19,INDIRECT("'"&amp;D4&amp;"'"&amp;"!B:B"))</f>
        <v>14303</v>
      </c>
      <c r="E19" s="268" t="s">
        <v>323</v>
      </c>
      <c r="F19" s="269" t="s">
        <v>322</v>
      </c>
      <c r="G19" s="272">
        <f ca="1">ROUND(C19*$C$18+D19*$D$18,0)</f>
        <v>14834</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843</v>
      </c>
      <c r="D20" s="277">
        <f ca="1">SUMIF(INDIRECT("'"&amp;D4&amp;"'"&amp;"!A:A"),结果表!B20,INDIRECT("'"&amp;D4&amp;"'"&amp;"!B:B"))</f>
        <v>785</v>
      </c>
      <c r="E20" s="274"/>
      <c r="F20" s="275" t="s">
        <v>325</v>
      </c>
      <c r="G20" s="278">
        <f ca="1">ROUND(C20*$C$18+D20*$D$18,0)</f>
        <v>814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506</v>
      </c>
      <c r="D21" s="151">
        <f ca="1">SUMIF(INDIRECT("'"&amp;D4&amp;"'"&amp;"!A:A"),结果表!B21,INDIRECT("'"&amp;D4&amp;"'"&amp;"!B:B"))</f>
        <v>471</v>
      </c>
      <c r="E21" s="274"/>
      <c r="F21" s="280" t="s">
        <v>327</v>
      </c>
      <c r="G21" s="282">
        <f ca="1">ROUND(C21*$C$18+D21*$D$18,0)</f>
        <v>489</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7.4250157309655229E-2</v>
      </c>
      <c r="E22" s="284"/>
      <c r="F22" s="285"/>
      <c r="G22" s="286">
        <f ca="1">ROUND(G19/('数据-汇总表'!D3/666.67),0)</f>
        <v>33</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66"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408"/>
      <c r="B25" s="1316" t="s">
        <v>331</v>
      </c>
      <c r="C25" s="290">
        <f>IF(B30=0,0,C30)</f>
        <v>0</v>
      </c>
      <c r="D25" s="291"/>
      <c r="E25" s="311"/>
      <c r="F25" s="311"/>
      <c r="G25" s="311"/>
      <c r="H25" s="311"/>
      <c r="I25" s="311"/>
      <c r="J25" s="2013"/>
      <c r="K25" s="1250" t="str">
        <f ca="1">项目基本情况!B16&amp;"国有建设用地使用权价格："&amp;O38&amp;"万元"</f>
        <v>出让国有建设用地使用权价格：14834万元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大写金额：人民币壹亿肆仟捌佰叁拾肆万元整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单位面积地价：488元/平方米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楼面地价：814元/平方米</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3081" t="s">
        <v>336</v>
      </c>
      <c r="B30" s="309"/>
      <c r="C30" s="309"/>
      <c r="D30" s="310"/>
      <c r="E30" s="3082" t="s">
        <v>2969</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1688</v>
      </c>
      <c r="C32" s="1378">
        <f ca="1">G19-C24</f>
        <v>14834</v>
      </c>
      <c r="D32" s="1379" t="s">
        <v>1689</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1690</v>
      </c>
      <c r="C33" s="264">
        <f ca="1">ROUND(C32*10000/'数据-汇总表'!E3,0)</f>
        <v>814</v>
      </c>
      <c r="D33" s="1381" t="s">
        <v>1691</v>
      </c>
      <c r="E33" s="3366"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1692</v>
      </c>
      <c r="C34" s="264">
        <f ca="1">ROUND(C32*10000/'数据-汇总表'!D3,0)</f>
        <v>488</v>
      </c>
      <c r="D34" s="1383" t="s">
        <v>1691</v>
      </c>
      <c r="E34" s="3367"/>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33</v>
      </c>
      <c r="D35" s="1386" t="s">
        <v>1693</v>
      </c>
      <c r="E35" s="3368"/>
      <c r="F35" s="301" t="s">
        <v>342</v>
      </c>
      <c r="G35" s="981"/>
      <c r="H35" s="980" t="s">
        <v>343</v>
      </c>
      <c r="I35" s="311"/>
      <c r="J35" s="2013"/>
      <c r="K35" s="3372" t="s">
        <v>350</v>
      </c>
      <c r="L35" s="3372" t="s">
        <v>351</v>
      </c>
      <c r="M35" s="1259" t="s">
        <v>352</v>
      </c>
      <c r="N35" s="3372" t="s">
        <v>353</v>
      </c>
      <c r="O35" s="3372" t="s">
        <v>354</v>
      </c>
      <c r="P35" s="2013"/>
      <c r="V35" s="2013"/>
    </row>
    <row r="36" spans="1:26" ht="16.5" customHeight="1">
      <c r="A36" s="303" t="s">
        <v>344</v>
      </c>
      <c r="B36" s="304" t="s">
        <v>333</v>
      </c>
      <c r="C36" s="305" t="s">
        <v>345</v>
      </c>
      <c r="D36" s="305" t="s">
        <v>346</v>
      </c>
      <c r="E36" s="306" t="s">
        <v>347</v>
      </c>
      <c r="F36" s="311"/>
      <c r="G36" s="311"/>
      <c r="H36" s="311"/>
      <c r="I36" s="311"/>
      <c r="J36" s="2015"/>
      <c r="K36" s="3373"/>
      <c r="L36" s="3373"/>
      <c r="M36" s="1261" t="s">
        <v>355</v>
      </c>
      <c r="N36" s="3373"/>
      <c r="O36" s="3373"/>
      <c r="P36" s="2013"/>
      <c r="V36" s="2013"/>
    </row>
    <row r="37" spans="1:26" ht="16.5" customHeight="1" thickBot="1">
      <c r="A37" s="1255" t="s">
        <v>348</v>
      </c>
      <c r="B37" s="307"/>
      <c r="C37" s="294"/>
      <c r="D37" s="294"/>
      <c r="E37" s="295"/>
      <c r="F37" s="311"/>
      <c r="G37" s="311"/>
      <c r="H37" s="311"/>
      <c r="I37" s="311"/>
      <c r="J37" s="2015"/>
      <c r="K37" s="3374"/>
      <c r="L37" s="3374"/>
      <c r="M37" s="1262"/>
      <c r="N37" s="3374"/>
      <c r="O37" s="3374"/>
      <c r="P37" s="2013"/>
      <c r="V37" s="2013"/>
    </row>
    <row r="38" spans="1:26" ht="16.5" customHeight="1" thickBot="1">
      <c r="A38" s="1255" t="s">
        <v>349</v>
      </c>
      <c r="B38" s="307"/>
      <c r="C38" s="294"/>
      <c r="D38" s="294"/>
      <c r="E38" s="295"/>
      <c r="F38" s="311"/>
      <c r="G38" s="311"/>
      <c r="H38" s="311"/>
      <c r="I38" s="311"/>
      <c r="J38" s="2015"/>
      <c r="K38" s="1263">
        <f>'数据-汇总表'!D3</f>
        <v>303666</v>
      </c>
      <c r="L38" s="1264">
        <f>'数据-汇总表'!E3</f>
        <v>182200</v>
      </c>
      <c r="M38" s="1264">
        <f ca="1">C34</f>
        <v>488</v>
      </c>
      <c r="N38" s="1264">
        <f ca="1">C33</f>
        <v>814</v>
      </c>
      <c r="O38" s="1265">
        <f ca="1">C32</f>
        <v>14834</v>
      </c>
      <c r="P38" s="2013"/>
      <c r="V38" s="2013"/>
    </row>
    <row r="39" spans="1:26" ht="16.5" customHeight="1" thickBot="1">
      <c r="A39" s="1260"/>
      <c r="B39" s="308"/>
      <c r="C39" s="309"/>
      <c r="D39" s="309"/>
      <c r="E39" s="310"/>
      <c r="F39" s="311"/>
      <c r="G39" s="311"/>
      <c r="H39" s="311"/>
      <c r="I39" s="311"/>
      <c r="J39" s="2015"/>
      <c r="K39" s="3349" t="str">
        <f>MID(A44,3,LEN(A44)-2)</f>
        <v/>
      </c>
      <c r="L39" s="3350"/>
      <c r="M39" s="3350"/>
      <c r="N39" s="3351"/>
      <c r="O39" s="1388" t="str">
        <f>C44</f>
        <v>——</v>
      </c>
      <c r="P39" s="2013"/>
      <c r="V39" s="2013"/>
    </row>
    <row r="40" spans="1:26" ht="19.5" thickBot="1">
      <c r="A40" s="104" t="s">
        <v>873</v>
      </c>
      <c r="B40" s="311"/>
      <c r="C40" s="311"/>
      <c r="D40" s="311"/>
      <c r="E40" s="311"/>
      <c r="F40" s="311"/>
      <c r="G40" s="311"/>
      <c r="H40" s="311"/>
      <c r="I40" s="311"/>
      <c r="J40" s="2015"/>
      <c r="K40" s="3349" t="str">
        <f t="shared" ref="K40:K41" si="0">MID(A45,3,LEN(A45)-2)</f>
        <v/>
      </c>
      <c r="L40" s="3350"/>
      <c r="M40" s="3350"/>
      <c r="N40" s="3351"/>
      <c r="O40" s="1388" t="str">
        <f>C45</f>
        <v>——</v>
      </c>
      <c r="P40" s="2013"/>
      <c r="V40" s="2013"/>
    </row>
    <row r="41" spans="1:26" ht="16.5" thickBot="1">
      <c r="A41" s="312" t="s">
        <v>356</v>
      </c>
      <c r="B41" s="313"/>
      <c r="C41" s="314" t="s">
        <v>357</v>
      </c>
      <c r="D41" s="315" t="s">
        <v>358</v>
      </c>
      <c r="E41" s="315" t="s">
        <v>359</v>
      </c>
      <c r="F41" s="316" t="s">
        <v>360</v>
      </c>
      <c r="G41" s="311"/>
      <c r="H41" s="311"/>
      <c r="I41" s="311"/>
      <c r="J41" s="2015"/>
      <c r="K41" s="3349" t="str">
        <f t="shared" si="0"/>
        <v/>
      </c>
      <c r="L41" s="3350"/>
      <c r="M41" s="3350"/>
      <c r="N41" s="3351"/>
      <c r="O41" s="1388" t="str">
        <f>C46</f>
        <v>——</v>
      </c>
      <c r="P41" s="2013"/>
      <c r="V41" s="2013"/>
    </row>
    <row r="42" spans="1:26" ht="29.25">
      <c r="A42" s="3409" t="s">
        <v>2067</v>
      </c>
      <c r="B42" s="3410"/>
      <c r="C42" s="264">
        <f ca="1">C32</f>
        <v>14834</v>
      </c>
      <c r="D42" s="317">
        <f ca="1">C33</f>
        <v>814</v>
      </c>
      <c r="E42" s="317">
        <f ca="1">C34</f>
        <v>488</v>
      </c>
      <c r="F42" s="318">
        <f ca="1">C35</f>
        <v>33</v>
      </c>
      <c r="G42" s="311"/>
      <c r="H42" s="311"/>
      <c r="I42" s="319"/>
      <c r="J42" s="2015"/>
      <c r="K42" s="1266" t="s">
        <v>361</v>
      </c>
      <c r="L42" s="2032" t="s">
        <v>362</v>
      </c>
      <c r="M42" s="1267" t="s">
        <v>363</v>
      </c>
      <c r="N42" s="2033" t="s">
        <v>364</v>
      </c>
      <c r="O42" s="2034" t="s">
        <v>365</v>
      </c>
      <c r="P42" s="2013"/>
      <c r="V42" s="2013"/>
    </row>
    <row r="43" spans="1:26" ht="30">
      <c r="A43" s="3419" t="s">
        <v>2730</v>
      </c>
      <c r="B43" s="3420"/>
      <c r="C43" s="264">
        <f>IF(H33="正常操作",G33+G34+G35,G34+G35)</f>
        <v>0</v>
      </c>
      <c r="D43" s="317" t="s">
        <v>43</v>
      </c>
      <c r="E43" s="317" t="s">
        <v>44</v>
      </c>
      <c r="F43" s="318" t="s">
        <v>44</v>
      </c>
      <c r="G43" s="2821" t="s">
        <v>952</v>
      </c>
      <c r="H43" s="311"/>
      <c r="I43" s="319"/>
      <c r="J43" s="2015"/>
      <c r="K43" s="1268" t="str">
        <f>C4</f>
        <v>剩余法-待开发</v>
      </c>
      <c r="L43" s="1269">
        <f ca="1">IF(L42="估价结果/万元",C19,C20)</f>
        <v>15365</v>
      </c>
      <c r="M43" s="1270">
        <f>C18</f>
        <v>0.5</v>
      </c>
      <c r="N43" s="1271">
        <f ca="1">IF(N42="测算结果/万元",G19,G20)</f>
        <v>14834</v>
      </c>
      <c r="O43" s="1272">
        <f ca="1">IF(O42="最终结果/万元",C32,C33)</f>
        <v>14834</v>
      </c>
      <c r="P43" s="2013"/>
      <c r="V43" s="2013"/>
    </row>
    <row r="44" spans="1:26" ht="18.75" thickBot="1">
      <c r="A44" s="3409" t="str">
        <f>IF(OR(项目基本情况!E8="抵押价格",项目基本情况!E8="已注销及未注销"),"3.抵押价格","——")</f>
        <v>——</v>
      </c>
      <c r="B44" s="3410"/>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基准地价</v>
      </c>
      <c r="L44" s="1274">
        <f ca="1">IF(L42="估价结果/万元",D19,D20)</f>
        <v>14303</v>
      </c>
      <c r="M44" s="1275">
        <f>D18</f>
        <v>0.5</v>
      </c>
      <c r="N44" s="1276"/>
      <c r="O44" s="1277"/>
      <c r="P44" s="2013"/>
      <c r="V44" s="2013"/>
    </row>
    <row r="45" spans="1:26" ht="15">
      <c r="A45" s="3414" t="str">
        <f>IF(项目基本情况!E8="已注销及未注销","4.抵押担保权已注销时的抵押价格",IF(项目基本情况!E8="已注销","3.抵押担保权已注销时的抵押价格","——"))</f>
        <v>——</v>
      </c>
      <c r="B45" s="3415"/>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411" t="str">
        <f>IF(项目基本情况!E9="抵押净值",IF(A45="——","4.抵押净值","5.抵押净值"),"——")</f>
        <v>——</v>
      </c>
      <c r="B46" s="3412"/>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77" t="s">
        <v>374</v>
      </c>
      <c r="B63" s="3378"/>
      <c r="C63" s="3379"/>
      <c r="D63" s="341">
        <f ca="1">ROUND(C42*F63,0)</f>
        <v>8900</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416" t="s">
        <v>378</v>
      </c>
      <c r="B64" s="3417"/>
      <c r="C64" s="3417"/>
      <c r="D64" s="3417"/>
      <c r="E64" s="3417"/>
      <c r="F64" s="3417"/>
      <c r="G64" s="3418"/>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413" t="s">
        <v>386</v>
      </c>
      <c r="B66" s="3384"/>
      <c r="C66" s="3384"/>
      <c r="D66" s="261">
        <f ca="1">IF(H66="情况1",0,IF(H66="情况2",D70,IF(H66="情况3",D71,IF(H66="情况4",D72))))</f>
        <v>466</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353" t="s">
        <v>385</v>
      </c>
      <c r="M66" s="3354"/>
      <c r="N66" s="2422"/>
      <c r="O66" s="2423"/>
      <c r="P66" s="2424"/>
      <c r="Q66" s="2013"/>
      <c r="R66" s="2013"/>
      <c r="S66" s="2013"/>
      <c r="T66" s="2013"/>
      <c r="U66" s="2013"/>
      <c r="V66" s="2013"/>
    </row>
    <row r="67" spans="1:22" ht="25.5" customHeight="1">
      <c r="A67" s="352" t="s">
        <v>390</v>
      </c>
      <c r="B67" s="3396" t="s">
        <v>391</v>
      </c>
      <c r="C67" s="3396"/>
      <c r="D67" s="353">
        <v>0</v>
      </c>
      <c r="E67" s="41" t="s">
        <v>392</v>
      </c>
      <c r="F67" s="62" t="s">
        <v>21</v>
      </c>
      <c r="G67" s="3380"/>
      <c r="H67" s="311"/>
      <c r="I67" s="1287"/>
      <c r="J67" s="2020"/>
      <c r="K67" s="1961">
        <v>2</v>
      </c>
      <c r="L67" s="3352" t="s">
        <v>389</v>
      </c>
      <c r="M67" s="3352"/>
      <c r="N67" s="1320">
        <f>'数据-取费表'!B2</f>
        <v>43646</v>
      </c>
      <c r="O67" s="1320"/>
      <c r="P67" s="1320"/>
      <c r="Q67" s="2013"/>
      <c r="R67" s="2013"/>
      <c r="S67" s="2013"/>
      <c r="T67" s="2013"/>
      <c r="U67" s="2013"/>
      <c r="V67" s="2013"/>
    </row>
    <row r="68" spans="1:22" ht="25.5" customHeight="1">
      <c r="A68" s="354"/>
      <c r="B68" s="3396" t="s">
        <v>394</v>
      </c>
      <c r="C68" s="3396"/>
      <c r="D68" s="355"/>
      <c r="E68" s="77"/>
      <c r="F68" s="356"/>
      <c r="G68" s="3381"/>
      <c r="H68" s="311"/>
      <c r="I68" s="1287"/>
      <c r="J68" s="2020"/>
      <c r="K68" s="1961">
        <v>3</v>
      </c>
      <c r="L68" s="3352" t="s">
        <v>393</v>
      </c>
      <c r="M68" s="3352"/>
      <c r="N68" s="1288">
        <f ca="1">C42</f>
        <v>14834</v>
      </c>
      <c r="O68" s="1288"/>
      <c r="P68" s="1288"/>
      <c r="Q68" s="2013"/>
      <c r="R68" s="2013"/>
      <c r="S68" s="2013"/>
      <c r="T68" s="2013"/>
      <c r="U68" s="2013"/>
      <c r="V68" s="2013"/>
    </row>
    <row r="69" spans="1:22" ht="12" customHeight="1">
      <c r="A69" s="357"/>
      <c r="B69" s="3396" t="s">
        <v>395</v>
      </c>
      <c r="C69" s="3396"/>
      <c r="D69" s="358"/>
      <c r="E69" s="73"/>
      <c r="F69" s="356"/>
      <c r="G69" s="3382"/>
      <c r="H69" s="311"/>
      <c r="I69" s="1287"/>
      <c r="J69" s="2020"/>
      <c r="K69" s="1289">
        <v>4</v>
      </c>
      <c r="L69" s="3358" t="s">
        <v>2882</v>
      </c>
      <c r="M69" s="3359"/>
      <c r="N69" s="1290" t="str">
        <f>C44</f>
        <v>——</v>
      </c>
      <c r="O69" s="1290"/>
      <c r="P69" s="1290"/>
      <c r="Q69" s="2013"/>
      <c r="R69" s="2013"/>
      <c r="S69" s="2013"/>
      <c r="T69" s="2013"/>
      <c r="U69" s="2013"/>
      <c r="V69" s="2013"/>
    </row>
    <row r="70" spans="1:22" ht="24" customHeight="1">
      <c r="A70" s="359" t="s">
        <v>396</v>
      </c>
      <c r="B70" s="3396" t="s">
        <v>397</v>
      </c>
      <c r="C70" s="3396"/>
      <c r="D70" s="358">
        <f ca="1">ROUND(D63*'数据-取费表'!B41/(1+'数据-取费表'!C42),0)</f>
        <v>466</v>
      </c>
      <c r="E70" s="17" t="s">
        <v>398</v>
      </c>
      <c r="F70" s="360">
        <f>'数据-取费表'!B41</f>
        <v>5.5000000000000007E-2</v>
      </c>
      <c r="G70" s="361"/>
      <c r="H70" s="311"/>
      <c r="I70" s="1287"/>
      <c r="J70" s="2020"/>
      <c r="K70" s="3013"/>
      <c r="L70" s="3014"/>
      <c r="M70" s="3014"/>
      <c r="N70" s="3015" t="s">
        <v>2887</v>
      </c>
      <c r="O70" s="3014"/>
      <c r="P70" s="3016"/>
      <c r="Q70" s="2013"/>
      <c r="R70" s="2013"/>
      <c r="S70" s="2013"/>
      <c r="T70" s="2013"/>
      <c r="U70" s="2013"/>
      <c r="V70" s="2013"/>
    </row>
    <row r="71" spans="1:22" ht="12" customHeight="1">
      <c r="A71" s="359" t="s">
        <v>404</v>
      </c>
      <c r="B71" s="3395" t="s">
        <v>405</v>
      </c>
      <c r="C71" s="3407"/>
      <c r="D71" s="358">
        <f ca="1">ROUND(D63*'数据-取费表'!B41/(1+'数据-取费表'!C42),0)</f>
        <v>466</v>
      </c>
      <c r="E71" s="17" t="s">
        <v>398</v>
      </c>
      <c r="F71" s="360">
        <f>'数据-取费表'!B41</f>
        <v>5.5000000000000007E-2</v>
      </c>
      <c r="G71" s="361"/>
      <c r="H71" s="311"/>
      <c r="I71" s="1287"/>
      <c r="J71" s="2020"/>
      <c r="K71" s="3012" t="s">
        <v>399</v>
      </c>
      <c r="L71" s="3360" t="s">
        <v>400</v>
      </c>
      <c r="M71" s="3360"/>
      <c r="N71" s="3012" t="s">
        <v>401</v>
      </c>
      <c r="O71" s="3012" t="s">
        <v>402</v>
      </c>
      <c r="P71" s="3012" t="s">
        <v>403</v>
      </c>
      <c r="Q71" s="2013"/>
      <c r="R71" s="2013"/>
      <c r="S71" s="2013"/>
      <c r="T71" s="2013"/>
      <c r="U71" s="2013"/>
      <c r="V71" s="2013"/>
    </row>
    <row r="72" spans="1:22" ht="12" customHeight="1">
      <c r="A72" s="359" t="s">
        <v>407</v>
      </c>
      <c r="B72" s="3395" t="s">
        <v>408</v>
      </c>
      <c r="C72" s="3407"/>
      <c r="D72" s="358">
        <f ca="1">C86</f>
        <v>356</v>
      </c>
      <c r="E72" s="73" t="s">
        <v>409</v>
      </c>
      <c r="F72" s="360">
        <f>'数据-取费表'!B41</f>
        <v>5.5000000000000007E-2</v>
      </c>
      <c r="G72" s="361"/>
      <c r="H72" s="1293"/>
      <c r="I72" s="1287"/>
      <c r="J72" s="2020"/>
      <c r="K72" s="1961">
        <v>1</v>
      </c>
      <c r="L72" s="3357" t="s">
        <v>406</v>
      </c>
      <c r="M72" s="3357"/>
      <c r="N72" s="1291">
        <f ca="1">D66</f>
        <v>466</v>
      </c>
      <c r="O72" s="1844" t="str">
        <f>E66</f>
        <v>销售额×税（费）率</v>
      </c>
      <c r="P72" s="1292">
        <f>F66</f>
        <v>5.5000000000000007E-2</v>
      </c>
      <c r="Q72" s="2013"/>
      <c r="R72" s="2013"/>
      <c r="S72" s="2013"/>
      <c r="T72" s="2013"/>
      <c r="U72" s="2013"/>
      <c r="V72" s="2013"/>
    </row>
    <row r="73" spans="1:22" ht="24" customHeight="1">
      <c r="A73" s="3383" t="s">
        <v>411</v>
      </c>
      <c r="B73" s="3384"/>
      <c r="C73" s="3384"/>
      <c r="D73" s="362">
        <f>IF(H73="个人住宅",0,ROUND(D63*I73,0))</f>
        <v>0</v>
      </c>
      <c r="E73" s="17" t="s">
        <v>412</v>
      </c>
      <c r="F73" s="360" t="str">
        <f>IF(H73="正常",I73,"免征")</f>
        <v>免征</v>
      </c>
      <c r="G73" s="361"/>
      <c r="H73" s="191" t="s">
        <v>2455</v>
      </c>
      <c r="I73" s="360">
        <f>'数据-取费表'!B49</f>
        <v>5.0000000000000001E-4</v>
      </c>
      <c r="J73" s="2020"/>
      <c r="K73" s="1961">
        <v>2</v>
      </c>
      <c r="L73" s="3357" t="s">
        <v>410</v>
      </c>
      <c r="M73" s="3357"/>
      <c r="N73" s="1291">
        <f t="shared" ref="N73:P74" si="1">D73</f>
        <v>0</v>
      </c>
      <c r="O73" s="1844" t="str">
        <f t="shared" si="1"/>
        <v>销售额×税（费）率</v>
      </c>
      <c r="P73" s="1292" t="str">
        <f t="shared" si="1"/>
        <v>免征</v>
      </c>
      <c r="Q73" s="2013"/>
      <c r="R73" s="2013"/>
      <c r="S73" s="2013"/>
      <c r="T73" s="2013"/>
      <c r="U73" s="2013"/>
      <c r="V73" s="2013"/>
    </row>
    <row r="74" spans="1:22" ht="24.75">
      <c r="A74" s="3383" t="s">
        <v>415</v>
      </c>
      <c r="B74" s="3384"/>
      <c r="C74" s="3384"/>
      <c r="D74" s="362">
        <f ca="1">IF(H74="个人住宅",D75,D76)</f>
        <v>4390</v>
      </c>
      <c r="E74" s="17" t="s">
        <v>416</v>
      </c>
      <c r="F74" s="360" t="str">
        <f>IF(H74="正常",F76,"免征")</f>
        <v>——</v>
      </c>
      <c r="G74" s="982" t="s">
        <v>417</v>
      </c>
      <c r="H74" s="363" t="s">
        <v>413</v>
      </c>
      <c r="I74" s="42"/>
      <c r="J74" s="2020"/>
      <c r="K74" s="1961">
        <v>3</v>
      </c>
      <c r="L74" s="3357" t="s">
        <v>414</v>
      </c>
      <c r="M74" s="3357"/>
      <c r="N74" s="1291">
        <f t="shared" ca="1" si="1"/>
        <v>4390</v>
      </c>
      <c r="O74" s="1844" t="str">
        <f t="shared" si="1"/>
        <v>增值额×税（费）率</v>
      </c>
      <c r="P74" s="1294" t="str">
        <f t="shared" si="1"/>
        <v>——</v>
      </c>
      <c r="Q74" s="2013"/>
      <c r="R74" s="2013"/>
      <c r="S74" s="2013"/>
      <c r="T74" s="2013"/>
      <c r="U74" s="2013"/>
      <c r="V74" s="2013"/>
    </row>
    <row r="75" spans="1:22" ht="24">
      <c r="A75" s="359" t="s">
        <v>418</v>
      </c>
      <c r="B75" s="3364" t="s">
        <v>419</v>
      </c>
      <c r="C75" s="3365"/>
      <c r="D75" s="364">
        <v>0</v>
      </c>
      <c r="E75" s="41" t="s">
        <v>420</v>
      </c>
      <c r="F75" s="365"/>
      <c r="G75" s="361"/>
      <c r="H75" s="42"/>
      <c r="I75" s="42"/>
      <c r="J75" s="2020"/>
      <c r="K75" s="3005">
        <f>IF(H77="非个人房产","",4)</f>
        <v>4</v>
      </c>
      <c r="L75" s="3357" t="str">
        <f>IF(H77="非个人房产","——","个人所得税")</f>
        <v>个人所得税</v>
      </c>
      <c r="M75" s="3357"/>
      <c r="N75" s="1295">
        <f ca="1">D77</f>
        <v>89</v>
      </c>
      <c r="O75" s="1857" t="str">
        <f>E77</f>
        <v>销售额×税（费）率</v>
      </c>
      <c r="P75" s="1296">
        <f>F77</f>
        <v>0.01</v>
      </c>
      <c r="Q75" s="2013"/>
      <c r="R75" s="2013"/>
      <c r="S75" s="2013"/>
      <c r="T75" s="2013"/>
      <c r="U75" s="2013"/>
      <c r="V75" s="2013"/>
    </row>
    <row r="76" spans="1:22" ht="24.75">
      <c r="A76" s="359" t="s">
        <v>396</v>
      </c>
      <c r="B76" s="3364" t="s">
        <v>422</v>
      </c>
      <c r="C76" s="3406"/>
      <c r="D76" s="362">
        <f ca="1">IF(H76="转让取得",C99,C115)</f>
        <v>4390</v>
      </c>
      <c r="E76" s="17" t="s">
        <v>423</v>
      </c>
      <c r="F76" s="53" t="s">
        <v>21</v>
      </c>
      <c r="G76" s="361"/>
      <c r="H76" s="363" t="s">
        <v>424</v>
      </c>
      <c r="I76" s="42"/>
      <c r="J76" s="2020"/>
      <c r="K76" s="3005" t="str">
        <f>IF(项目基本情况!K6="上海银行",IF(K75="",4,K75+1),"")</f>
        <v/>
      </c>
      <c r="L76" s="3345" t="str">
        <f>IF(项目基本情况!K6="上海银行","其他处置费用","")</f>
        <v/>
      </c>
      <c r="M76" s="3346"/>
      <c r="N76" s="1291" t="str">
        <f>IF(项目基本情况!K6="上海银行",N89,"")</f>
        <v/>
      </c>
      <c r="O76" s="3347" t="str">
        <f>IF(项目基本情况!K6="上海银行","包含处置中涉及的律师、诉讼、拍卖、评估等费用","")</f>
        <v/>
      </c>
      <c r="P76" s="3348"/>
      <c r="Q76" s="2013"/>
      <c r="R76" s="2013"/>
      <c r="S76" s="2013"/>
      <c r="T76" s="2013"/>
      <c r="U76" s="2013"/>
      <c r="V76" s="2013"/>
    </row>
    <row r="77" spans="1:22" ht="26.25" thickBot="1">
      <c r="A77" s="3375" t="s">
        <v>426</v>
      </c>
      <c r="B77" s="3376"/>
      <c r="C77" s="3376"/>
      <c r="D77" s="366">
        <f ca="1">IF(H77="非个人房产","——",IF(H77="个人住宅",0,ROUND(D63*I77,0)))</f>
        <v>89</v>
      </c>
      <c r="E77" s="367" t="str">
        <f>IF(H77="非个人房产","——","销售额×税（费）率")</f>
        <v>销售额×税（费）率</v>
      </c>
      <c r="F77" s="368">
        <f>IF(H77="非个人房产","——",IF(H77="个人住宅","免征",I77))</f>
        <v>0.01</v>
      </c>
      <c r="G77" s="983" t="s">
        <v>417</v>
      </c>
      <c r="H77" s="363" t="s">
        <v>2883</v>
      </c>
      <c r="I77" s="369">
        <v>0.01</v>
      </c>
      <c r="J77" s="2020"/>
      <c r="K77" s="3371">
        <f>IF(AND(K75="",K76=""),4,IF(项目基本情况!K6="上海银行",K76+1,K75+1))</f>
        <v>5</v>
      </c>
      <c r="L77" s="3357" t="s">
        <v>2884</v>
      </c>
      <c r="M77" s="3011" t="s">
        <v>421</v>
      </c>
      <c r="N77" s="1297"/>
      <c r="O77" s="1298">
        <f ca="1">SUMIF(N72:N76,"&lt;9e307")</f>
        <v>4945</v>
      </c>
      <c r="P77" s="1299"/>
      <c r="Q77" s="3009" t="e">
        <f ca="1">O77/N69</f>
        <v>#VALUE!</v>
      </c>
      <c r="R77" s="2013"/>
      <c r="S77" s="2013"/>
      <c r="T77" s="2013"/>
      <c r="U77" s="2013"/>
      <c r="V77" s="2013"/>
    </row>
    <row r="78" spans="1:22" ht="12" customHeight="1">
      <c r="A78" s="1300"/>
      <c r="B78" s="311"/>
      <c r="C78" s="311"/>
      <c r="D78" s="311"/>
      <c r="E78" s="42"/>
      <c r="F78" s="42"/>
      <c r="G78" s="42"/>
      <c r="H78" s="1002"/>
      <c r="I78" s="311"/>
      <c r="J78" s="2020"/>
      <c r="K78" s="3371"/>
      <c r="L78" s="3357"/>
      <c r="M78" s="3011" t="s">
        <v>425</v>
      </c>
      <c r="N78" s="1297"/>
      <c r="O78" s="1298" t="str">
        <f ca="1">NUMBERSTRING(INT(O77*10000),2)&amp;"元整"</f>
        <v>肆仟玖佰肆拾伍万元整</v>
      </c>
      <c r="P78" s="1299"/>
      <c r="Q78" s="2013"/>
      <c r="R78" s="2013"/>
      <c r="S78" s="2013"/>
      <c r="T78" s="2013"/>
      <c r="U78" s="2013"/>
      <c r="V78" s="2013"/>
    </row>
    <row r="79" spans="1:22" ht="13.5" thickBot="1">
      <c r="A79" s="3361" t="s">
        <v>427</v>
      </c>
      <c r="B79" s="3361"/>
      <c r="C79" s="3361"/>
      <c r="D79" s="3361"/>
      <c r="E79" s="3361"/>
      <c r="F79" s="42"/>
      <c r="G79" s="42"/>
      <c r="H79" s="1002"/>
      <c r="I79" s="311"/>
      <c r="J79" s="2020"/>
      <c r="K79" s="3355">
        <f>K77+1</f>
        <v>6</v>
      </c>
      <c r="L79" s="3357" t="s">
        <v>2885</v>
      </c>
      <c r="M79" s="3011" t="s">
        <v>421</v>
      </c>
      <c r="N79" s="1297"/>
      <c r="O79" s="1298" t="e">
        <f ca="1">N69-O77</f>
        <v>#VALUE!</v>
      </c>
      <c r="P79" s="1299"/>
      <c r="Q79" s="2013"/>
      <c r="R79" s="2013"/>
      <c r="S79" s="2013"/>
      <c r="T79" s="2013"/>
      <c r="U79" s="2013"/>
      <c r="V79" s="2013"/>
    </row>
    <row r="80" spans="1:22" ht="12.75">
      <c r="A80" s="3362" t="s">
        <v>428</v>
      </c>
      <c r="B80" s="3363"/>
      <c r="C80" s="993"/>
      <c r="D80" s="993" t="s">
        <v>429</v>
      </c>
      <c r="E80" s="370" t="s">
        <v>430</v>
      </c>
      <c r="F80" s="42"/>
      <c r="G80" s="42"/>
      <c r="H80" s="1002"/>
      <c r="I80" s="311"/>
      <c r="J80" s="2013"/>
      <c r="K80" s="3356"/>
      <c r="L80" s="3357"/>
      <c r="M80" s="3011" t="s">
        <v>425</v>
      </c>
      <c r="N80" s="1297"/>
      <c r="O80" s="1298" t="e">
        <f ca="1">NUMBERSTRING(INT(O79*10000),2)&amp;"元整"</f>
        <v>#VALUE!</v>
      </c>
      <c r="P80" s="1299"/>
      <c r="Q80" s="2013"/>
      <c r="R80" s="2013"/>
      <c r="S80" s="2013"/>
      <c r="T80" s="2013"/>
      <c r="U80" s="2013"/>
      <c r="V80" s="2013"/>
    </row>
    <row r="81" spans="1:26" ht="13.5" thickBot="1">
      <c r="A81" s="381" t="s">
        <v>1823</v>
      </c>
      <c r="B81" s="371" t="s">
        <v>431</v>
      </c>
      <c r="C81" s="372">
        <f ca="1">ROUND((C82+C83)/(1+'数据-取费表'!C42),0)</f>
        <v>8476</v>
      </c>
      <c r="D81" s="373"/>
      <c r="E81" s="374"/>
      <c r="F81" s="42"/>
      <c r="G81" s="42"/>
      <c r="H81" s="1002"/>
      <c r="I81" s="311"/>
      <c r="J81" s="2013"/>
      <c r="K81" s="3005">
        <f>K79+1</f>
        <v>7</v>
      </c>
      <c r="L81" s="3369" t="s">
        <v>2886</v>
      </c>
      <c r="M81" s="3370"/>
      <c r="N81" s="1301"/>
      <c r="O81" s="1302" t="e">
        <f ca="1">ROUND(O79*10000/'数据-汇总表'!E3,0)</f>
        <v>#VALUE!</v>
      </c>
      <c r="P81" s="1303"/>
      <c r="Q81" s="2013"/>
      <c r="R81" s="2013"/>
      <c r="S81" s="2013"/>
      <c r="T81" s="2013"/>
      <c r="U81" s="2013"/>
      <c r="V81" s="2013"/>
    </row>
    <row r="82" spans="1:26" ht="13.5" thickTop="1">
      <c r="A82" s="375" t="s">
        <v>1824</v>
      </c>
      <c r="B82" s="376" t="s">
        <v>432</v>
      </c>
      <c r="C82" s="377">
        <f ca="1">D63</f>
        <v>8900</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2"/>
      <c r="I83" s="311"/>
      <c r="J83" s="2013"/>
      <c r="K83" s="3344" t="s">
        <v>2873</v>
      </c>
      <c r="L83" s="3017" t="s">
        <v>2874</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1" t="s">
        <v>1826</v>
      </c>
      <c r="B84" s="382" t="s">
        <v>434</v>
      </c>
      <c r="C84" s="383">
        <v>2000</v>
      </c>
      <c r="D84" s="384" t="s">
        <v>19</v>
      </c>
      <c r="E84" s="3052" t="s">
        <v>2941</v>
      </c>
      <c r="F84" s="42"/>
      <c r="G84" s="42"/>
      <c r="H84" s="1002"/>
      <c r="I84" s="311"/>
      <c r="J84" s="2013"/>
      <c r="K84" s="3344"/>
      <c r="L84" s="3017" t="s">
        <v>2875</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2876</v>
      </c>
      <c r="P84" s="2013"/>
      <c r="Q84" s="2013"/>
      <c r="R84" s="2013"/>
      <c r="S84" s="2013"/>
      <c r="T84" s="2013"/>
      <c r="U84" s="2013"/>
      <c r="V84" s="2013"/>
    </row>
    <row r="85" spans="1:26" ht="12.75">
      <c r="A85" s="381" t="s">
        <v>1827</v>
      </c>
      <c r="B85" s="382" t="s">
        <v>435</v>
      </c>
      <c r="C85" s="385">
        <f ca="1">C81-C84</f>
        <v>6476</v>
      </c>
      <c r="D85" s="378" t="s">
        <v>19</v>
      </c>
      <c r="E85" s="379"/>
      <c r="F85" s="42"/>
      <c r="G85" s="42"/>
      <c r="H85" s="1002"/>
      <c r="I85" s="311"/>
      <c r="J85" s="2013"/>
      <c r="K85" s="3344"/>
      <c r="L85" s="3017" t="s">
        <v>2877</v>
      </c>
      <c r="M85" s="3007" t="e">
        <f>IF(N69&gt;1000,N69*0.1%,IF(AND(N69&gt;500,N69&lt;=1000),N69*0.5%,IF(AND(N69&gt;50,N69&lt;=500),N69*1%,IF(AND(N69&gt;1,N69&lt;=50),N69*1.5%))))</f>
        <v>#VALUE!</v>
      </c>
      <c r="N85" s="53" t="e">
        <f t="shared" si="2"/>
        <v>#VALUE!</v>
      </c>
      <c r="O85" s="2013" t="s">
        <v>2876</v>
      </c>
      <c r="P85" s="2013"/>
      <c r="Q85" s="2013"/>
      <c r="R85" s="2013"/>
      <c r="S85" s="2013"/>
      <c r="T85" s="2013"/>
      <c r="U85" s="2013"/>
      <c r="V85" s="2013"/>
    </row>
    <row r="86" spans="1:26" ht="13.5" thickBot="1">
      <c r="A86" s="386" t="s">
        <v>1828</v>
      </c>
      <c r="B86" s="387" t="s">
        <v>436</v>
      </c>
      <c r="C86" s="388">
        <f ca="1">IF(C85&lt;=0,0,ROUND(C85*D86,0))</f>
        <v>356</v>
      </c>
      <c r="D86" s="389">
        <f>'数据-取费表'!B41</f>
        <v>5.5000000000000007E-2</v>
      </c>
      <c r="E86" s="390"/>
      <c r="F86" s="42"/>
      <c r="G86" s="42"/>
      <c r="H86" s="1002"/>
      <c r="I86" s="311"/>
      <c r="J86" s="2013"/>
      <c r="K86" s="3344"/>
      <c r="L86" s="3017" t="s">
        <v>2878</v>
      </c>
      <c r="M86" s="3007" t="e">
        <f>N69*0.5%</f>
        <v>#VALUE!</v>
      </c>
      <c r="N86" s="53" t="e">
        <f>IF(M86&gt;0.5,0.5,ROUND(M86,0))</f>
        <v>#VALUE!</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44"/>
      <c r="L87" s="3017" t="s">
        <v>2880</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3"/>
      <c r="R87" s="2013"/>
      <c r="S87" s="2013"/>
      <c r="T87" s="2013"/>
      <c r="U87" s="2013"/>
      <c r="V87" s="2013"/>
      <c r="W87" s="292"/>
      <c r="X87" s="292"/>
      <c r="Y87" s="292"/>
      <c r="Z87" s="292"/>
    </row>
    <row r="88" spans="1:26" s="1309" customFormat="1" ht="15" thickBot="1">
      <c r="A88" s="3398" t="s">
        <v>437</v>
      </c>
      <c r="B88" s="3399"/>
      <c r="C88" s="3399"/>
      <c r="D88" s="3399"/>
      <c r="E88" s="3399"/>
      <c r="F88" s="3399"/>
      <c r="G88" s="3399"/>
      <c r="H88" s="3399"/>
      <c r="I88" s="1310"/>
      <c r="J88" s="2021"/>
      <c r="K88" s="3344"/>
      <c r="L88" s="3017" t="s">
        <v>2881</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09" customFormat="1" ht="14.25">
      <c r="A89" s="3362" t="s">
        <v>428</v>
      </c>
      <c r="B89" s="3363"/>
      <c r="C89" s="993"/>
      <c r="D89" s="993" t="s">
        <v>429</v>
      </c>
      <c r="E89" s="391" t="s">
        <v>438</v>
      </c>
      <c r="F89" s="392"/>
      <c r="G89" s="392"/>
      <c r="H89" s="393"/>
      <c r="I89" s="1311"/>
      <c r="J89" s="2023"/>
      <c r="K89" s="3344"/>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09" customFormat="1" ht="14.25">
      <c r="A90" s="381" t="s">
        <v>1823</v>
      </c>
      <c r="B90" s="382" t="s">
        <v>439</v>
      </c>
      <c r="C90" s="385">
        <f ca="1">ROUND(D63/(1+'数据-取费表'!C42),0)</f>
        <v>8476</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1829</v>
      </c>
      <c r="B91" s="348" t="s">
        <v>440</v>
      </c>
      <c r="C91" s="385">
        <f ca="1">C92+C96</f>
        <v>2603</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395" t="s">
        <v>447</v>
      </c>
      <c r="F94" s="3396"/>
      <c r="G94" s="3396"/>
      <c r="H94" s="3397"/>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42</v>
      </c>
      <c r="D96" s="406">
        <f>'数据-取费表'!B43</f>
        <v>5.000000000000001E-3</v>
      </c>
      <c r="E96" s="3385" t="s">
        <v>2428</v>
      </c>
      <c r="F96" s="3386"/>
      <c r="G96" s="3386"/>
      <c r="H96" s="3387"/>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2" t="s">
        <v>451</v>
      </c>
      <c r="C97" s="385">
        <f ca="1">C90-C91</f>
        <v>5873</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2.2562427967729541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7" t="s">
        <v>453</v>
      </c>
      <c r="C99" s="408">
        <f ca="1">ROUND(IF(C97&lt;=0,0,IF(C98&gt;=200%,C97*60%-C91*35%,IF(C98&gt;=100%,C97*50%-C91*15%,IF(C98&gt;=50%,C97*40%-C91*5%,IF(C98&lt;50%,C97*30%,0))))),0)</f>
        <v>2613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98" t="s">
        <v>454</v>
      </c>
      <c r="B101" s="3399"/>
      <c r="C101" s="3399"/>
      <c r="D101" s="3399"/>
      <c r="E101" s="3399"/>
      <c r="F101" s="3399"/>
      <c r="G101" s="3399"/>
      <c r="H101" s="3399"/>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62" t="s">
        <v>428</v>
      </c>
      <c r="B102" s="3363"/>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1823</v>
      </c>
      <c r="B103" s="382" t="s">
        <v>439</v>
      </c>
      <c r="C103" s="385">
        <f ca="1">ROUND(D63/(1+'数据-取费表'!C42),0)</f>
        <v>8476</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1829</v>
      </c>
      <c r="B104" s="348" t="s">
        <v>440</v>
      </c>
      <c r="C104" s="385">
        <f ca="1">IF(H106="仅含出让金",C105+C108+C109+C110+C111+C112,C105+C109+C110+C111+C112)</f>
        <v>732</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1830</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1831</v>
      </c>
      <c r="B106" s="376" t="s">
        <v>456</v>
      </c>
      <c r="C106" s="416">
        <v>555</v>
      </c>
      <c r="D106" s="406"/>
      <c r="E106" s="417" t="s">
        <v>457</v>
      </c>
      <c r="F106" s="985"/>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55</v>
      </c>
      <c r="D109" s="406"/>
      <c r="E109" s="3388" t="s">
        <v>462</v>
      </c>
      <c r="F109" s="3386"/>
      <c r="G109" s="3386"/>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63</v>
      </c>
      <c r="D110" s="406">
        <v>0.1</v>
      </c>
      <c r="E110" s="3388" t="s">
        <v>464</v>
      </c>
      <c r="F110" s="3386"/>
      <c r="G110" s="3386"/>
      <c r="H110" s="3387"/>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42</v>
      </c>
      <c r="D111" s="406">
        <f>'数据-取费表'!B43</f>
        <v>5.000000000000001E-3</v>
      </c>
      <c r="E111" s="3385" t="s">
        <v>2428</v>
      </c>
      <c r="F111" s="3386"/>
      <c r="G111" s="3386"/>
      <c r="H111" s="3387"/>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388" t="s">
        <v>2453</v>
      </c>
      <c r="F112" s="3386"/>
      <c r="G112" s="3386"/>
      <c r="H112" s="3387"/>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2" t="s">
        <v>451</v>
      </c>
      <c r="C113" s="385">
        <f ca="1">ROUND(C103-C104,0)</f>
        <v>7744</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10.579234972677595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7" t="s">
        <v>453</v>
      </c>
      <c r="C115" s="408">
        <f ca="1">ROUND(IF(C113&lt;=0,0,IF(C114&gt;=200%,C113*60%-C104*35%,IF(C114&gt;=100%,C113*50%-C104*15%,IF(C114&gt;=50%,C113*40%-C104*5%,IF(C114&lt;50%,C113*30%,0))))),0)</f>
        <v>4390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27330</v>
      </c>
      <c r="D13" s="451"/>
      <c r="E13" s="365"/>
      <c r="F13" s="452"/>
      <c r="G13" s="444"/>
      <c r="H13" s="447"/>
      <c r="I13" s="447"/>
      <c r="J13" s="447"/>
      <c r="K13" s="448"/>
    </row>
    <row r="14" spans="1:41" s="2101" customFormat="1" ht="13.5" customHeight="1">
      <c r="A14" s="1618" t="s">
        <v>1849</v>
      </c>
      <c r="B14" s="449" t="s">
        <v>480</v>
      </c>
      <c r="C14" s="53">
        <f ca="1">ROUND(C13*F14,0)</f>
        <v>273</v>
      </c>
      <c r="D14" s="451"/>
      <c r="E14" s="365"/>
      <c r="F14" s="453">
        <f>'数据-取费表'!B33</f>
        <v>0.01</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3644</v>
      </c>
      <c r="D16" s="451">
        <f ca="1">IF(B1="",'数据-汇总表'!E3,INDIRECT("'数据-取费表'!K"&amp;$K$1)+INDIRECT("'数据-取费表'!S"&amp;$K$1))</f>
        <v>182200</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273</v>
      </c>
      <c r="D17" s="455"/>
      <c r="E17" s="454"/>
      <c r="F17" s="456">
        <f>'数据-取费表'!B36</f>
        <v>0.01</v>
      </c>
      <c r="G17" s="444" t="s">
        <v>502</v>
      </c>
      <c r="H17" s="457"/>
      <c r="I17" s="457"/>
      <c r="J17" s="457"/>
      <c r="K17" s="458"/>
    </row>
    <row r="18" spans="1:14" s="2104" customFormat="1" ht="13.5" customHeight="1">
      <c r="A18" s="1619" t="s">
        <v>1853</v>
      </c>
      <c r="B18" s="459" t="s">
        <v>487</v>
      </c>
      <c r="C18" s="460">
        <f ca="1">SUM(C13:C17)</f>
        <v>31520</v>
      </c>
      <c r="D18" s="461"/>
      <c r="E18" s="462"/>
      <c r="F18" s="462"/>
      <c r="G18" s="1322" t="s">
        <v>2432</v>
      </c>
      <c r="H18" s="447"/>
      <c r="I18" s="447"/>
      <c r="J18" s="447"/>
      <c r="K18" s="448"/>
    </row>
    <row r="19" spans="1:14" s="2104" customFormat="1" ht="13.5" customHeight="1">
      <c r="A19" s="1619" t="s">
        <v>1854</v>
      </c>
      <c r="B19" s="459" t="s">
        <v>493</v>
      </c>
      <c r="C19" s="460">
        <f ca="1">ROUND(C18*F19,0)</f>
        <v>315</v>
      </c>
      <c r="D19" s="462"/>
      <c r="E19" s="462"/>
      <c r="F19" s="466">
        <f>'数据-取费表'!B37</f>
        <v>0.01</v>
      </c>
      <c r="G19" s="444" t="s">
        <v>503</v>
      </c>
      <c r="H19" s="447"/>
      <c r="I19" s="447"/>
      <c r="J19" s="447"/>
      <c r="K19" s="448"/>
      <c r="L19" s="2106"/>
      <c r="M19" s="2106"/>
      <c r="N19" s="2106"/>
    </row>
    <row r="20" spans="1:14" s="2104" customFormat="1" ht="13.5" customHeight="1">
      <c r="A20" s="1619" t="s">
        <v>1855</v>
      </c>
      <c r="B20" s="459" t="s">
        <v>504</v>
      </c>
      <c r="C20" s="2982">
        <f>F20</f>
        <v>0.01</v>
      </c>
      <c r="D20" s="469" t="s">
        <v>505</v>
      </c>
      <c r="E20" s="469"/>
      <c r="F20" s="486">
        <f>'数据-取费表'!B38</f>
        <v>0.01</v>
      </c>
      <c r="G20" s="1322" t="s">
        <v>506</v>
      </c>
      <c r="H20" s="447"/>
      <c r="I20" s="447"/>
      <c r="J20" s="447"/>
      <c r="K20" s="448"/>
      <c r="L20" s="2106"/>
      <c r="M20" s="2106"/>
      <c r="N20" s="2106"/>
    </row>
    <row r="21" spans="1:14" s="2106" customFormat="1" ht="13.5" customHeight="1">
      <c r="A21" s="1619" t="s">
        <v>1858</v>
      </c>
      <c r="B21" s="461" t="s">
        <v>494</v>
      </c>
      <c r="C21" s="470">
        <f ca="1">C22</f>
        <v>692</v>
      </c>
      <c r="D21" s="467">
        <f ca="1">C23</f>
        <v>2.0000000000000001E-4</v>
      </c>
      <c r="E21" s="469" t="s">
        <v>507</v>
      </c>
      <c r="F21" s="471">
        <f ca="1">'数据-取费表'!B40</f>
        <v>4.3499999999999997E-2</v>
      </c>
      <c r="G21" s="1322" t="str">
        <f>IF('数据-取费表'!B22&lt;=1,"单利计息。","复利计息。")&amp;"建造成本、管理费用及销售费用产生的利息。"</f>
        <v>单利计息。建造成本、管理费用及销售费用产生的利息。</v>
      </c>
      <c r="H21" s="447"/>
      <c r="I21" s="447"/>
      <c r="J21" s="447"/>
      <c r="K21" s="448"/>
      <c r="L21" s="2103" t="s">
        <v>2454</v>
      </c>
    </row>
    <row r="22" spans="1:14" s="2105" customFormat="1" ht="13.5" customHeight="1">
      <c r="A22" s="1618" t="s">
        <v>1848</v>
      </c>
      <c r="B22" s="1323" t="s">
        <v>2435</v>
      </c>
      <c r="C22" s="487">
        <f ca="1">ROUND(IF('数据-取费表'!B22&lt;=1,(C18+C19)*F21*'数据-取费表'!B20/2,(C18+C19)*(POWER((1+F21),'数据-取费表'!B20/2)-1)),0)</f>
        <v>692</v>
      </c>
      <c r="D22" s="472"/>
      <c r="E22" s="473"/>
      <c r="F22" s="474"/>
      <c r="G22" s="2531" t="str">
        <f>IF('数据-取费表'!B22&lt;=1,"((1)+(2))×年利率×建设期÷2","((1)+(2))×((1+年利率)^(建设期÷2)-1)")</f>
        <v>((1)+(2))×年利率×建设期÷2</v>
      </c>
      <c r="H22" s="457"/>
      <c r="I22" s="457"/>
      <c r="J22" s="457"/>
      <c r="K22" s="458"/>
    </row>
    <row r="23" spans="1:14" s="2105" customFormat="1" ht="13.5" customHeight="1">
      <c r="A23" s="1618" t="s">
        <v>1849</v>
      </c>
      <c r="B23" s="1323" t="s">
        <v>508</v>
      </c>
      <c r="C23" s="488">
        <f ca="1">ROUND(IF('数据-取费表'!B22&lt;=1,F20*F21*'数据-取费表'!B20/2,F20*(POWER((1+F21),'数据-取费表'!B20/2)-1)),4)</f>
        <v>2.0000000000000001E-4</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19" t="s">
        <v>1859</v>
      </c>
      <c r="B24" s="2984" t="s">
        <v>2831</v>
      </c>
      <c r="C24" s="478">
        <f ca="1">C25</f>
        <v>1592</v>
      </c>
      <c r="D24" s="489">
        <f ca="1">C26</f>
        <v>5.0000000000000001E-4</v>
      </c>
      <c r="E24" s="469" t="s">
        <v>507</v>
      </c>
      <c r="F24" s="479">
        <f ca="1">IF(B1="",'数据-取费表'!Q16,INDIRECT("'数据-取费表'!q"&amp;$K$1))</f>
        <v>0.05</v>
      </c>
      <c r="G24" s="444"/>
      <c r="H24" s="447"/>
      <c r="I24" s="447"/>
      <c r="J24" s="447"/>
      <c r="K24" s="448"/>
    </row>
    <row r="25" spans="1:14" s="2105" customFormat="1" ht="13.5" customHeight="1">
      <c r="A25" s="1618" t="s">
        <v>1848</v>
      </c>
      <c r="B25" s="1323" t="s">
        <v>2436</v>
      </c>
      <c r="C25" s="490">
        <f ca="1">ROUND((C18+C19)*F24,0)</f>
        <v>1592</v>
      </c>
      <c r="D25" s="472"/>
      <c r="E25" s="473"/>
      <c r="F25" s="480"/>
      <c r="G25" s="1321" t="s">
        <v>2433</v>
      </c>
      <c r="H25" s="457"/>
      <c r="I25" s="457"/>
      <c r="J25" s="457"/>
      <c r="K25" s="458"/>
    </row>
    <row r="26" spans="1:14" s="2105" customFormat="1" ht="13.5" customHeight="1">
      <c r="A26" s="1618" t="s">
        <v>1849</v>
      </c>
      <c r="B26" s="1323" t="s">
        <v>509</v>
      </c>
      <c r="C26" s="491">
        <f ca="1">ROUND(F20*F24,4)</f>
        <v>5.0000000000000001E-4</v>
      </c>
      <c r="D26" s="472"/>
      <c r="E26" s="481"/>
      <c r="F26" s="480"/>
      <c r="G26" s="1321" t="s">
        <v>510</v>
      </c>
      <c r="H26" s="457"/>
      <c r="I26" s="457"/>
      <c r="J26" s="457"/>
      <c r="K26" s="458"/>
    </row>
    <row r="27" spans="1:14" s="2105" customFormat="1" ht="13.5" customHeight="1">
      <c r="A27" s="1622" t="s">
        <v>1867</v>
      </c>
      <c r="B27" s="459" t="s">
        <v>511</v>
      </c>
      <c r="C27" s="2983">
        <f>ROUND(F27/(1+'数据-取费表'!C42),4)</f>
        <v>5.2400000000000002E-2</v>
      </c>
      <c r="D27" s="462" t="s">
        <v>2829</v>
      </c>
      <c r="E27" s="462"/>
      <c r="F27" s="466">
        <f>'数据-取费表'!B41</f>
        <v>5.5000000000000007E-2</v>
      </c>
      <c r="G27" s="1945" t="s">
        <v>2291</v>
      </c>
      <c r="H27" s="447"/>
      <c r="I27" s="447"/>
      <c r="J27" s="447"/>
      <c r="K27" s="448"/>
    </row>
    <row r="28" spans="1:14" s="2106" customFormat="1" ht="13.5" customHeight="1">
      <c r="A28" s="1622" t="s">
        <v>1868</v>
      </c>
      <c r="B28" s="476" t="s">
        <v>512</v>
      </c>
      <c r="C28" s="470">
        <f ca="1">ROUND((C18+C19+C21+C24)/(1-C20-D21-D24-C27),0)</f>
        <v>36417</v>
      </c>
      <c r="D28" s="477"/>
      <c r="E28" s="469"/>
      <c r="F28" s="471"/>
      <c r="G28" s="1322"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1865</v>
      </c>
      <c r="B31" s="1325"/>
      <c r="C31" s="500">
        <f>ROUND(C6*F31/(1+'数据-取费表'!C42),0)</f>
        <v>0</v>
      </c>
      <c r="D31" s="1326"/>
      <c r="E31" s="1326"/>
      <c r="F31" s="501">
        <f>'数据-取费表'!B41</f>
        <v>5.5000000000000007E-2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2974</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t="e">
        <f>ROUND(B2*10000/'数据-汇总表'!E3,0)</f>
        <v>#DIV/0!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t="e">
        <f>IF(B48="单位面积地价",C50,ROUND(B2*10000/'数据-汇总表'!D3,0))</f>
        <v>#DIV/0!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43" t="s">
        <v>522</v>
      </c>
      <c r="D6" s="3444"/>
      <c r="E6" s="3443" t="s">
        <v>523</v>
      </c>
      <c r="F6" s="3444"/>
      <c r="G6" s="3443" t="s">
        <v>524</v>
      </c>
      <c r="H6" s="3444"/>
      <c r="I6" s="3443" t="s">
        <v>525</v>
      </c>
      <c r="J6" s="3444"/>
      <c r="K6" s="514" t="s">
        <v>526</v>
      </c>
      <c r="L6" s="2118"/>
      <c r="M6" s="2117"/>
      <c r="N6" s="2117"/>
      <c r="O6" s="2119"/>
      <c r="P6" s="3445" t="s">
        <v>527</v>
      </c>
      <c r="Q6" s="3446"/>
      <c r="R6" s="3431" t="s">
        <v>523</v>
      </c>
      <c r="S6" s="3432"/>
      <c r="T6" s="3431" t="s">
        <v>524</v>
      </c>
      <c r="U6" s="3432"/>
      <c r="V6" s="3451" t="s">
        <v>525</v>
      </c>
      <c r="W6" s="3451"/>
      <c r="X6" s="1553"/>
      <c r="Y6" s="3431" t="s">
        <v>527</v>
      </c>
      <c r="Z6" s="3432"/>
      <c r="AA6" s="3426" t="s">
        <v>523</v>
      </c>
      <c r="AB6" s="3427" t="s">
        <v>524</v>
      </c>
      <c r="AC6" s="3426" t="s">
        <v>525</v>
      </c>
    </row>
    <row r="7" spans="1:30" ht="20.25">
      <c r="A7" s="515"/>
      <c r="B7" s="516"/>
      <c r="C7" s="3454" t="s">
        <v>2930</v>
      </c>
      <c r="D7" s="3455"/>
      <c r="E7" s="3454" t="s">
        <v>2931</v>
      </c>
      <c r="F7" s="3455"/>
      <c r="G7" s="3454" t="s">
        <v>2932</v>
      </c>
      <c r="H7" s="3455"/>
      <c r="I7" s="3454" t="s">
        <v>2933</v>
      </c>
      <c r="J7" s="3455"/>
      <c r="K7" s="514"/>
      <c r="L7" s="2118"/>
      <c r="M7" s="2117"/>
      <c r="N7" s="2117"/>
      <c r="O7" s="2119"/>
      <c r="P7" s="3447"/>
      <c r="Q7" s="3448"/>
      <c r="R7" s="3433"/>
      <c r="S7" s="3434"/>
      <c r="T7" s="3433"/>
      <c r="U7" s="3434"/>
      <c r="V7" s="3451"/>
      <c r="W7" s="3451"/>
      <c r="X7" s="1553"/>
      <c r="Y7" s="3433"/>
      <c r="Z7" s="3434"/>
      <c r="AA7" s="3427"/>
      <c r="AB7" s="3427"/>
      <c r="AC7" s="3427"/>
    </row>
    <row r="8" spans="1:30" ht="21" thickBot="1">
      <c r="A8" s="515"/>
      <c r="B8" s="516"/>
      <c r="C8" s="3456" t="s">
        <v>2934</v>
      </c>
      <c r="D8" s="3457"/>
      <c r="E8" s="3456" t="s">
        <v>2934</v>
      </c>
      <c r="F8" s="3457"/>
      <c r="G8" s="3452" t="s">
        <v>2934</v>
      </c>
      <c r="H8" s="3453"/>
      <c r="I8" s="3452" t="s">
        <v>2934</v>
      </c>
      <c r="J8" s="3453"/>
      <c r="K8" s="514" t="s">
        <v>528</v>
      </c>
      <c r="L8" s="2118"/>
      <c r="M8" s="2117"/>
      <c r="N8" s="2117"/>
      <c r="O8" s="2119"/>
      <c r="P8" s="3449"/>
      <c r="Q8" s="3450"/>
      <c r="R8" s="3433"/>
      <c r="S8" s="3434"/>
      <c r="T8" s="3435"/>
      <c r="U8" s="3436"/>
      <c r="V8" s="3451"/>
      <c r="W8" s="3451"/>
      <c r="X8" s="1553"/>
      <c r="Y8" s="3435"/>
      <c r="Z8" s="3436"/>
      <c r="AA8" s="3428"/>
      <c r="AB8" s="3428"/>
      <c r="AC8" s="3428"/>
    </row>
    <row r="9" spans="1:30" s="1215" customFormat="1" ht="21" thickBot="1">
      <c r="A9" s="2867"/>
      <c r="B9" s="2874" t="s">
        <v>529</v>
      </c>
      <c r="C9" s="2866">
        <f>'数据-取费表'!B2</f>
        <v>43646</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429" t="s">
        <v>530</v>
      </c>
      <c r="Q9" s="3438"/>
      <c r="R9" s="1554" t="s">
        <v>8</v>
      </c>
      <c r="S9" s="1555">
        <f t="shared" ref="S9:S17" si="0">F9</f>
        <v>0</v>
      </c>
      <c r="T9" s="1554" t="s">
        <v>8</v>
      </c>
      <c r="U9" s="1555">
        <f t="shared" ref="U9:U17" si="1">H9</f>
        <v>0</v>
      </c>
      <c r="V9" s="1554" t="s">
        <v>8</v>
      </c>
      <c r="W9" s="1555">
        <f t="shared" ref="W9:W17" si="2">J9</f>
        <v>0</v>
      </c>
      <c r="X9" s="1556"/>
      <c r="Y9" s="3429" t="s">
        <v>530</v>
      </c>
      <c r="Z9" s="3430"/>
      <c r="AA9" s="1557" t="e">
        <f>D9/F9</f>
        <v>#DIV/0!</v>
      </c>
      <c r="AB9" s="1557" t="e">
        <f>D9/H9</f>
        <v>#DIV/0!</v>
      </c>
      <c r="AC9" s="1557" t="e">
        <f>D9/J9</f>
        <v>#DIV/0!</v>
      </c>
    </row>
    <row r="10" spans="1:30" s="1215" customFormat="1" ht="21" thickBot="1">
      <c r="A10" s="2868"/>
      <c r="B10" s="2875"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429" t="s">
        <v>533</v>
      </c>
      <c r="Q10" s="3430"/>
      <c r="R10" s="1554" t="s">
        <v>8</v>
      </c>
      <c r="S10" s="1555">
        <f t="shared" si="0"/>
        <v>0</v>
      </c>
      <c r="T10" s="1554" t="s">
        <v>8</v>
      </c>
      <c r="U10" s="1555">
        <f t="shared" si="1"/>
        <v>0</v>
      </c>
      <c r="V10" s="1554" t="s">
        <v>8</v>
      </c>
      <c r="W10" s="1555">
        <f t="shared" si="2"/>
        <v>0</v>
      </c>
      <c r="X10" s="1556"/>
      <c r="Y10" s="3429" t="s">
        <v>533</v>
      </c>
      <c r="Z10" s="3430"/>
      <c r="AA10" s="1557" t="e">
        <f t="shared" ref="AA10:AA47" si="3">D10/F10</f>
        <v>#DIV/0!</v>
      </c>
      <c r="AB10" s="1557" t="e">
        <f t="shared" ref="AB10:AB47" si="4">D10/H10</f>
        <v>#DIV/0!</v>
      </c>
      <c r="AC10" s="1557" t="e">
        <f t="shared" ref="AC10:AC47" si="5">D10/J10</f>
        <v>#DIV/0!</v>
      </c>
    </row>
    <row r="11" spans="1:30" s="1215" customFormat="1" ht="20.25">
      <c r="A11" s="2869"/>
      <c r="B11" s="2876" t="s">
        <v>2756</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437" t="s">
        <v>535</v>
      </c>
      <c r="Q11" s="1146" t="str">
        <f t="shared" ref="Q11:Q17" si="6">B11</f>
        <v>用途</v>
      </c>
      <c r="R11" s="1554" t="s">
        <v>8</v>
      </c>
      <c r="S11" s="1555">
        <f t="shared" si="0"/>
        <v>100</v>
      </c>
      <c r="T11" s="1554" t="s">
        <v>8</v>
      </c>
      <c r="U11" s="1555">
        <f t="shared" si="1"/>
        <v>100</v>
      </c>
      <c r="V11" s="1554" t="s">
        <v>8</v>
      </c>
      <c r="W11" s="1555">
        <f t="shared" si="2"/>
        <v>100</v>
      </c>
      <c r="X11" s="1556"/>
      <c r="Y11" s="3394" t="s">
        <v>536</v>
      </c>
      <c r="Z11" s="1145" t="str">
        <f t="shared" ref="Z11:Z17" si="7">Q11</f>
        <v>用途</v>
      </c>
      <c r="AA11" s="1557">
        <f t="shared" si="3"/>
        <v>1</v>
      </c>
      <c r="AB11" s="1557">
        <f t="shared" si="4"/>
        <v>1</v>
      </c>
      <c r="AC11" s="1557">
        <f t="shared" si="5"/>
        <v>1</v>
      </c>
    </row>
    <row r="12" spans="1:30" s="1333" customFormat="1" ht="27">
      <c r="A12" s="2870"/>
      <c r="B12" s="2875" t="s">
        <v>2757</v>
      </c>
      <c r="C12" s="909"/>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437"/>
      <c r="Q12" s="1146" t="str">
        <f t="shared" si="6"/>
        <v>土地使用年限（年）</v>
      </c>
      <c r="R12" s="1554" t="s">
        <v>8</v>
      </c>
      <c r="S12" s="1555">
        <f t="shared" si="0"/>
        <v>100</v>
      </c>
      <c r="T12" s="1554" t="s">
        <v>8</v>
      </c>
      <c r="U12" s="1555">
        <f t="shared" si="1"/>
        <v>100</v>
      </c>
      <c r="V12" s="1554" t="s">
        <v>8</v>
      </c>
      <c r="W12" s="1555">
        <f t="shared" si="2"/>
        <v>100</v>
      </c>
      <c r="X12" s="1556"/>
      <c r="Y12" s="3394"/>
      <c r="Z12" s="1145" t="str">
        <f t="shared" si="7"/>
        <v>土地使用年限（年）</v>
      </c>
      <c r="AA12" s="1557">
        <f t="shared" si="3"/>
        <v>1</v>
      </c>
      <c r="AB12" s="1557">
        <f t="shared" si="4"/>
        <v>1</v>
      </c>
      <c r="AC12" s="1557">
        <f t="shared" si="5"/>
        <v>1</v>
      </c>
    </row>
    <row r="13" spans="1:30" ht="20.25">
      <c r="A13" s="2871"/>
      <c r="B13" s="2875"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437"/>
      <c r="Q13" s="1146" t="str">
        <f t="shared" si="6"/>
        <v>容积率</v>
      </c>
      <c r="R13" s="1554" t="s">
        <v>8</v>
      </c>
      <c r="S13" s="1555" t="e">
        <f t="shared" si="0"/>
        <v>#N/A</v>
      </c>
      <c r="T13" s="1554" t="s">
        <v>8</v>
      </c>
      <c r="U13" s="1555" t="e">
        <f t="shared" si="1"/>
        <v>#N/A</v>
      </c>
      <c r="V13" s="1554" t="s">
        <v>8</v>
      </c>
      <c r="W13" s="1555" t="e">
        <f t="shared" si="2"/>
        <v>#N/A</v>
      </c>
      <c r="X13" s="1556"/>
      <c r="Y13" s="3394"/>
      <c r="Z13" s="1145" t="str">
        <f t="shared" si="7"/>
        <v>容积率</v>
      </c>
      <c r="AA13" s="1557" t="e">
        <f t="shared" si="3"/>
        <v>#N/A</v>
      </c>
      <c r="AB13" s="1557" t="e">
        <f t="shared" si="4"/>
        <v>#N/A</v>
      </c>
      <c r="AC13" s="1557" t="e">
        <f t="shared" si="5"/>
        <v>#N/A</v>
      </c>
    </row>
    <row r="14" spans="1:30" s="1215" customFormat="1" ht="20.25">
      <c r="A14" s="2868"/>
      <c r="B14" s="2877" t="s">
        <v>2759</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37"/>
      <c r="Q14" s="1146" t="str">
        <f t="shared" si="6"/>
        <v>配建</v>
      </c>
      <c r="R14" s="1554" t="s">
        <v>8</v>
      </c>
      <c r="S14" s="1555">
        <f t="shared" si="0"/>
        <v>100</v>
      </c>
      <c r="T14" s="1554" t="s">
        <v>8</v>
      </c>
      <c r="U14" s="1555">
        <f t="shared" si="1"/>
        <v>100</v>
      </c>
      <c r="V14" s="1554" t="s">
        <v>8</v>
      </c>
      <c r="W14" s="1555">
        <f t="shared" si="2"/>
        <v>100</v>
      </c>
      <c r="X14" s="1556"/>
      <c r="Y14" s="3394"/>
      <c r="Z14" s="1145" t="str">
        <f t="shared" si="7"/>
        <v>配建</v>
      </c>
      <c r="AA14" s="1557">
        <f>D14/F14</f>
        <v>1</v>
      </c>
      <c r="AB14" s="1557">
        <f>D14/H14</f>
        <v>1</v>
      </c>
      <c r="AC14" s="1557">
        <f>D14/J14</f>
        <v>1</v>
      </c>
    </row>
    <row r="15" spans="1:30" ht="20.25">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37"/>
      <c r="Q15" s="1146">
        <f t="shared" si="6"/>
        <v>111</v>
      </c>
      <c r="R15" s="1554" t="s">
        <v>8</v>
      </c>
      <c r="S15" s="1555">
        <f t="shared" si="0"/>
        <v>100</v>
      </c>
      <c r="T15" s="1554" t="s">
        <v>8</v>
      </c>
      <c r="U15" s="1555">
        <f t="shared" si="1"/>
        <v>100</v>
      </c>
      <c r="V15" s="1554" t="s">
        <v>8</v>
      </c>
      <c r="W15" s="1555">
        <f t="shared" si="2"/>
        <v>100</v>
      </c>
      <c r="X15" s="1556"/>
      <c r="Y15" s="3394"/>
      <c r="Z15" s="1145">
        <f t="shared" si="7"/>
        <v>111</v>
      </c>
      <c r="AA15" s="1557">
        <f>D15/F15</f>
        <v>1</v>
      </c>
      <c r="AB15" s="1557">
        <f>D15/H15</f>
        <v>1</v>
      </c>
      <c r="AC15" s="1557">
        <f>D15/J15</f>
        <v>1</v>
      </c>
    </row>
    <row r="16" spans="1:30" ht="21"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37"/>
      <c r="Q16" s="1146">
        <f t="shared" si="6"/>
        <v>111</v>
      </c>
      <c r="R16" s="1554" t="s">
        <v>8</v>
      </c>
      <c r="S16" s="1555">
        <f t="shared" si="0"/>
        <v>100</v>
      </c>
      <c r="T16" s="1554" t="s">
        <v>8</v>
      </c>
      <c r="U16" s="1555">
        <f t="shared" si="1"/>
        <v>100</v>
      </c>
      <c r="V16" s="1554" t="s">
        <v>8</v>
      </c>
      <c r="W16" s="1555">
        <f t="shared" si="2"/>
        <v>100</v>
      </c>
      <c r="X16" s="1556"/>
      <c r="Y16" s="3394"/>
      <c r="Z16" s="1145">
        <f t="shared" si="7"/>
        <v>111</v>
      </c>
      <c r="AA16" s="1557">
        <f>D16/F16</f>
        <v>1</v>
      </c>
      <c r="AB16" s="1557">
        <f>D16/H16</f>
        <v>1</v>
      </c>
      <c r="AC16" s="1557">
        <f>D16/J16</f>
        <v>1</v>
      </c>
    </row>
    <row r="17" spans="1:29" ht="99.75">
      <c r="A17" s="2865"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39" t="s">
        <v>540</v>
      </c>
      <c r="Q17" s="1558" t="str">
        <f t="shared" si="6"/>
        <v>居住社区成熟度</v>
      </c>
      <c r="R17" s="1559" t="s">
        <v>8</v>
      </c>
      <c r="S17" s="1560">
        <f t="shared" si="0"/>
        <v>100</v>
      </c>
      <c r="T17" s="1559" t="s">
        <v>8</v>
      </c>
      <c r="U17" s="1560">
        <f t="shared" si="1"/>
        <v>100</v>
      </c>
      <c r="V17" s="1559" t="s">
        <v>8</v>
      </c>
      <c r="W17" s="1560">
        <f t="shared" si="2"/>
        <v>100</v>
      </c>
      <c r="X17" s="1553"/>
      <c r="Y17" s="3439"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440"/>
      <c r="Q18" s="1558"/>
      <c r="R18" s="1559"/>
      <c r="S18" s="1560"/>
      <c r="T18" s="1559"/>
      <c r="U18" s="1560"/>
      <c r="V18" s="1559"/>
      <c r="W18" s="1560"/>
      <c r="X18" s="1553"/>
      <c r="Y18" s="3440"/>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40"/>
      <c r="Q19" s="1558" t="str">
        <f>B19</f>
        <v>商业繁华度</v>
      </c>
      <c r="R19" s="1559" t="s">
        <v>8</v>
      </c>
      <c r="S19" s="1560">
        <f>F19</f>
        <v>100</v>
      </c>
      <c r="T19" s="1559" t="s">
        <v>8</v>
      </c>
      <c r="U19" s="1560">
        <f>H19</f>
        <v>100</v>
      </c>
      <c r="V19" s="1559" t="s">
        <v>8</v>
      </c>
      <c r="W19" s="1560">
        <f>J19</f>
        <v>100</v>
      </c>
      <c r="X19" s="1553"/>
      <c r="Y19" s="3440"/>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440"/>
      <c r="Q20" s="1558"/>
      <c r="R20" s="1559"/>
      <c r="S20" s="1560"/>
      <c r="T20" s="1559"/>
      <c r="U20" s="1560"/>
      <c r="V20" s="1559"/>
      <c r="W20" s="1560"/>
      <c r="X20" s="1553"/>
      <c r="Y20" s="3440"/>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40"/>
      <c r="Q21" s="1558" t="str">
        <f>B21</f>
        <v>办公集聚程度</v>
      </c>
      <c r="R21" s="1559" t="s">
        <v>8</v>
      </c>
      <c r="S21" s="1560">
        <f>F21</f>
        <v>100</v>
      </c>
      <c r="T21" s="1559" t="s">
        <v>8</v>
      </c>
      <c r="U21" s="1560">
        <f>H21</f>
        <v>100</v>
      </c>
      <c r="V21" s="1559" t="s">
        <v>8</v>
      </c>
      <c r="W21" s="1560">
        <f>J21</f>
        <v>100</v>
      </c>
      <c r="X21" s="1553"/>
      <c r="Y21" s="3440"/>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440"/>
      <c r="Q22" s="1558"/>
      <c r="R22" s="1559"/>
      <c r="S22" s="1560"/>
      <c r="T22" s="1559"/>
      <c r="U22" s="1560"/>
      <c r="V22" s="1559"/>
      <c r="W22" s="1560"/>
      <c r="X22" s="1553"/>
      <c r="Y22" s="3440"/>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440"/>
      <c r="Q23" s="1558" t="str">
        <f>B23</f>
        <v>交通便捷度</v>
      </c>
      <c r="R23" s="1559" t="s">
        <v>8</v>
      </c>
      <c r="S23" s="1560">
        <f>F23</f>
        <v>100</v>
      </c>
      <c r="T23" s="1559" t="s">
        <v>8</v>
      </c>
      <c r="U23" s="1560">
        <f>H23</f>
        <v>100</v>
      </c>
      <c r="V23" s="1559" t="s">
        <v>8</v>
      </c>
      <c r="W23" s="1560">
        <f>J23</f>
        <v>100</v>
      </c>
      <c r="X23" s="1553"/>
      <c r="Y23" s="3440"/>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440"/>
      <c r="Q24" s="1558"/>
      <c r="R24" s="1559"/>
      <c r="S24" s="1560"/>
      <c r="T24" s="1559"/>
      <c r="U24" s="1560"/>
      <c r="V24" s="1559"/>
      <c r="W24" s="1560"/>
      <c r="X24" s="1553"/>
      <c r="Y24" s="3440"/>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40"/>
      <c r="Q25" s="1558" t="str">
        <f t="shared" ref="Q25:Q39" si="8">B25</f>
        <v>区域土地利用方向</v>
      </c>
      <c r="R25" s="1559" t="s">
        <v>8</v>
      </c>
      <c r="S25" s="1560">
        <f>F25</f>
        <v>100</v>
      </c>
      <c r="T25" s="1559" t="s">
        <v>8</v>
      </c>
      <c r="U25" s="1560">
        <f>H25</f>
        <v>100</v>
      </c>
      <c r="V25" s="1559" t="s">
        <v>8</v>
      </c>
      <c r="W25" s="1560">
        <f>J25</f>
        <v>100</v>
      </c>
      <c r="X25" s="1553"/>
      <c r="Y25" s="3440"/>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440"/>
      <c r="Q26" s="1558"/>
      <c r="R26" s="1559"/>
      <c r="S26" s="1560"/>
      <c r="T26" s="1559"/>
      <c r="U26" s="1560"/>
      <c r="V26" s="1559"/>
      <c r="W26" s="1560"/>
      <c r="X26" s="1553"/>
      <c r="Y26" s="3440"/>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440"/>
      <c r="Q27" s="1558" t="str">
        <f t="shared" si="8"/>
        <v>自然及人文环境状况</v>
      </c>
      <c r="R27" s="1559" t="s">
        <v>8</v>
      </c>
      <c r="S27" s="1560">
        <f>F27</f>
        <v>100</v>
      </c>
      <c r="T27" s="1559" t="s">
        <v>8</v>
      </c>
      <c r="U27" s="1560">
        <f>H27</f>
        <v>100</v>
      </c>
      <c r="V27" s="1559" t="s">
        <v>8</v>
      </c>
      <c r="W27" s="1560">
        <f>J27</f>
        <v>100</v>
      </c>
      <c r="X27" s="1553"/>
      <c r="Y27" s="3440"/>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440"/>
      <c r="Q28" s="1558"/>
      <c r="R28" s="1559"/>
      <c r="S28" s="1560"/>
      <c r="T28" s="1559"/>
      <c r="U28" s="1560"/>
      <c r="V28" s="1559"/>
      <c r="W28" s="1560"/>
      <c r="X28" s="1553"/>
      <c r="Y28" s="3440"/>
      <c r="Z28" s="1561"/>
      <c r="AA28" s="1562">
        <v>1</v>
      </c>
      <c r="AB28" s="1562">
        <v>1</v>
      </c>
      <c r="AC28" s="1562">
        <v>1</v>
      </c>
    </row>
    <row r="29" spans="1:29" s="1215" customFormat="1" ht="42.75">
      <c r="A29" s="577"/>
      <c r="B29" s="2555"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40"/>
      <c r="Q29" s="1146" t="str">
        <f t="shared" si="8"/>
        <v>公共配套设施</v>
      </c>
      <c r="R29" s="1554" t="s">
        <v>8</v>
      </c>
      <c r="S29" s="1555">
        <f>F29</f>
        <v>100</v>
      </c>
      <c r="T29" s="1554" t="s">
        <v>8</v>
      </c>
      <c r="U29" s="1555">
        <f>H29</f>
        <v>100</v>
      </c>
      <c r="V29" s="1554" t="s">
        <v>8</v>
      </c>
      <c r="W29" s="1555">
        <f>J29</f>
        <v>100</v>
      </c>
      <c r="X29" s="1556"/>
      <c r="Y29" s="3440"/>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440"/>
      <c r="Q30" s="1146"/>
      <c r="R30" s="1554"/>
      <c r="S30" s="1555"/>
      <c r="T30" s="1554"/>
      <c r="U30" s="1555"/>
      <c r="V30" s="1554"/>
      <c r="W30" s="1555"/>
      <c r="X30" s="1556"/>
      <c r="Y30" s="3440"/>
      <c r="Z30" s="1145"/>
      <c r="AA30" s="1562">
        <v>1</v>
      </c>
      <c r="AB30" s="1562">
        <v>1</v>
      </c>
      <c r="AC30" s="1562">
        <v>1</v>
      </c>
    </row>
    <row r="31" spans="1:29" s="1215" customFormat="1" ht="28.5">
      <c r="A31" s="577"/>
      <c r="B31" s="2555"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40"/>
      <c r="Q31" s="2542" t="str">
        <f t="shared" ref="Q31" si="9">B31</f>
        <v>基础设施水平</v>
      </c>
      <c r="R31" s="1554" t="s">
        <v>8</v>
      </c>
      <c r="S31" s="1555">
        <f>F31</f>
        <v>100</v>
      </c>
      <c r="T31" s="1554" t="s">
        <v>8</v>
      </c>
      <c r="U31" s="1555">
        <f>H31</f>
        <v>100</v>
      </c>
      <c r="V31" s="1554" t="s">
        <v>8</v>
      </c>
      <c r="W31" s="1555">
        <f>J31</f>
        <v>100</v>
      </c>
      <c r="X31" s="1556"/>
      <c r="Y31" s="3440"/>
      <c r="Z31" s="2539" t="str">
        <f>Q31</f>
        <v>基础设施水平</v>
      </c>
      <c r="AA31" s="1562">
        <f>D31/F31</f>
        <v>1</v>
      </c>
      <c r="AB31" s="1562">
        <f>D31/H31</f>
        <v>1</v>
      </c>
      <c r="AC31" s="1562">
        <f>D31/J31</f>
        <v>1</v>
      </c>
    </row>
    <row r="32" spans="1:29" s="1215" customFormat="1" ht="20.25">
      <c r="A32" s="577"/>
      <c r="B32" s="566"/>
      <c r="C32" s="579"/>
      <c r="D32" s="557"/>
      <c r="E32" s="2556"/>
      <c r="F32" s="555"/>
      <c r="G32" s="579"/>
      <c r="H32" s="555"/>
      <c r="I32" s="579"/>
      <c r="J32" s="555"/>
      <c r="K32" s="531"/>
      <c r="L32" s="2120"/>
      <c r="M32" s="2117"/>
      <c r="N32" s="2117"/>
      <c r="O32" s="2122"/>
      <c r="P32" s="3440"/>
      <c r="Q32" s="2542"/>
      <c r="R32" s="1554"/>
      <c r="S32" s="1555"/>
      <c r="T32" s="1554"/>
      <c r="U32" s="1555"/>
      <c r="V32" s="1554"/>
      <c r="W32" s="1555"/>
      <c r="X32" s="1556"/>
      <c r="Y32" s="3440"/>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40"/>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40"/>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40"/>
      <c r="Q34" s="1558" t="str">
        <f t="shared" si="8"/>
        <v>毗邻道路的类型与等级</v>
      </c>
      <c r="R34" s="1559" t="s">
        <v>8</v>
      </c>
      <c r="S34" s="1560">
        <f t="shared" si="10"/>
        <v>100</v>
      </c>
      <c r="T34" s="1559" t="s">
        <v>8</v>
      </c>
      <c r="U34" s="1560">
        <f t="shared" si="11"/>
        <v>100</v>
      </c>
      <c r="V34" s="1559" t="s">
        <v>8</v>
      </c>
      <c r="W34" s="1560">
        <f t="shared" si="12"/>
        <v>100</v>
      </c>
      <c r="X34" s="1553"/>
      <c r="Y34" s="3440"/>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40"/>
      <c r="Q35" s="1558"/>
      <c r="R35" s="1559"/>
      <c r="S35" s="1560"/>
      <c r="T35" s="1559"/>
      <c r="U35" s="1560"/>
      <c r="V35" s="1559"/>
      <c r="W35" s="1560"/>
      <c r="X35" s="1553"/>
      <c r="Y35" s="3440"/>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40"/>
      <c r="Q36" s="1558" t="str">
        <f t="shared" si="8"/>
        <v>土地级别</v>
      </c>
      <c r="R36" s="1559" t="s">
        <v>8</v>
      </c>
      <c r="S36" s="1560">
        <f t="shared" si="10"/>
        <v>100</v>
      </c>
      <c r="T36" s="1559" t="s">
        <v>8</v>
      </c>
      <c r="U36" s="1560">
        <f t="shared" si="11"/>
        <v>100</v>
      </c>
      <c r="V36" s="1559" t="s">
        <v>8</v>
      </c>
      <c r="W36" s="1560">
        <f t="shared" si="12"/>
        <v>100</v>
      </c>
      <c r="X36" s="1553"/>
      <c r="Y36" s="3440"/>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40"/>
      <c r="Q37" s="1558">
        <f t="shared" si="8"/>
        <v>111</v>
      </c>
      <c r="R37" s="1559" t="s">
        <v>8</v>
      </c>
      <c r="S37" s="1560">
        <f t="shared" si="10"/>
        <v>100</v>
      </c>
      <c r="T37" s="1559" t="s">
        <v>8</v>
      </c>
      <c r="U37" s="1560">
        <f t="shared" si="11"/>
        <v>100</v>
      </c>
      <c r="V37" s="1559" t="s">
        <v>8</v>
      </c>
      <c r="W37" s="1560">
        <f t="shared" si="12"/>
        <v>100</v>
      </c>
      <c r="X37" s="1553"/>
      <c r="Y37" s="3440"/>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41" t="s">
        <v>550</v>
      </c>
      <c r="Q38" s="1558">
        <f t="shared" si="8"/>
        <v>111</v>
      </c>
      <c r="R38" s="1559" t="s">
        <v>8</v>
      </c>
      <c r="S38" s="1560">
        <f t="shared" si="10"/>
        <v>100</v>
      </c>
      <c r="T38" s="1559" t="s">
        <v>8</v>
      </c>
      <c r="U38" s="1560">
        <f t="shared" si="11"/>
        <v>100</v>
      </c>
      <c r="V38" s="1559" t="s">
        <v>8</v>
      </c>
      <c r="W38" s="1560">
        <f t="shared" si="12"/>
        <v>100</v>
      </c>
      <c r="X38" s="1553"/>
      <c r="Y38" s="3442"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42"/>
      <c r="Q39" s="1558">
        <f t="shared" si="8"/>
        <v>111</v>
      </c>
      <c r="R39" s="1563" t="s">
        <v>8</v>
      </c>
      <c r="S39" s="1564">
        <f t="shared" si="10"/>
        <v>100</v>
      </c>
      <c r="T39" s="1563" t="s">
        <v>8</v>
      </c>
      <c r="U39" s="1564">
        <f t="shared" si="11"/>
        <v>100</v>
      </c>
      <c r="V39" s="1563" t="s">
        <v>8</v>
      </c>
      <c r="W39" s="1564">
        <f t="shared" si="12"/>
        <v>100</v>
      </c>
      <c r="X39" s="1565"/>
      <c r="Y39" s="3442"/>
      <c r="Z39" s="1566">
        <f t="shared" si="13"/>
        <v>111</v>
      </c>
      <c r="AA39" s="1562">
        <f t="shared" si="3"/>
        <v>1</v>
      </c>
      <c r="AB39" s="1562">
        <f t="shared" si="4"/>
        <v>1</v>
      </c>
      <c r="AC39" s="1562">
        <f t="shared" si="5"/>
        <v>1</v>
      </c>
    </row>
    <row r="40" spans="1:29" ht="20.25">
      <c r="A40" s="2862"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442"/>
      <c r="Q40" s="1558" t="str">
        <f>B40</f>
        <v>宗地面积</v>
      </c>
      <c r="R40" s="1559" t="s">
        <v>8</v>
      </c>
      <c r="S40" s="1560" t="e">
        <f t="shared" si="10"/>
        <v>#N/A</v>
      </c>
      <c r="T40" s="1559" t="s">
        <v>8</v>
      </c>
      <c r="U40" s="1560" t="e">
        <f t="shared" si="11"/>
        <v>#N/A</v>
      </c>
      <c r="V40" s="1559" t="s">
        <v>8</v>
      </c>
      <c r="W40" s="1560" t="e">
        <f t="shared" si="12"/>
        <v>#N/A</v>
      </c>
      <c r="X40" s="1553"/>
      <c r="Y40" s="3442"/>
      <c r="Z40" s="1561" t="str">
        <f t="shared" si="13"/>
        <v>宗地面积</v>
      </c>
      <c r="AA40" s="1562" t="e">
        <f t="shared" si="3"/>
        <v>#N/A</v>
      </c>
      <c r="AB40" s="1562" t="e">
        <f t="shared" si="4"/>
        <v>#N/A</v>
      </c>
      <c r="AC40" s="1562"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42"/>
      <c r="Q41" s="1558" t="str">
        <f t="shared" ref="Q41:Q47" si="14">B41</f>
        <v>宗地形状</v>
      </c>
      <c r="R41" s="1559" t="s">
        <v>8</v>
      </c>
      <c r="S41" s="1560">
        <f t="shared" si="10"/>
        <v>100</v>
      </c>
      <c r="T41" s="1559" t="s">
        <v>8</v>
      </c>
      <c r="U41" s="1560">
        <f t="shared" si="11"/>
        <v>100</v>
      </c>
      <c r="V41" s="1559" t="s">
        <v>8</v>
      </c>
      <c r="W41" s="1560">
        <f t="shared" si="12"/>
        <v>100</v>
      </c>
      <c r="X41" s="1553"/>
      <c r="Y41" s="3442"/>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42"/>
      <c r="Q42" s="1558" t="str">
        <f t="shared" si="14"/>
        <v>临街宽度及深度</v>
      </c>
      <c r="R42" s="1559" t="s">
        <v>8</v>
      </c>
      <c r="S42" s="1560">
        <f t="shared" si="10"/>
        <v>100</v>
      </c>
      <c r="T42" s="1559" t="s">
        <v>8</v>
      </c>
      <c r="U42" s="1560">
        <f t="shared" si="11"/>
        <v>100</v>
      </c>
      <c r="V42" s="1559" t="s">
        <v>8</v>
      </c>
      <c r="W42" s="1560">
        <f t="shared" si="12"/>
        <v>100</v>
      </c>
      <c r="X42" s="1553"/>
      <c r="Y42" s="3442"/>
      <c r="Z42" s="1561" t="str">
        <f t="shared" si="13"/>
        <v>临街宽度及深度</v>
      </c>
      <c r="AA42" s="1562">
        <f t="shared" si="3"/>
        <v>1</v>
      </c>
      <c r="AB42" s="1562">
        <f t="shared" si="4"/>
        <v>1</v>
      </c>
      <c r="AC42" s="1562">
        <f t="shared" si="5"/>
        <v>1</v>
      </c>
    </row>
    <row r="43" spans="1:29" s="1215" customFormat="1" ht="20.25">
      <c r="A43" s="600"/>
      <c r="B43" s="1880"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42"/>
      <c r="Q43" s="1558" t="str">
        <f t="shared" si="14"/>
        <v>宗地开发程度</v>
      </c>
      <c r="R43" s="1554" t="s">
        <v>8</v>
      </c>
      <c r="S43" s="1555">
        <f t="shared" si="10"/>
        <v>100</v>
      </c>
      <c r="T43" s="1554" t="s">
        <v>8</v>
      </c>
      <c r="U43" s="1555">
        <f t="shared" si="11"/>
        <v>100</v>
      </c>
      <c r="V43" s="1554" t="s">
        <v>8</v>
      </c>
      <c r="W43" s="1555">
        <f t="shared" si="12"/>
        <v>100</v>
      </c>
      <c r="X43" s="1556"/>
      <c r="Y43" s="3442"/>
      <c r="Z43" s="1145"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42" t="s">
        <v>550</v>
      </c>
      <c r="Q44" s="1558" t="str">
        <f t="shared" si="14"/>
        <v>工程地质条件</v>
      </c>
      <c r="R44" s="1559" t="s">
        <v>8</v>
      </c>
      <c r="S44" s="1560">
        <f t="shared" si="10"/>
        <v>100</v>
      </c>
      <c r="T44" s="1559" t="s">
        <v>8</v>
      </c>
      <c r="U44" s="1560">
        <f t="shared" si="11"/>
        <v>100</v>
      </c>
      <c r="V44" s="1559" t="s">
        <v>8</v>
      </c>
      <c r="W44" s="1560">
        <f t="shared" si="12"/>
        <v>100</v>
      </c>
      <c r="X44" s="1553"/>
      <c r="Y44" s="3442"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42"/>
      <c r="Q45" s="1558">
        <f t="shared" si="14"/>
        <v>111</v>
      </c>
      <c r="R45" s="1559" t="s">
        <v>8</v>
      </c>
      <c r="S45" s="1560">
        <f t="shared" si="10"/>
        <v>100</v>
      </c>
      <c r="T45" s="1559" t="s">
        <v>8</v>
      </c>
      <c r="U45" s="1560">
        <f t="shared" si="11"/>
        <v>100</v>
      </c>
      <c r="V45" s="1559" t="s">
        <v>8</v>
      </c>
      <c r="W45" s="1560">
        <f t="shared" si="12"/>
        <v>100</v>
      </c>
      <c r="X45" s="1553"/>
      <c r="Y45" s="3442"/>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42"/>
      <c r="Q46" s="1558">
        <f t="shared" si="14"/>
        <v>111</v>
      </c>
      <c r="R46" s="1559" t="s">
        <v>8</v>
      </c>
      <c r="S46" s="1560">
        <f t="shared" si="10"/>
        <v>100</v>
      </c>
      <c r="T46" s="1559" t="s">
        <v>8</v>
      </c>
      <c r="U46" s="1560">
        <f t="shared" si="11"/>
        <v>100</v>
      </c>
      <c r="V46" s="1559" t="s">
        <v>8</v>
      </c>
      <c r="W46" s="1560">
        <f t="shared" si="12"/>
        <v>100</v>
      </c>
      <c r="X46" s="1553"/>
      <c r="Y46" s="3442"/>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42"/>
      <c r="Q47" s="1558">
        <f t="shared" si="14"/>
        <v>111</v>
      </c>
      <c r="R47" s="1563" t="s">
        <v>8</v>
      </c>
      <c r="S47" s="1564">
        <f t="shared" si="10"/>
        <v>100</v>
      </c>
      <c r="T47" s="1563" t="s">
        <v>8</v>
      </c>
      <c r="U47" s="1564">
        <f t="shared" si="11"/>
        <v>100</v>
      </c>
      <c r="V47" s="1563" t="s">
        <v>8</v>
      </c>
      <c r="W47" s="1564">
        <f t="shared" si="12"/>
        <v>100</v>
      </c>
      <c r="X47" s="1565"/>
      <c r="Y47" s="3442"/>
      <c r="Z47" s="1566">
        <f t="shared" si="13"/>
        <v>111</v>
      </c>
      <c r="AA47" s="1562">
        <f t="shared" si="3"/>
        <v>1</v>
      </c>
      <c r="AB47" s="1562">
        <f t="shared" si="4"/>
        <v>1</v>
      </c>
      <c r="AC47" s="1562">
        <f t="shared" si="5"/>
        <v>1</v>
      </c>
    </row>
    <row r="48" spans="1:29" ht="20.25">
      <c r="A48" s="607" t="s">
        <v>556</v>
      </c>
      <c r="B48" s="608" t="s">
        <v>2935</v>
      </c>
      <c r="C48" s="609" t="s">
        <v>1</v>
      </c>
      <c r="D48" s="610"/>
      <c r="E48" s="611"/>
      <c r="F48" s="612"/>
      <c r="G48" s="613"/>
      <c r="H48" s="614"/>
      <c r="I48" s="611"/>
      <c r="J48" s="614"/>
      <c r="K48" s="1335"/>
      <c r="L48" s="2129"/>
      <c r="M48" s="2117"/>
      <c r="N48" s="2117"/>
      <c r="O48" s="2130"/>
      <c r="P48" s="3437" t="str">
        <f>A48</f>
        <v>成交单价</v>
      </c>
      <c r="Q48" s="3437"/>
      <c r="R48" s="3451">
        <f>E48</f>
        <v>0</v>
      </c>
      <c r="S48" s="3451"/>
      <c r="T48" s="3451">
        <f>G48</f>
        <v>0</v>
      </c>
      <c r="U48" s="3451"/>
      <c r="V48" s="3451">
        <f>I48</f>
        <v>0</v>
      </c>
      <c r="W48" s="3451"/>
      <c r="X48" s="1545"/>
      <c r="Y48" s="1567"/>
      <c r="Z48" s="1545"/>
      <c r="AA48" s="1545"/>
      <c r="AB48" s="1545"/>
      <c r="AC48" s="1545"/>
    </row>
    <row r="49" spans="1:29" ht="21" thickBot="1">
      <c r="A49" s="615" t="s">
        <v>2693</v>
      </c>
      <c r="B49" s="616"/>
      <c r="C49" s="617" t="e">
        <f>R50</f>
        <v>#DIV/0!</v>
      </c>
      <c r="D49" s="618"/>
      <c r="E49" s="617" t="e">
        <f>R49</f>
        <v>#DIV/0!</v>
      </c>
      <c r="F49" s="619"/>
      <c r="G49" s="620" t="e">
        <f>T49</f>
        <v>#DIV/0!</v>
      </c>
      <c r="H49" s="618"/>
      <c r="I49" s="617" t="e">
        <f>V49</f>
        <v>#DIV/0!</v>
      </c>
      <c r="J49" s="618"/>
      <c r="K49" s="1336"/>
      <c r="L49" s="2129"/>
      <c r="M49" s="2117"/>
      <c r="N49" s="2117"/>
      <c r="O49" s="2130"/>
      <c r="P49" s="3437" t="str">
        <f>A49</f>
        <v>比较价格（元/平方米）</v>
      </c>
      <c r="Q49" s="3437"/>
      <c r="R49" s="3461" t="e">
        <f>ROUND(PRODUCT(R48,AA9:AA47),0)</f>
        <v>#DIV/0!</v>
      </c>
      <c r="S49" s="3461"/>
      <c r="T49" s="3461" t="e">
        <f>ROUND(PRODUCT(T48,AB9:AB47),0)</f>
        <v>#DIV/0!</v>
      </c>
      <c r="U49" s="3461"/>
      <c r="V49" s="3461" t="e">
        <f>ROUND(PRODUCT(V48,AC9:AC47),0)</f>
        <v>#DIV/0!</v>
      </c>
      <c r="W49" s="3461"/>
      <c r="X49" s="1545"/>
      <c r="Y49" s="1545"/>
      <c r="Z49" s="1545"/>
      <c r="AA49" s="1545"/>
      <c r="AB49" s="1545"/>
      <c r="AC49" s="1545"/>
    </row>
    <row r="50" spans="1:29" ht="21" thickBot="1">
      <c r="A50" s="621" t="s">
        <v>2936</v>
      </c>
      <c r="B50" s="622"/>
      <c r="C50" s="623" t="e">
        <f>R50</f>
        <v>#DIV/0!</v>
      </c>
      <c r="D50" s="623"/>
      <c r="E50" s="623"/>
      <c r="F50" s="623"/>
      <c r="G50" s="623"/>
      <c r="H50" s="623"/>
      <c r="I50" s="623"/>
      <c r="J50" s="623"/>
      <c r="K50" s="1337"/>
      <c r="L50" s="2129"/>
      <c r="M50" s="2117"/>
      <c r="N50" s="2117"/>
      <c r="O50" s="2130"/>
      <c r="P50" s="3458" t="str">
        <f>A50</f>
        <v>估价对象XX用房的比较价格（楼面单价，元/平方米）</v>
      </c>
      <c r="Q50" s="3459"/>
      <c r="R50" s="3460" t="e">
        <f>ROUND(AVERAGE(R49:V49),0)</f>
        <v>#DIV/0!</v>
      </c>
      <c r="S50" s="3460"/>
      <c r="T50" s="3460"/>
      <c r="U50" s="3460"/>
      <c r="V50" s="3460"/>
      <c r="W50" s="3460"/>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421" t="s">
        <v>2281</v>
      </c>
      <c r="H57" s="3422"/>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t="e">
        <f>C50</f>
        <v>#DIV/0!</v>
      </c>
      <c r="C58" s="635">
        <v>1</v>
      </c>
      <c r="D58" s="2213">
        <v>1</v>
      </c>
      <c r="E58" s="635">
        <f>'数据-汇总表'!E8+'数据-汇总表'!E9</f>
        <v>182200</v>
      </c>
      <c r="F58" s="636" t="e">
        <f t="shared" ref="F58:F67" si="15">ROUND(B58*E58/10000,0)</f>
        <v>#DIV/0!</v>
      </c>
      <c r="G58" s="3423"/>
      <c r="H58" s="3424"/>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t="e">
        <f>ROUND($C$50*C59*D59,0)</f>
        <v>#DIV/0!</v>
      </c>
      <c r="C59" s="378">
        <f t="shared" ref="C59:C67" si="16">IF($C$57="北京市系数",I59,J59)</f>
        <v>0</v>
      </c>
      <c r="D59" s="2214">
        <v>0.25</v>
      </c>
      <c r="E59" s="639">
        <v>0</v>
      </c>
      <c r="F59" s="636" t="e">
        <f t="shared" si="15"/>
        <v>#DIV/0!</v>
      </c>
      <c r="G59" s="3425"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t="e">
        <f t="shared" ref="B60:B67" si="17">ROUND($C$50*C60*D60,0)</f>
        <v>#DIV/0!</v>
      </c>
      <c r="C60" s="378">
        <f t="shared" si="16"/>
        <v>0</v>
      </c>
      <c r="D60" s="2214">
        <v>0.25</v>
      </c>
      <c r="E60" s="639">
        <v>0</v>
      </c>
      <c r="F60" s="636" t="e">
        <f t="shared" si="15"/>
        <v>#DIV/0!</v>
      </c>
      <c r="G60" s="3425"/>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t="e">
        <f t="shared" si="17"/>
        <v>#DIV/0!</v>
      </c>
      <c r="C61" s="378">
        <f t="shared" si="16"/>
        <v>0</v>
      </c>
      <c r="D61" s="2214">
        <v>0.25</v>
      </c>
      <c r="E61" s="639">
        <v>0</v>
      </c>
      <c r="F61" s="636" t="e">
        <f t="shared" si="15"/>
        <v>#DIV/0!</v>
      </c>
      <c r="G61" s="3425"/>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t="e">
        <f t="shared" si="17"/>
        <v>#DIV/0!</v>
      </c>
      <c r="C62" s="378">
        <f t="shared" si="16"/>
        <v>0</v>
      </c>
      <c r="D62" s="2214">
        <v>0.25</v>
      </c>
      <c r="E62" s="639">
        <v>0</v>
      </c>
      <c r="F62" s="636" t="e">
        <f t="shared" si="15"/>
        <v>#DIV/0!</v>
      </c>
      <c r="G62" s="3425"/>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2328</v>
      </c>
      <c r="B63" s="638" t="e">
        <f t="shared" si="17"/>
        <v>#DIV/0!</v>
      </c>
      <c r="C63" s="378">
        <f t="shared" si="16"/>
        <v>0</v>
      </c>
      <c r="D63" s="2214">
        <v>0.25</v>
      </c>
      <c r="E63" s="641">
        <f>'数据-汇总表'!E11</f>
        <v>0</v>
      </c>
      <c r="F63" s="636" t="e">
        <f t="shared" si="15"/>
        <v>#DIV/0!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t="e">
        <f t="shared" si="17"/>
        <v>#DIV/0!</v>
      </c>
      <c r="C64" s="378">
        <f t="shared" si="16"/>
        <v>0</v>
      </c>
      <c r="D64" s="2214">
        <v>0.25</v>
      </c>
      <c r="E64" s="641">
        <f>'数据-汇总表'!E12</f>
        <v>0</v>
      </c>
      <c r="F64" s="636" t="e">
        <f t="shared" si="15"/>
        <v>#DIV/0!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t="e">
        <f t="shared" si="17"/>
        <v>#DIV/0!</v>
      </c>
      <c r="C65" s="378">
        <f t="shared" si="16"/>
        <v>0</v>
      </c>
      <c r="D65" s="2214">
        <v>0.25</v>
      </c>
      <c r="E65" s="641">
        <f>'数据-汇总表'!E13</f>
        <v>0</v>
      </c>
      <c r="F65" s="636" t="e">
        <f t="shared" si="15"/>
        <v>#DIV/0!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t="e">
        <f t="shared" si="17"/>
        <v>#DIV/0!</v>
      </c>
      <c r="C66" s="378">
        <f t="shared" si="16"/>
        <v>0</v>
      </c>
      <c r="D66" s="2214">
        <v>0.25</v>
      </c>
      <c r="E66" s="641">
        <f>'数据-汇总表'!E14</f>
        <v>0</v>
      </c>
      <c r="F66" s="636" t="e">
        <f t="shared" si="15"/>
        <v>#DIV/0!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t="e">
        <f t="shared" si="17"/>
        <v>#DIV/0!</v>
      </c>
      <c r="C67" s="378">
        <f t="shared" si="16"/>
        <v>0</v>
      </c>
      <c r="D67" s="2214">
        <v>0.25</v>
      </c>
      <c r="E67" s="641">
        <f>'数据-汇总表'!E15</f>
        <v>0</v>
      </c>
      <c r="F67" s="636" t="e">
        <f t="shared" si="15"/>
        <v>#DIV/0!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2294</v>
      </c>
      <c r="E68" s="643">
        <f>IF(B48="楼面地价",SUM(E58:E67),'数据-汇总表'!D3)</f>
        <v>303666</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2019-6-1</v>
      </c>
      <c r="D70" s="2754">
        <f>EDATE(C70,-3)</f>
        <v>43525</v>
      </c>
      <c r="E70" s="2754">
        <f t="shared" ref="E70:N70" si="18">EDATE(D70,-3)</f>
        <v>43435</v>
      </c>
      <c r="F70" s="2754">
        <f t="shared" si="18"/>
        <v>43344</v>
      </c>
      <c r="G70" s="2754">
        <f t="shared" si="18"/>
        <v>43252</v>
      </c>
      <c r="H70" s="2754">
        <f t="shared" si="18"/>
        <v>43160</v>
      </c>
      <c r="I70" s="2754">
        <f t="shared" si="18"/>
        <v>43070</v>
      </c>
      <c r="J70" s="2754">
        <f t="shared" si="18"/>
        <v>42979</v>
      </c>
      <c r="K70" s="2754">
        <f t="shared" si="18"/>
        <v>42887</v>
      </c>
      <c r="L70" s="2754">
        <f t="shared" si="18"/>
        <v>42795</v>
      </c>
      <c r="M70" s="2754">
        <f t="shared" si="18"/>
        <v>42705</v>
      </c>
      <c r="N70" s="2754">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2532</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2647</v>
      </c>
      <c r="B73" s="479" t="str">
        <f>"北京市平均增长率"&amp;TEXT(SUMIF(基准地价!N21:N25,A73,基准地价!P21:P25),"0.00%")</f>
        <v>北京市平均增长率2.06%</v>
      </c>
      <c r="C73" s="893">
        <v>100</v>
      </c>
      <c r="D73" s="730"/>
      <c r="E73" s="730"/>
      <c r="F73" s="730"/>
      <c r="G73" s="730"/>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2425</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56" t="str">
        <f>项目基本情况!B1</f>
        <v>北京市出让国有建设用地使用权市场价格预评估</v>
      </c>
      <c r="C37" s="3256"/>
      <c r="D37" s="3256"/>
      <c r="E37" s="3256"/>
      <c r="F37" s="3256"/>
      <c r="G37" s="3256"/>
      <c r="H37" s="3256"/>
      <c r="I37" s="3256"/>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43" t="s">
        <v>522</v>
      </c>
      <c r="D6" s="3444"/>
      <c r="E6" s="3467" t="s">
        <v>523</v>
      </c>
      <c r="F6" s="3468"/>
      <c r="G6" s="3443" t="s">
        <v>524</v>
      </c>
      <c r="H6" s="3444"/>
      <c r="I6" s="3443" t="s">
        <v>525</v>
      </c>
      <c r="J6" s="3444"/>
      <c r="K6" s="514" t="s">
        <v>526</v>
      </c>
      <c r="L6" s="2118"/>
      <c r="M6" s="2119"/>
      <c r="N6" s="2119"/>
      <c r="O6" s="2119"/>
      <c r="P6" s="3445" t="s">
        <v>527</v>
      </c>
      <c r="Q6" s="3446"/>
      <c r="R6" s="3431" t="s">
        <v>523</v>
      </c>
      <c r="S6" s="3432"/>
      <c r="T6" s="3431" t="s">
        <v>524</v>
      </c>
      <c r="U6" s="3432"/>
      <c r="V6" s="3451" t="s">
        <v>525</v>
      </c>
      <c r="W6" s="3451"/>
      <c r="X6" s="1553"/>
      <c r="Y6" s="3431" t="s">
        <v>527</v>
      </c>
      <c r="Z6" s="3432"/>
      <c r="AA6" s="3426" t="s">
        <v>523</v>
      </c>
      <c r="AB6" s="3427" t="s">
        <v>524</v>
      </c>
      <c r="AC6" s="3426" t="s">
        <v>525</v>
      </c>
    </row>
    <row r="7" spans="1:29" ht="15">
      <c r="A7" s="515"/>
      <c r="B7" s="516"/>
      <c r="C7" s="3454" t="s">
        <v>2930</v>
      </c>
      <c r="D7" s="3455"/>
      <c r="E7" s="3469" t="s">
        <v>2931</v>
      </c>
      <c r="F7" s="3470"/>
      <c r="G7" s="3454" t="s">
        <v>2932</v>
      </c>
      <c r="H7" s="3455"/>
      <c r="I7" s="3454" t="s">
        <v>2933</v>
      </c>
      <c r="J7" s="3455"/>
      <c r="K7" s="514"/>
      <c r="L7" s="2118"/>
      <c r="M7" s="2119"/>
      <c r="N7" s="2119"/>
      <c r="O7" s="2119"/>
      <c r="P7" s="3447"/>
      <c r="Q7" s="3448"/>
      <c r="R7" s="3433"/>
      <c r="S7" s="3434"/>
      <c r="T7" s="3433"/>
      <c r="U7" s="3434"/>
      <c r="V7" s="3451"/>
      <c r="W7" s="3451"/>
      <c r="X7" s="1553"/>
      <c r="Y7" s="3433"/>
      <c r="Z7" s="3434"/>
      <c r="AA7" s="3427"/>
      <c r="AB7" s="3427"/>
      <c r="AC7" s="3427"/>
    </row>
    <row r="8" spans="1:29" ht="15.75" thickBot="1">
      <c r="A8" s="517"/>
      <c r="B8" s="518"/>
      <c r="C8" s="3452" t="s">
        <v>2934</v>
      </c>
      <c r="D8" s="3453"/>
      <c r="E8" s="3471" t="s">
        <v>2934</v>
      </c>
      <c r="F8" s="3472"/>
      <c r="G8" s="3452" t="s">
        <v>2934</v>
      </c>
      <c r="H8" s="3453"/>
      <c r="I8" s="3452" t="s">
        <v>2934</v>
      </c>
      <c r="J8" s="3453"/>
      <c r="K8" s="514" t="s">
        <v>528</v>
      </c>
      <c r="L8" s="2118"/>
      <c r="M8" s="2119"/>
      <c r="N8" s="2119"/>
      <c r="O8" s="2119"/>
      <c r="P8" s="3449"/>
      <c r="Q8" s="3450"/>
      <c r="R8" s="3433"/>
      <c r="S8" s="3434"/>
      <c r="T8" s="3435"/>
      <c r="U8" s="3436"/>
      <c r="V8" s="3451"/>
      <c r="W8" s="3451"/>
      <c r="X8" s="1553"/>
      <c r="Y8" s="3435"/>
      <c r="Z8" s="3436"/>
      <c r="AA8" s="3428"/>
      <c r="AB8" s="3428"/>
      <c r="AC8" s="3428"/>
    </row>
    <row r="9" spans="1:29" s="1215" customFormat="1" ht="15.75" thickBot="1">
      <c r="A9" s="2867"/>
      <c r="B9" s="2874" t="s">
        <v>529</v>
      </c>
      <c r="C9" s="519">
        <f>'数据-取费表'!B2</f>
        <v>43646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29" t="s">
        <v>530</v>
      </c>
      <c r="Q9" s="3438"/>
      <c r="R9" s="1554" t="s">
        <v>8</v>
      </c>
      <c r="S9" s="1555">
        <f t="shared" ref="S9:S17" si="0">F9</f>
        <v>0</v>
      </c>
      <c r="T9" s="1554" t="s">
        <v>8</v>
      </c>
      <c r="U9" s="1555">
        <f t="shared" ref="U9:U17" si="1">H9</f>
        <v>0</v>
      </c>
      <c r="V9" s="1554" t="s">
        <v>8</v>
      </c>
      <c r="W9" s="1555">
        <f t="shared" ref="W9:W17" si="2">J9</f>
        <v>0</v>
      </c>
      <c r="X9" s="1556"/>
      <c r="Y9" s="3429" t="s">
        <v>530</v>
      </c>
      <c r="Z9" s="3430"/>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29" t="s">
        <v>533</v>
      </c>
      <c r="Q10" s="3430"/>
      <c r="R10" s="1554" t="s">
        <v>8</v>
      </c>
      <c r="S10" s="1555">
        <f t="shared" si="0"/>
        <v>0</v>
      </c>
      <c r="T10" s="1554" t="s">
        <v>8</v>
      </c>
      <c r="U10" s="1555">
        <f t="shared" si="1"/>
        <v>0</v>
      </c>
      <c r="V10" s="1554" t="s">
        <v>8</v>
      </c>
      <c r="W10" s="1555">
        <f t="shared" si="2"/>
        <v>0</v>
      </c>
      <c r="X10" s="1556"/>
      <c r="Y10" s="3429" t="s">
        <v>533</v>
      </c>
      <c r="Z10" s="3430"/>
      <c r="AA10" s="1557" t="e">
        <f t="shared" ref="AA10:AA42" si="3">D10/F10</f>
        <v>#DIV/0!</v>
      </c>
      <c r="AB10" s="1557" t="e">
        <f t="shared" ref="AB10:AB42" si="4">D10/H10</f>
        <v>#DIV/0!</v>
      </c>
      <c r="AC10" s="1557" t="e">
        <f t="shared" ref="AC10:AC42" si="5">D10/J10</f>
        <v>#DIV/0!</v>
      </c>
    </row>
    <row r="11" spans="1:29" s="1215"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37" t="s">
        <v>535</v>
      </c>
      <c r="Q11" s="1146" t="str">
        <f t="shared" ref="Q11:Q17" si="6">B11</f>
        <v>用途</v>
      </c>
      <c r="R11" s="1554" t="s">
        <v>8</v>
      </c>
      <c r="S11" s="1555">
        <f t="shared" si="0"/>
        <v>100</v>
      </c>
      <c r="T11" s="1554" t="s">
        <v>8</v>
      </c>
      <c r="U11" s="1555">
        <f t="shared" si="1"/>
        <v>100</v>
      </c>
      <c r="V11" s="1554" t="s">
        <v>8</v>
      </c>
      <c r="W11" s="1555">
        <f t="shared" si="2"/>
        <v>100</v>
      </c>
      <c r="X11" s="1556"/>
      <c r="Y11" s="3394" t="s">
        <v>536</v>
      </c>
      <c r="Z11" s="1145" t="str">
        <f t="shared" ref="Z11:Z17" si="7">Q11</f>
        <v>用途</v>
      </c>
      <c r="AA11" s="1557">
        <f t="shared" si="3"/>
        <v>1</v>
      </c>
      <c r="AB11" s="1557">
        <f t="shared" si="4"/>
        <v>1</v>
      </c>
      <c r="AC11" s="1557">
        <f t="shared" si="5"/>
        <v>1</v>
      </c>
    </row>
    <row r="12" spans="1:29" s="1333" customFormat="1" ht="27">
      <c r="A12" s="2870"/>
      <c r="B12" s="2875" t="s">
        <v>2757</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437"/>
      <c r="Q12" s="1146" t="str">
        <f t="shared" si="6"/>
        <v>土地使用年限（年）</v>
      </c>
      <c r="R12" s="1554" t="s">
        <v>8</v>
      </c>
      <c r="S12" s="1555">
        <f t="shared" si="0"/>
        <v>100</v>
      </c>
      <c r="T12" s="1554" t="s">
        <v>8</v>
      </c>
      <c r="U12" s="1555">
        <f t="shared" si="1"/>
        <v>100</v>
      </c>
      <c r="V12" s="1554" t="s">
        <v>8</v>
      </c>
      <c r="W12" s="1555">
        <f t="shared" si="2"/>
        <v>100</v>
      </c>
      <c r="X12" s="1556"/>
      <c r="Y12" s="3394"/>
      <c r="Z12" s="1145" t="str">
        <f t="shared" si="7"/>
        <v>土地使用年限（年）</v>
      </c>
      <c r="AA12" s="1557">
        <f t="shared" si="3"/>
        <v>1</v>
      </c>
      <c r="AB12" s="1557">
        <f t="shared" si="4"/>
        <v>1</v>
      </c>
      <c r="AC12" s="1557">
        <f t="shared" si="5"/>
        <v>1</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37"/>
      <c r="Q13" s="1146" t="str">
        <f t="shared" si="6"/>
        <v>容积率</v>
      </c>
      <c r="R13" s="1554" t="s">
        <v>8</v>
      </c>
      <c r="S13" s="1555" t="e">
        <f t="shared" si="0"/>
        <v>#N/A</v>
      </c>
      <c r="T13" s="1554" t="s">
        <v>8</v>
      </c>
      <c r="U13" s="1555" t="e">
        <f t="shared" si="1"/>
        <v>#N/A</v>
      </c>
      <c r="V13" s="1554" t="s">
        <v>8</v>
      </c>
      <c r="W13" s="1555" t="e">
        <f t="shared" si="2"/>
        <v>#N/A</v>
      </c>
      <c r="X13" s="1556"/>
      <c r="Y13" s="3394"/>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37"/>
      <c r="Q14" s="1146">
        <f t="shared" si="6"/>
        <v>111</v>
      </c>
      <c r="R14" s="1554" t="s">
        <v>8</v>
      </c>
      <c r="S14" s="1555">
        <f t="shared" si="0"/>
        <v>100</v>
      </c>
      <c r="T14" s="1554" t="s">
        <v>8</v>
      </c>
      <c r="U14" s="1555">
        <f t="shared" si="1"/>
        <v>100</v>
      </c>
      <c r="V14" s="1554" t="s">
        <v>8</v>
      </c>
      <c r="W14" s="1555">
        <f t="shared" si="2"/>
        <v>100</v>
      </c>
      <c r="X14" s="1556"/>
      <c r="Y14" s="3394"/>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37"/>
      <c r="Q15" s="1146">
        <f t="shared" si="6"/>
        <v>111</v>
      </c>
      <c r="R15" s="1554" t="s">
        <v>8</v>
      </c>
      <c r="S15" s="1555">
        <f t="shared" si="0"/>
        <v>100</v>
      </c>
      <c r="T15" s="1554" t="s">
        <v>8</v>
      </c>
      <c r="U15" s="1555">
        <f t="shared" si="1"/>
        <v>100</v>
      </c>
      <c r="V15" s="1554" t="s">
        <v>8</v>
      </c>
      <c r="W15" s="1555">
        <f t="shared" si="2"/>
        <v>100</v>
      </c>
      <c r="X15" s="1556"/>
      <c r="Y15" s="3394"/>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37"/>
      <c r="Q16" s="1146">
        <f t="shared" si="6"/>
        <v>111</v>
      </c>
      <c r="R16" s="1554" t="s">
        <v>8</v>
      </c>
      <c r="S16" s="1555">
        <f t="shared" si="0"/>
        <v>100</v>
      </c>
      <c r="T16" s="1554" t="s">
        <v>8</v>
      </c>
      <c r="U16" s="1555">
        <f t="shared" si="1"/>
        <v>100</v>
      </c>
      <c r="V16" s="1554" t="s">
        <v>8</v>
      </c>
      <c r="W16" s="1555">
        <f t="shared" si="2"/>
        <v>100</v>
      </c>
      <c r="X16" s="1556"/>
      <c r="Y16" s="3394"/>
      <c r="Z16" s="1145">
        <f t="shared" si="7"/>
        <v>111</v>
      </c>
      <c r="AA16" s="1557">
        <f t="shared" si="3"/>
        <v>1</v>
      </c>
      <c r="AB16" s="1557">
        <f t="shared" si="4"/>
        <v>1</v>
      </c>
      <c r="AC16" s="1557">
        <f t="shared" si="5"/>
        <v>1</v>
      </c>
    </row>
    <row r="17" spans="1:29" ht="57">
      <c r="A17" s="2865" t="s">
        <v>2754</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39" t="s">
        <v>540</v>
      </c>
      <c r="Q17" s="1558" t="str">
        <f t="shared" si="6"/>
        <v>产业集聚程度</v>
      </c>
      <c r="R17" s="1559" t="s">
        <v>8</v>
      </c>
      <c r="S17" s="1560">
        <f t="shared" si="0"/>
        <v>100</v>
      </c>
      <c r="T17" s="1559" t="s">
        <v>8</v>
      </c>
      <c r="U17" s="1560">
        <f t="shared" si="1"/>
        <v>100</v>
      </c>
      <c r="V17" s="1559" t="s">
        <v>8</v>
      </c>
      <c r="W17" s="1560">
        <f t="shared" si="2"/>
        <v>100</v>
      </c>
      <c r="X17" s="1553"/>
      <c r="Y17" s="3439" t="s">
        <v>540</v>
      </c>
      <c r="Z17" s="1561" t="str">
        <f t="shared" si="7"/>
        <v>产业集聚程度</v>
      </c>
      <c r="AA17" s="1562">
        <f t="shared" si="3"/>
        <v>1</v>
      </c>
      <c r="AB17" s="1562">
        <f t="shared" si="4"/>
        <v>1</v>
      </c>
      <c r="AC17" s="1562">
        <f t="shared" si="5"/>
        <v>1</v>
      </c>
    </row>
    <row r="18" spans="1:29" ht="15">
      <c r="A18" s="532"/>
      <c r="B18" s="868"/>
      <c r="C18" s="576"/>
      <c r="D18" s="555"/>
      <c r="E18" s="554"/>
      <c r="F18" s="555"/>
      <c r="G18" s="554"/>
      <c r="H18" s="559"/>
      <c r="I18" s="554"/>
      <c r="J18" s="555"/>
      <c r="K18" s="531"/>
      <c r="L18" s="2127"/>
      <c r="M18" s="2119"/>
      <c r="N18" s="2119"/>
      <c r="O18" s="2126"/>
      <c r="P18" s="3440"/>
      <c r="Q18" s="1558"/>
      <c r="R18" s="1559"/>
      <c r="S18" s="1560"/>
      <c r="T18" s="1559"/>
      <c r="U18" s="1560"/>
      <c r="V18" s="1559"/>
      <c r="W18" s="1560"/>
      <c r="X18" s="1553"/>
      <c r="Y18" s="3440"/>
      <c r="Z18" s="1561"/>
      <c r="AA18" s="1562">
        <v>1</v>
      </c>
      <c r="AB18" s="1562">
        <v>1</v>
      </c>
      <c r="AC18" s="1562">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40"/>
      <c r="Q19" s="1558" t="str">
        <f>B19</f>
        <v>交通便捷度</v>
      </c>
      <c r="R19" s="1559" t="s">
        <v>8</v>
      </c>
      <c r="S19" s="1560">
        <f>F19</f>
        <v>100</v>
      </c>
      <c r="T19" s="1559" t="s">
        <v>8</v>
      </c>
      <c r="U19" s="1560">
        <f>H19</f>
        <v>100</v>
      </c>
      <c r="V19" s="1559" t="s">
        <v>8</v>
      </c>
      <c r="W19" s="1560">
        <f>J19</f>
        <v>100</v>
      </c>
      <c r="X19" s="1553"/>
      <c r="Y19" s="3440"/>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40"/>
      <c r="Q20" s="1558"/>
      <c r="R20" s="1559"/>
      <c r="S20" s="1560"/>
      <c r="T20" s="1559"/>
      <c r="U20" s="1560"/>
      <c r="V20" s="1559"/>
      <c r="W20" s="1560"/>
      <c r="X20" s="1553"/>
      <c r="Y20" s="3440"/>
      <c r="Z20" s="1561"/>
      <c r="AA20" s="1562">
        <v>1</v>
      </c>
      <c r="AB20" s="1562">
        <v>1</v>
      </c>
      <c r="AC20" s="1562">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40"/>
      <c r="Q21" s="1558" t="str">
        <f t="shared" ref="Q21:Q35" si="8">B21</f>
        <v>区域土地利用方向</v>
      </c>
      <c r="R21" s="1559" t="s">
        <v>8</v>
      </c>
      <c r="S21" s="1560">
        <f>F21</f>
        <v>100</v>
      </c>
      <c r="T21" s="1559" t="s">
        <v>8</v>
      </c>
      <c r="U21" s="1560">
        <f>H21</f>
        <v>100</v>
      </c>
      <c r="V21" s="1559" t="s">
        <v>8</v>
      </c>
      <c r="W21" s="1560">
        <f>J21</f>
        <v>100</v>
      </c>
      <c r="X21" s="1553"/>
      <c r="Y21" s="3440"/>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40"/>
      <c r="Q22" s="1558"/>
      <c r="R22" s="1559"/>
      <c r="S22" s="1560"/>
      <c r="T22" s="1559"/>
      <c r="U22" s="1560"/>
      <c r="V22" s="1559"/>
      <c r="W22" s="1560"/>
      <c r="X22" s="1553"/>
      <c r="Y22" s="3440"/>
      <c r="Z22" s="1561"/>
      <c r="AA22" s="1562"/>
      <c r="AB22" s="1562"/>
      <c r="AC22" s="1562"/>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40"/>
      <c r="Q23" s="1558" t="str">
        <f t="shared" si="8"/>
        <v>环境状况</v>
      </c>
      <c r="R23" s="1559" t="s">
        <v>8</v>
      </c>
      <c r="S23" s="1560">
        <f>F23</f>
        <v>100</v>
      </c>
      <c r="T23" s="1559" t="s">
        <v>8</v>
      </c>
      <c r="U23" s="1560">
        <f>H23</f>
        <v>100</v>
      </c>
      <c r="V23" s="1559" t="s">
        <v>8</v>
      </c>
      <c r="W23" s="1560">
        <f>J23</f>
        <v>100</v>
      </c>
      <c r="X23" s="1553"/>
      <c r="Y23" s="3440"/>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40"/>
      <c r="Q24" s="1558"/>
      <c r="R24" s="1559"/>
      <c r="S24" s="1560"/>
      <c r="T24" s="1559"/>
      <c r="U24" s="1560"/>
      <c r="V24" s="1559"/>
      <c r="W24" s="1560"/>
      <c r="X24" s="1553"/>
      <c r="Y24" s="3440"/>
      <c r="Z24" s="1561"/>
      <c r="AA24" s="1562">
        <v>1</v>
      </c>
      <c r="AB24" s="1562">
        <v>1</v>
      </c>
      <c r="AC24" s="1562">
        <v>1</v>
      </c>
    </row>
    <row r="25" spans="1:29" s="1215" customFormat="1" ht="42.75">
      <c r="A25" s="577"/>
      <c r="B25" s="2557" t="s">
        <v>2548</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40"/>
      <c r="Q25" s="1146" t="str">
        <f t="shared" si="8"/>
        <v>公共配套设施</v>
      </c>
      <c r="R25" s="1554" t="s">
        <v>8</v>
      </c>
      <c r="S25" s="1555">
        <f>F25</f>
        <v>100</v>
      </c>
      <c r="T25" s="1554" t="s">
        <v>8</v>
      </c>
      <c r="U25" s="1555">
        <f>H25</f>
        <v>100</v>
      </c>
      <c r="V25" s="1554" t="s">
        <v>8</v>
      </c>
      <c r="W25" s="1555">
        <f>J25</f>
        <v>100</v>
      </c>
      <c r="X25" s="1556"/>
      <c r="Y25" s="3440"/>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40"/>
      <c r="Q26" s="1146"/>
      <c r="R26" s="1554"/>
      <c r="S26" s="1555"/>
      <c r="T26" s="1554"/>
      <c r="U26" s="1555"/>
      <c r="V26" s="1554"/>
      <c r="W26" s="1555"/>
      <c r="X26" s="1556"/>
      <c r="Y26" s="3440"/>
      <c r="Z26" s="1145"/>
      <c r="AA26" s="1557">
        <v>1</v>
      </c>
      <c r="AB26" s="1557">
        <v>1</v>
      </c>
      <c r="AC26" s="1557">
        <v>1</v>
      </c>
    </row>
    <row r="27" spans="1:29" s="1215" customFormat="1" ht="28.5">
      <c r="A27" s="577"/>
      <c r="B27" s="2557" t="s">
        <v>2549</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40"/>
      <c r="Q27" s="2542" t="str">
        <f t="shared" ref="Q27" si="9">B27</f>
        <v>基础设施水平</v>
      </c>
      <c r="R27" s="1554" t="s">
        <v>8</v>
      </c>
      <c r="S27" s="1555">
        <f>F27</f>
        <v>100</v>
      </c>
      <c r="T27" s="1554" t="s">
        <v>8</v>
      </c>
      <c r="U27" s="1555">
        <f>H27</f>
        <v>100</v>
      </c>
      <c r="V27" s="1554" t="s">
        <v>8</v>
      </c>
      <c r="W27" s="1555">
        <f>J27</f>
        <v>100</v>
      </c>
      <c r="X27" s="1556"/>
      <c r="Y27" s="3440"/>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40"/>
      <c r="Q28" s="2542"/>
      <c r="R28" s="1554"/>
      <c r="S28" s="1555"/>
      <c r="T28" s="1554"/>
      <c r="U28" s="1555"/>
      <c r="V28" s="1554"/>
      <c r="W28" s="1555"/>
      <c r="X28" s="1556"/>
      <c r="Y28" s="3440"/>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40"/>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40"/>
      <c r="Z29" s="1561" t="str">
        <f t="shared" ref="Z29:Z42" si="13">Q29</f>
        <v>临街状况</v>
      </c>
      <c r="AA29" s="1562">
        <f t="shared" si="3"/>
        <v>1</v>
      </c>
      <c r="AB29" s="1562">
        <f t="shared" si="4"/>
        <v>1</v>
      </c>
      <c r="AC29" s="1562">
        <f t="shared" si="5"/>
        <v>1</v>
      </c>
    </row>
    <row r="30" spans="1:29" ht="27">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40"/>
      <c r="Q30" s="1558" t="str">
        <f t="shared" si="8"/>
        <v>毗邻道路的类型与等级</v>
      </c>
      <c r="R30" s="1559" t="s">
        <v>8</v>
      </c>
      <c r="S30" s="1560">
        <f t="shared" si="10"/>
        <v>100</v>
      </c>
      <c r="T30" s="1559" t="s">
        <v>8</v>
      </c>
      <c r="U30" s="1560">
        <f t="shared" si="11"/>
        <v>100</v>
      </c>
      <c r="V30" s="1559" t="s">
        <v>8</v>
      </c>
      <c r="W30" s="1560">
        <f t="shared" si="12"/>
        <v>100</v>
      </c>
      <c r="X30" s="1553"/>
      <c r="Y30" s="3440"/>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40"/>
      <c r="Q31" s="1558"/>
      <c r="R31" s="1559"/>
      <c r="S31" s="1560"/>
      <c r="T31" s="1559"/>
      <c r="U31" s="1560"/>
      <c r="V31" s="1559"/>
      <c r="W31" s="1560"/>
      <c r="X31" s="1553"/>
      <c r="Y31" s="3440"/>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40"/>
      <c r="Q32" s="1558" t="str">
        <f t="shared" si="8"/>
        <v>土地级别</v>
      </c>
      <c r="R32" s="1559" t="s">
        <v>8</v>
      </c>
      <c r="S32" s="1560">
        <f t="shared" si="10"/>
        <v>100</v>
      </c>
      <c r="T32" s="1559" t="s">
        <v>8</v>
      </c>
      <c r="U32" s="1560">
        <f t="shared" si="11"/>
        <v>100</v>
      </c>
      <c r="V32" s="1559" t="s">
        <v>8</v>
      </c>
      <c r="W32" s="1560">
        <f t="shared" si="12"/>
        <v>100</v>
      </c>
      <c r="X32" s="1553"/>
      <c r="Y32" s="3440"/>
      <c r="Z32" s="1561" t="str">
        <f t="shared" si="13"/>
        <v>土地级别</v>
      </c>
      <c r="AA32" s="1562">
        <f t="shared" si="3"/>
        <v>1</v>
      </c>
      <c r="AB32" s="1562">
        <f t="shared" si="4"/>
        <v>1</v>
      </c>
      <c r="AC32" s="1562">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40"/>
      <c r="Q33" s="1558">
        <f t="shared" si="8"/>
        <v>111</v>
      </c>
      <c r="R33" s="1559" t="s">
        <v>8</v>
      </c>
      <c r="S33" s="1560">
        <f t="shared" si="10"/>
        <v>100</v>
      </c>
      <c r="T33" s="1559" t="s">
        <v>8</v>
      </c>
      <c r="U33" s="1560">
        <f t="shared" si="11"/>
        <v>100</v>
      </c>
      <c r="V33" s="1559" t="s">
        <v>8</v>
      </c>
      <c r="W33" s="1560">
        <f t="shared" si="12"/>
        <v>100</v>
      </c>
      <c r="X33" s="1553"/>
      <c r="Y33" s="3440"/>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41" t="s">
        <v>550</v>
      </c>
      <c r="Q34" s="1558">
        <f t="shared" si="8"/>
        <v>111</v>
      </c>
      <c r="R34" s="1559" t="s">
        <v>8</v>
      </c>
      <c r="S34" s="1560">
        <f t="shared" si="10"/>
        <v>100</v>
      </c>
      <c r="T34" s="1559" t="s">
        <v>8</v>
      </c>
      <c r="U34" s="1560">
        <f t="shared" si="11"/>
        <v>100</v>
      </c>
      <c r="V34" s="1559" t="s">
        <v>8</v>
      </c>
      <c r="W34" s="1560">
        <f t="shared" si="12"/>
        <v>100</v>
      </c>
      <c r="X34" s="1553"/>
      <c r="Y34" s="3442"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42"/>
      <c r="Q35" s="1558">
        <f t="shared" si="8"/>
        <v>111</v>
      </c>
      <c r="R35" s="1563" t="s">
        <v>8</v>
      </c>
      <c r="S35" s="1564">
        <f t="shared" si="10"/>
        <v>100</v>
      </c>
      <c r="T35" s="1563" t="s">
        <v>8</v>
      </c>
      <c r="U35" s="1564">
        <f t="shared" si="11"/>
        <v>100</v>
      </c>
      <c r="V35" s="1563" t="s">
        <v>8</v>
      </c>
      <c r="W35" s="1564">
        <f t="shared" si="12"/>
        <v>100</v>
      </c>
      <c r="X35" s="1565"/>
      <c r="Y35" s="3442"/>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42"/>
      <c r="Q36" s="1558" t="str">
        <f>B36</f>
        <v>宗地面积</v>
      </c>
      <c r="R36" s="1559" t="s">
        <v>8</v>
      </c>
      <c r="S36" s="1560" t="e">
        <f t="shared" si="10"/>
        <v>#N/A</v>
      </c>
      <c r="T36" s="1559" t="s">
        <v>8</v>
      </c>
      <c r="U36" s="1560" t="e">
        <f t="shared" si="11"/>
        <v>#N/A</v>
      </c>
      <c r="V36" s="1559" t="s">
        <v>8</v>
      </c>
      <c r="W36" s="1560" t="e">
        <f t="shared" si="12"/>
        <v>#N/A</v>
      </c>
      <c r="X36" s="1553"/>
      <c r="Y36" s="3442"/>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42"/>
      <c r="Q37" s="1558" t="str">
        <f t="shared" ref="Q37:Q42" si="14">B37</f>
        <v>宗地形状</v>
      </c>
      <c r="R37" s="1559" t="s">
        <v>8</v>
      </c>
      <c r="S37" s="1560">
        <f t="shared" si="10"/>
        <v>100</v>
      </c>
      <c r="T37" s="1559" t="s">
        <v>8</v>
      </c>
      <c r="U37" s="1560">
        <f t="shared" si="11"/>
        <v>100</v>
      </c>
      <c r="V37" s="1559" t="s">
        <v>8</v>
      </c>
      <c r="W37" s="1560">
        <f t="shared" si="12"/>
        <v>100</v>
      </c>
      <c r="X37" s="1553"/>
      <c r="Y37" s="3442"/>
      <c r="Z37" s="1561" t="str">
        <f t="shared" si="13"/>
        <v>宗地形状</v>
      </c>
      <c r="AA37" s="1562">
        <f t="shared" si="3"/>
        <v>1</v>
      </c>
      <c r="AB37" s="1562">
        <f t="shared" si="4"/>
        <v>1</v>
      </c>
      <c r="AC37" s="1562">
        <f t="shared" si="5"/>
        <v>1</v>
      </c>
    </row>
    <row r="38" spans="1:29" s="1215"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42"/>
      <c r="Q38" s="1558" t="str">
        <f t="shared" si="14"/>
        <v>宗地开发程度</v>
      </c>
      <c r="R38" s="1554" t="s">
        <v>8</v>
      </c>
      <c r="S38" s="1555">
        <f t="shared" si="10"/>
        <v>100</v>
      </c>
      <c r="T38" s="1554" t="s">
        <v>8</v>
      </c>
      <c r="U38" s="1555">
        <f t="shared" si="11"/>
        <v>100</v>
      </c>
      <c r="V38" s="1554" t="s">
        <v>8</v>
      </c>
      <c r="W38" s="1555">
        <f t="shared" si="12"/>
        <v>100</v>
      </c>
      <c r="X38" s="1556"/>
      <c r="Y38" s="3442"/>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42" t="s">
        <v>601</v>
      </c>
      <c r="Q39" s="1558" t="str">
        <f t="shared" si="14"/>
        <v>工程地质条件</v>
      </c>
      <c r="R39" s="1559" t="s">
        <v>8</v>
      </c>
      <c r="S39" s="1560">
        <f t="shared" si="10"/>
        <v>100</v>
      </c>
      <c r="T39" s="1559" t="s">
        <v>8</v>
      </c>
      <c r="U39" s="1560">
        <f t="shared" si="11"/>
        <v>100</v>
      </c>
      <c r="V39" s="1559" t="s">
        <v>8</v>
      </c>
      <c r="W39" s="1560">
        <f t="shared" si="12"/>
        <v>100</v>
      </c>
      <c r="X39" s="1553"/>
      <c r="Y39" s="3442"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42"/>
      <c r="Q40" s="1558">
        <f t="shared" si="14"/>
        <v>111</v>
      </c>
      <c r="R40" s="1559" t="s">
        <v>8</v>
      </c>
      <c r="S40" s="1560">
        <f t="shared" si="10"/>
        <v>100</v>
      </c>
      <c r="T40" s="1559" t="s">
        <v>8</v>
      </c>
      <c r="U40" s="1560">
        <f t="shared" si="11"/>
        <v>100</v>
      </c>
      <c r="V40" s="1559" t="s">
        <v>8</v>
      </c>
      <c r="W40" s="1560">
        <f t="shared" si="12"/>
        <v>100</v>
      </c>
      <c r="X40" s="1553"/>
      <c r="Y40" s="3442"/>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42"/>
      <c r="Q41" s="1558">
        <f t="shared" si="14"/>
        <v>111</v>
      </c>
      <c r="R41" s="1559" t="s">
        <v>8</v>
      </c>
      <c r="S41" s="1560">
        <f t="shared" si="10"/>
        <v>100</v>
      </c>
      <c r="T41" s="1559" t="s">
        <v>8</v>
      </c>
      <c r="U41" s="1560">
        <f t="shared" si="11"/>
        <v>100</v>
      </c>
      <c r="V41" s="1559" t="s">
        <v>8</v>
      </c>
      <c r="W41" s="1560">
        <f t="shared" si="12"/>
        <v>100</v>
      </c>
      <c r="X41" s="1553"/>
      <c r="Y41" s="3442"/>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42"/>
      <c r="Q42" s="1558">
        <f t="shared" si="14"/>
        <v>111</v>
      </c>
      <c r="R42" s="1563" t="s">
        <v>8</v>
      </c>
      <c r="S42" s="1564">
        <f t="shared" si="10"/>
        <v>100</v>
      </c>
      <c r="T42" s="1563" t="s">
        <v>8</v>
      </c>
      <c r="U42" s="1564">
        <f t="shared" si="11"/>
        <v>100</v>
      </c>
      <c r="V42" s="1563" t="s">
        <v>8</v>
      </c>
      <c r="W42" s="1564">
        <f t="shared" si="12"/>
        <v>100</v>
      </c>
      <c r="X42" s="1565"/>
      <c r="Y42" s="3442"/>
      <c r="Z42" s="1566">
        <f t="shared" si="13"/>
        <v>111</v>
      </c>
      <c r="AA42" s="1562">
        <f t="shared" si="3"/>
        <v>1</v>
      </c>
      <c r="AB42" s="1562">
        <f t="shared" si="4"/>
        <v>1</v>
      </c>
      <c r="AC42" s="1562">
        <f t="shared" si="5"/>
        <v>1</v>
      </c>
    </row>
    <row r="43" spans="1:29" ht="15">
      <c r="A43" s="607" t="s">
        <v>556</v>
      </c>
      <c r="B43" s="608" t="s">
        <v>2935</v>
      </c>
      <c r="C43" s="609" t="s">
        <v>1</v>
      </c>
      <c r="D43" s="610"/>
      <c r="E43" s="611"/>
      <c r="F43" s="612"/>
      <c r="G43" s="613"/>
      <c r="H43" s="614"/>
      <c r="I43" s="611"/>
      <c r="J43" s="614"/>
      <c r="K43" s="1335"/>
      <c r="L43" s="2129"/>
      <c r="M43" s="2119"/>
      <c r="N43" s="2119"/>
      <c r="O43" s="2130"/>
      <c r="P43" s="3437" t="str">
        <f>A43</f>
        <v>成交单价</v>
      </c>
      <c r="Q43" s="3437"/>
      <c r="R43" s="3451">
        <f>E43</f>
        <v>0</v>
      </c>
      <c r="S43" s="3451"/>
      <c r="T43" s="3451">
        <f>G43</f>
        <v>0</v>
      </c>
      <c r="U43" s="3451"/>
      <c r="V43" s="3451">
        <f>I43</f>
        <v>0</v>
      </c>
      <c r="W43" s="3451"/>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6"/>
      <c r="L44" s="2129"/>
      <c r="M44" s="2119"/>
      <c r="N44" s="2119"/>
      <c r="O44" s="2130"/>
      <c r="P44" s="3437" t="str">
        <f>A44</f>
        <v>比较价格（元/平方米）</v>
      </c>
      <c r="Q44" s="3437"/>
      <c r="R44" s="3461" t="e">
        <f>ROUND(PRODUCT(R43,AA9:AA42),0)</f>
        <v>#DIV/0!</v>
      </c>
      <c r="S44" s="3461"/>
      <c r="T44" s="3461" t="e">
        <f>ROUND(PRODUCT(T43,AB9:AB42),0)</f>
        <v>#DIV/0!</v>
      </c>
      <c r="U44" s="3461"/>
      <c r="V44" s="3461" t="e">
        <f>ROUND(PRODUCT(V43,AC9:AC42),0)</f>
        <v>#DIV/0!</v>
      </c>
      <c r="W44" s="3461"/>
      <c r="X44" s="1545"/>
      <c r="Y44" s="1545"/>
      <c r="Z44" s="1545"/>
      <c r="AA44" s="1545"/>
      <c r="AB44" s="1545"/>
      <c r="AC44" s="1545"/>
    </row>
    <row r="45" spans="1:29" ht="15.75" thickBot="1">
      <c r="A45" s="621" t="s">
        <v>2936</v>
      </c>
      <c r="B45" s="622"/>
      <c r="C45" s="623" t="e">
        <f>R45</f>
        <v>#DIV/0!</v>
      </c>
      <c r="D45" s="623"/>
      <c r="E45" s="623"/>
      <c r="F45" s="623"/>
      <c r="G45" s="623"/>
      <c r="H45" s="623"/>
      <c r="I45" s="623"/>
      <c r="J45" s="623"/>
      <c r="K45" s="1337"/>
      <c r="L45" s="2129"/>
      <c r="M45" s="2119"/>
      <c r="N45" s="2119"/>
      <c r="O45" s="2130"/>
      <c r="P45" s="3458" t="str">
        <f>A45</f>
        <v>估价对象XX用房的比较价格（楼面单价，元/平方米）</v>
      </c>
      <c r="Q45" s="3459"/>
      <c r="R45" s="3460" t="e">
        <f>ROUND(AVERAGE(R44:V44),0)</f>
        <v>#DIV/0!</v>
      </c>
      <c r="S45" s="3460"/>
      <c r="T45" s="3460"/>
      <c r="U45" s="3460"/>
      <c r="V45" s="3460"/>
      <c r="W45" s="346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62" t="s">
        <v>2284</v>
      </c>
      <c r="H52" s="3463"/>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182200</v>
      </c>
      <c r="F53" s="1935" t="e">
        <f t="shared" ref="F53:F62" si="15">ROUND(B53*E53/10000,0)</f>
        <v>#DIV/0!</v>
      </c>
      <c r="G53" s="3464"/>
      <c r="H53" s="346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66"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6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6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6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2294</v>
      </c>
      <c r="E63" s="643">
        <f>IF(B43="楼面地价",SUM(E53:E62),'数据-汇总表'!D3)</f>
        <v>303666</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2019-6-1</v>
      </c>
      <c r="D65" s="2754">
        <f>EDATE(C65,-3)</f>
        <v>43525</v>
      </c>
      <c r="E65" s="2754">
        <f t="shared" ref="E65:N65" si="18">EDATE(D65,-3)</f>
        <v>43435</v>
      </c>
      <c r="F65" s="2754">
        <f t="shared" si="18"/>
        <v>43344</v>
      </c>
      <c r="G65" s="2754">
        <f t="shared" si="18"/>
        <v>43252</v>
      </c>
      <c r="H65" s="2754">
        <f t="shared" si="18"/>
        <v>43160</v>
      </c>
      <c r="I65" s="2754">
        <f t="shared" si="18"/>
        <v>43070</v>
      </c>
      <c r="J65" s="2754">
        <f t="shared" si="18"/>
        <v>42979</v>
      </c>
      <c r="K65" s="2754">
        <f t="shared" si="18"/>
        <v>42887</v>
      </c>
      <c r="L65" s="2754">
        <f t="shared" si="18"/>
        <v>42795</v>
      </c>
      <c r="M65" s="2754">
        <f t="shared" si="18"/>
        <v>42705</v>
      </c>
      <c r="N65" s="2754">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2533</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2649</v>
      </c>
      <c r="B68" s="479" t="str">
        <f>"北京市平均增长率"&amp;TEXT(基准地价!P24,"0.00%")</f>
        <v>北京市平均增长率1.40%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16" zoomScale="80" zoomScaleNormal="80" workbookViewId="0">
      <selection activeCell="I27" sqref="I27"/>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182200</v>
      </c>
      <c r="E1" s="1402" t="s">
        <v>2427</v>
      </c>
      <c r="F1" s="2416">
        <f>'数据-基础表'!A3</f>
        <v>303666</v>
      </c>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2761</v>
      </c>
      <c r="S1" s="2891" t="s">
        <v>2762</v>
      </c>
      <c r="T1" s="2891" t="s">
        <v>2783</v>
      </c>
      <c r="U1" s="2891" t="s">
        <v>2784</v>
      </c>
      <c r="V1" s="2891" t="s">
        <v>2785</v>
      </c>
      <c r="W1" s="2174"/>
      <c r="X1" s="2174"/>
      <c r="Y1" s="2174"/>
      <c r="Z1" s="2174"/>
      <c r="AA1" s="2174"/>
      <c r="AB1" s="2174"/>
      <c r="AC1" s="2175"/>
    </row>
    <row r="2" spans="1:39" ht="15.75">
      <c r="A2" s="1402" t="s">
        <v>920</v>
      </c>
      <c r="B2" s="1037">
        <f ca="1">C26</f>
        <v>14303</v>
      </c>
      <c r="C2" s="1403" t="s">
        <v>921</v>
      </c>
      <c r="D2" s="1404" t="s">
        <v>922</v>
      </c>
      <c r="E2" s="1405" t="s">
        <v>981</v>
      </c>
      <c r="F2" s="1404" t="s">
        <v>924</v>
      </c>
      <c r="G2" s="1637" t="str">
        <f>IF(E2="商业",项目基本情况!B43,IF(E2="办公",项目基本情况!C43,IF(E2="住宅",项目基本情况!D43,项目基本情况!E43)))</f>
        <v>十二级</v>
      </c>
      <c r="H2" s="1404" t="s">
        <v>926</v>
      </c>
      <c r="I2" s="1638" t="str">
        <f>IF(E2="商业",项目基本情况!B44,IF(E2="办公",项目基本情况!C44,IF(E2="住宅",项目基本情况!D44,项目基本情况!E44)))</f>
        <v>Ⅻ-怀1</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3.2366999999999999</v>
      </c>
      <c r="T2" s="2892">
        <f ca="1">ROUND($C$5*$C$18*$C$19*$C$20*S2*$C$24,0)</f>
        <v>1524</v>
      </c>
      <c r="U2" s="2881"/>
      <c r="V2" s="2892">
        <f ca="1">ROUND(T2*U2/10000,0)</f>
        <v>0</v>
      </c>
      <c r="W2" s="2174"/>
      <c r="X2" s="2174"/>
      <c r="Y2" s="2174"/>
      <c r="Z2" s="2174"/>
      <c r="AA2" s="2174"/>
      <c r="AB2" s="2174"/>
      <c r="AC2" s="2175"/>
    </row>
    <row r="3" spans="1:39" ht="15.75">
      <c r="A3" s="1407" t="s">
        <v>1687</v>
      </c>
      <c r="B3" s="1037">
        <f ca="1">ROUND(B2*10000/D1,0)</f>
        <v>785</v>
      </c>
      <c r="C3" s="1403" t="s">
        <v>927</v>
      </c>
      <c r="D3" s="1404" t="s">
        <v>928</v>
      </c>
      <c r="E3" s="1408" t="s">
        <v>3243</v>
      </c>
      <c r="F3" s="1409" t="s">
        <v>3004</v>
      </c>
      <c r="G3" s="1038">
        <f>IF(F3="宗地容积率",'数据-汇总表'!I4,IF(F3="估价对象容积率",'数据-汇总表'!I6,'数据-汇总表'!I7))</f>
        <v>0.6</v>
      </c>
      <c r="H3" s="1410" t="s">
        <v>929</v>
      </c>
      <c r="I3" s="1039">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2.1332</v>
      </c>
      <c r="T3" s="2892">
        <f t="shared" ref="T3:T16" ca="1" si="0">ROUND($C$5*$C$18*$C$19*$C$20*S3*$C$24,0)</f>
        <v>1004</v>
      </c>
      <c r="U3" s="2881"/>
      <c r="V3" s="2892">
        <f t="shared" ref="V3:V16" ca="1" si="1">ROUND(T3*U3/10000,0)</f>
        <v>0</v>
      </c>
      <c r="W3" s="2174"/>
      <c r="X3" s="2174"/>
      <c r="Y3" s="2174"/>
      <c r="Z3" s="2174"/>
      <c r="AA3" s="2174"/>
      <c r="AB3" s="2174"/>
      <c r="AC3" s="2175"/>
    </row>
    <row r="4" spans="1:39" ht="28.5">
      <c r="A4" s="1876" t="s">
        <v>2280</v>
      </c>
      <c r="B4" s="2417">
        <f ca="1">ROUND(B2*10000/F1,0)</f>
        <v>471</v>
      </c>
      <c r="C4" s="1879" t="s">
        <v>2254</v>
      </c>
      <c r="D4" s="1879">
        <f ca="1">ROUND(B2/(F1/666.67),0)</f>
        <v>31</v>
      </c>
      <c r="E4" s="1879" t="s">
        <v>2255</v>
      </c>
      <c r="F4" s="1877"/>
      <c r="G4" s="1877"/>
      <c r="H4" s="1877"/>
      <c r="I4" s="1877"/>
      <c r="J4" s="1878"/>
      <c r="K4" s="3153"/>
      <c r="L4" s="1870" t="s">
        <v>2241</v>
      </c>
      <c r="M4" s="1871">
        <f>SUMPRODUCT((区片价!B49:B75=I2)*(区片价!C3:F3=E2)*(区片价!C49:F75))</f>
        <v>0</v>
      </c>
      <c r="N4" s="1872">
        <f>SUMPRODUCT((因素修正幅度!B49:B75=I2)*(因素修正幅度!C3:F3=E2)*(因素修正幅度!C49:F75))</f>
        <v>0</v>
      </c>
      <c r="O4" s="3153"/>
      <c r="P4" s="1397"/>
      <c r="Q4" s="2174"/>
      <c r="R4" s="2892">
        <v>3</v>
      </c>
      <c r="S4" s="2892">
        <f>ROUND(IF(G3&gt;1,IF(R4&lt;7,SUMPRODUCT((B93:B98=R4)*(C92:N92=G2)*(C93:N98)),SUMIF(C92:N92,G2,C100:N100)),IF(R4&lt;7,SUMPRODUCT((B102:B107=R4)*(C92:N92=G2)*(C102:N107)),SUMIF(C92:N92,G2,C109:N109))),4)</f>
        <v>1.6787000000000001</v>
      </c>
      <c r="T4" s="2892">
        <f t="shared" ca="1" si="0"/>
        <v>790</v>
      </c>
      <c r="U4" s="2881"/>
      <c r="V4" s="2892">
        <f t="shared" ca="1" si="1"/>
        <v>0</v>
      </c>
      <c r="W4" s="2174"/>
      <c r="X4" s="2174"/>
      <c r="Y4" s="2174"/>
      <c r="Z4" s="2174"/>
      <c r="AA4" s="2174"/>
      <c r="AB4" s="2174"/>
      <c r="AC4" s="2175"/>
    </row>
    <row r="5" spans="1:39" s="1417" customFormat="1" ht="15.75" thickBot="1">
      <c r="A5" s="1623" t="s">
        <v>1823</v>
      </c>
      <c r="B5" s="1411" t="s">
        <v>931</v>
      </c>
      <c r="C5" s="1040">
        <f>ROUND(IF(E2="商业",C6*C7+C16,(IF(E2="住宅",C6*C12+C16,C6+C16))),0)</f>
        <v>370</v>
      </c>
      <c r="D5" s="3072">
        <f>ROUND(C6+C16,0)</f>
        <v>370</v>
      </c>
      <c r="E5" s="3072"/>
      <c r="F5" s="1412"/>
      <c r="G5" s="1413"/>
      <c r="H5" s="1413"/>
      <c r="I5" s="1413"/>
      <c r="J5" s="1414"/>
      <c r="K5" s="3154"/>
      <c r="L5" s="1870" t="s">
        <v>2242</v>
      </c>
      <c r="M5" s="1871">
        <f>SUMPRODUCT((区片价!B76:B109=I2)*(区片价!C3:F3=E2)*(区片价!C76:F109))</f>
        <v>0</v>
      </c>
      <c r="N5" s="1872">
        <f>SUMPRODUCT((因素修正幅度!B76:B109=I2)*(因素修正幅度!C3:F3=E2)*(因素修正幅度!C76:F109))</f>
        <v>0</v>
      </c>
      <c r="O5" s="3154"/>
      <c r="P5" s="1580"/>
      <c r="Q5" s="2174"/>
      <c r="R5" s="2892">
        <v>4</v>
      </c>
      <c r="S5" s="2892">
        <f>ROUND(IF(G3&gt;1,IF(R5&lt;7,SUMPRODUCT((B93:B98=R5)*(C92:N92=G2)*(C93:N98)),SUMIF(C92:N92,G2,C100:N100)),IF(R5&lt;7,SUMPRODUCT((B102:B107=R5)*(C92:N92=G2)*(C102:N107)),SUMIF(C92:N92,G2,C109:N109))),4)</f>
        <v>1.2542</v>
      </c>
      <c r="T5" s="2892">
        <f t="shared" ca="1" si="0"/>
        <v>591</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370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0.94320000000000004</v>
      </c>
      <c r="T6" s="2892">
        <f t="shared" ca="1" si="0"/>
        <v>444</v>
      </c>
      <c r="U6" s="2881"/>
      <c r="V6" s="2892">
        <f t="shared" ca="1" si="1"/>
        <v>0</v>
      </c>
      <c r="W6" s="2174"/>
      <c r="X6" s="2174"/>
      <c r="Y6" s="2174"/>
      <c r="Z6" s="2174"/>
      <c r="AA6" s="2174"/>
      <c r="AB6" s="2174"/>
      <c r="AC6" s="2176"/>
      <c r="AD6" s="1415"/>
      <c r="AE6" s="1415"/>
      <c r="AF6" s="1415"/>
      <c r="AG6" s="1415"/>
      <c r="AH6" s="1415"/>
      <c r="AI6" s="1415"/>
      <c r="AJ6" s="1416"/>
    </row>
    <row r="7" spans="1:39" ht="24">
      <c r="A7" s="3474" t="str">
        <f>IF(E2="商业",IF(C8="不临58条商业街","",2),"")</f>
        <v/>
      </c>
      <c r="B7" s="1423" t="s">
        <v>932</v>
      </c>
      <c r="C7" s="1042" t="e">
        <f>IF(C8="不临58条商业街",1,ROUND(1+(1.6*E8+1.2*E9+0.8*E10+0.4*E11)*C9,4))</f>
        <v>#DIV/0!</v>
      </c>
      <c r="D7" s="1424" t="s">
        <v>933</v>
      </c>
      <c r="E7" s="1043"/>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0.75419999999999998</v>
      </c>
      <c r="T7" s="2892">
        <f t="shared" ca="1" si="0"/>
        <v>355</v>
      </c>
      <c r="U7" s="2881"/>
      <c r="V7" s="2892">
        <f t="shared" ca="1" si="1"/>
        <v>0</v>
      </c>
      <c r="W7" s="2890" t="s">
        <v>2764</v>
      </c>
      <c r="X7" s="2882" t="str">
        <f>G2</f>
        <v>十二级</v>
      </c>
      <c r="Y7" s="2882" t="s">
        <v>2765</v>
      </c>
      <c r="Z7" s="2883">
        <f>G3</f>
        <v>0.6</v>
      </c>
      <c r="AA7" s="2177"/>
      <c r="AB7" s="2177"/>
      <c r="AC7" s="2178"/>
      <c r="AD7" s="2884"/>
      <c r="AE7" s="2884"/>
      <c r="AF7" s="2884"/>
      <c r="AG7" s="2884"/>
      <c r="AH7" s="2884"/>
      <c r="AI7" s="2884"/>
      <c r="AJ7" s="2885"/>
    </row>
    <row r="8" spans="1:39" ht="15">
      <c r="A8" s="3475"/>
      <c r="B8" s="1410" t="s">
        <v>934</v>
      </c>
      <c r="C8" s="1516"/>
      <c r="D8" s="1044" t="s">
        <v>935</v>
      </c>
      <c r="E8" s="1045"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85" t="s">
        <v>2782</v>
      </c>
      <c r="X8" s="3486"/>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75"/>
      <c r="B9" s="1410" t="s">
        <v>937</v>
      </c>
      <c r="C9" s="1046">
        <f>SUMIF(修正!C59:C119,C8,修正!E59:E119)</f>
        <v>0</v>
      </c>
      <c r="D9" s="1047" t="s">
        <v>938</v>
      </c>
      <c r="E9" s="1047"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84" t="s">
        <v>2778</v>
      </c>
      <c r="X9" s="2886" t="s">
        <v>2779</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75"/>
      <c r="B10" s="1410" t="s">
        <v>940</v>
      </c>
      <c r="C10" s="1047">
        <f>SUMIF(修正!C59:C119,C8,修正!F59:F119)</f>
        <v>0</v>
      </c>
      <c r="D10" s="1047" t="s">
        <v>941</v>
      </c>
      <c r="E10" s="1047"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f t="shared" ca="1" si="0"/>
        <v>0</v>
      </c>
      <c r="U10" s="2881"/>
      <c r="V10" s="2892">
        <f t="shared" ca="1" si="1"/>
        <v>0</v>
      </c>
      <c r="W10" s="348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75"/>
      <c r="B11" s="1431" t="s">
        <v>943</v>
      </c>
      <c r="C11" s="1048">
        <f>C10/4</f>
        <v>0</v>
      </c>
      <c r="D11" s="1048" t="s">
        <v>944</v>
      </c>
      <c r="E11" s="1048"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84" t="s">
        <v>2780</v>
      </c>
      <c r="X11" s="1047" t="s">
        <v>2765</v>
      </c>
      <c r="Y11" s="1638">
        <f>$G$3</f>
        <v>0.6</v>
      </c>
      <c r="Z11" s="1638">
        <f t="shared" ref="Z11:AJ11" si="3">$G$3</f>
        <v>0.6</v>
      </c>
      <c r="AA11" s="1638">
        <f t="shared" si="3"/>
        <v>0.6</v>
      </c>
      <c r="AB11" s="1638">
        <f t="shared" si="3"/>
        <v>0.6</v>
      </c>
      <c r="AC11" s="1638">
        <f t="shared" si="3"/>
        <v>0.6</v>
      </c>
      <c r="AD11" s="1638">
        <f t="shared" si="3"/>
        <v>0.6</v>
      </c>
      <c r="AE11" s="1638">
        <f t="shared" si="3"/>
        <v>0.6</v>
      </c>
      <c r="AF11" s="1638">
        <f t="shared" si="3"/>
        <v>0.6</v>
      </c>
      <c r="AG11" s="1638">
        <f t="shared" si="3"/>
        <v>0.6</v>
      </c>
      <c r="AH11" s="1638">
        <f t="shared" si="3"/>
        <v>0.6</v>
      </c>
      <c r="AI11" s="1638">
        <f t="shared" si="3"/>
        <v>0.6</v>
      </c>
      <c r="AJ11" s="1638">
        <f t="shared" si="3"/>
        <v>0.6</v>
      </c>
    </row>
    <row r="12" spans="1:39" ht="25.5" thickBot="1">
      <c r="A12" s="3474" t="s">
        <v>1871</v>
      </c>
      <c r="B12" s="1435" t="s">
        <v>946</v>
      </c>
      <c r="C12" s="1042">
        <f>ROUND(C15*D15*E15*F15*G15*H15*I15*J15,4)</f>
        <v>1</v>
      </c>
      <c r="D12" s="1436" t="s">
        <v>947</v>
      </c>
      <c r="E12" s="1437"/>
      <c r="F12" s="1437"/>
      <c r="G12" s="1438"/>
      <c r="H12" s="1438"/>
      <c r="I12" s="1438"/>
      <c r="J12" s="1439"/>
      <c r="K12" s="1452"/>
      <c r="L12" s="1873" t="s">
        <v>2249</v>
      </c>
      <c r="M12" s="1874">
        <f>SUMPRODUCT((区片价!B338:B344=I2)*(区片价!C3:F3=E2)*(区片价!C338:F344))</f>
        <v>370</v>
      </c>
      <c r="N12" s="1875">
        <f>SUMPRODUCT((因素修正幅度!B338:B344=I2)*(因素修正幅度!C3:F3=E2)*(因素修正幅度!C338:F344))</f>
        <v>0.15</v>
      </c>
      <c r="O12" s="1452"/>
      <c r="P12" s="1397"/>
      <c r="Q12" s="2174"/>
      <c r="R12" s="2892">
        <v>11</v>
      </c>
      <c r="S12" s="2881"/>
      <c r="T12" s="2892">
        <f t="shared" ca="1" si="0"/>
        <v>0</v>
      </c>
      <c r="U12" s="2881"/>
      <c r="V12" s="2892">
        <f t="shared" ca="1" si="1"/>
        <v>0</v>
      </c>
      <c r="W12" s="3484"/>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76"/>
      <c r="B13" s="1440" t="s">
        <v>1696</v>
      </c>
      <c r="C13" s="1441" t="s">
        <v>1697</v>
      </c>
      <c r="D13" s="1084" t="s">
        <v>1698</v>
      </c>
      <c r="E13" s="1084" t="s">
        <v>1699</v>
      </c>
      <c r="F13" s="1442" t="s">
        <v>948</v>
      </c>
      <c r="G13" s="1443" t="s">
        <v>1642</v>
      </c>
      <c r="H13" s="1444" t="s">
        <v>1642</v>
      </c>
      <c r="I13" s="1445" t="s">
        <v>1642</v>
      </c>
      <c r="J13" s="1446" t="s">
        <v>1642</v>
      </c>
      <c r="K13" s="3169"/>
      <c r="L13" s="3169"/>
      <c r="M13" s="3169"/>
      <c r="N13" s="3169"/>
      <c r="O13" s="3169"/>
      <c r="P13" s="1397"/>
      <c r="Q13" s="2174"/>
      <c r="R13" s="2892">
        <v>12</v>
      </c>
      <c r="S13" s="2881"/>
      <c r="T13" s="2892">
        <f t="shared" ca="1" si="0"/>
        <v>0</v>
      </c>
      <c r="U13" s="2881"/>
      <c r="V13" s="2892">
        <f t="shared" ca="1" si="1"/>
        <v>0</v>
      </c>
      <c r="W13" s="3484"/>
      <c r="X13" s="2889"/>
      <c r="Y13" s="2888">
        <f>(-0.163*(Y12^2)-0.59*Y12+7617)*(10^(-4))/Y11</f>
        <v>1.2695000000000001</v>
      </c>
      <c r="Z13" s="2888">
        <f t="shared" ref="Z13:AJ13" si="5">(-0.163*(Z12^2)-0.59*Z12+7617)*(10^(-4))/Z11</f>
        <v>1.2695000000000001</v>
      </c>
      <c r="AA13" s="2888">
        <f t="shared" si="5"/>
        <v>1.2695000000000001</v>
      </c>
      <c r="AB13" s="2888">
        <f t="shared" si="5"/>
        <v>1.2695000000000001</v>
      </c>
      <c r="AC13" s="2888">
        <f t="shared" si="5"/>
        <v>1.2695000000000001</v>
      </c>
      <c r="AD13" s="2888">
        <f t="shared" si="5"/>
        <v>1.2695000000000001</v>
      </c>
      <c r="AE13" s="2888">
        <f t="shared" si="5"/>
        <v>1.2695000000000001</v>
      </c>
      <c r="AF13" s="2888">
        <f t="shared" si="5"/>
        <v>1.2695000000000001</v>
      </c>
      <c r="AG13" s="2888">
        <f t="shared" si="5"/>
        <v>1.2695000000000001</v>
      </c>
      <c r="AH13" s="2888">
        <f t="shared" si="5"/>
        <v>1.2695000000000001</v>
      </c>
      <c r="AI13" s="2888">
        <f t="shared" si="5"/>
        <v>1.2695000000000001</v>
      </c>
      <c r="AJ13" s="2888">
        <f t="shared" si="5"/>
        <v>1.2695000000000001</v>
      </c>
    </row>
    <row r="14" spans="1:39" ht="12.75" customHeight="1">
      <c r="A14" s="3476"/>
      <c r="B14" s="1447"/>
      <c r="C14" s="1448"/>
      <c r="D14" s="1449"/>
      <c r="E14" s="1449"/>
      <c r="F14" s="1450"/>
      <c r="G14" s="1451" t="s">
        <v>949</v>
      </c>
      <c r="H14" s="1452"/>
      <c r="I14" s="1453"/>
      <c r="J14" s="1454"/>
      <c r="K14" s="3155"/>
      <c r="L14" s="3155"/>
      <c r="M14" s="3155"/>
      <c r="N14" s="3155"/>
      <c r="O14" s="3155"/>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77"/>
      <c r="B15" s="3174" t="s">
        <v>1700</v>
      </c>
      <c r="C15" s="1048">
        <f>IF(C14="有",1.1,1)</f>
        <v>1</v>
      </c>
      <c r="D15" s="1048">
        <f>IF(D14="有",1.1,1)</f>
        <v>1</v>
      </c>
      <c r="E15" s="1048">
        <f>IF(E14="有",1.1,1)</f>
        <v>1</v>
      </c>
      <c r="F15" s="1048">
        <f>IF(F14="500米范围内",1.2,IF(F14="500-1000米",1.1,1))</f>
        <v>1</v>
      </c>
      <c r="G15" s="3166">
        <v>1</v>
      </c>
      <c r="H15" s="3166">
        <v>1</v>
      </c>
      <c r="I15" s="3166">
        <v>1</v>
      </c>
      <c r="J15" s="3167">
        <v>1</v>
      </c>
      <c r="K15" s="3170"/>
      <c r="L15" s="3170"/>
      <c r="M15" s="3170"/>
      <c r="N15" s="3170"/>
      <c r="O15" s="3170"/>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74" t="s">
        <v>1838</v>
      </c>
      <c r="B16" s="1423" t="s">
        <v>950</v>
      </c>
      <c r="C16" s="1051">
        <f>ROUND(IF(F17="与级别开发程度一致",0,(G17-E17)/C17),0)</f>
        <v>0</v>
      </c>
      <c r="D16" s="3492" t="s">
        <v>954</v>
      </c>
      <c r="E16" s="3493"/>
      <c r="F16" s="3492" t="s">
        <v>951</v>
      </c>
      <c r="G16" s="3493"/>
      <c r="H16" s="1455"/>
      <c r="I16" s="1455"/>
      <c r="J16" s="1455"/>
      <c r="K16" s="1455"/>
      <c r="L16" s="1455"/>
      <c r="M16" s="1455"/>
      <c r="N16" s="1455"/>
      <c r="O16" s="3179"/>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78"/>
      <c r="B17" s="3180" t="s">
        <v>953</v>
      </c>
      <c r="C17" s="3181">
        <f>SUMPRODUCT((修正!A2:A5=E2)*(修正!B1:M1=G2)*(修正!B2:M5))</f>
        <v>1</v>
      </c>
      <c r="D17" s="3182" t="str">
        <f>IF(OR(G2="八级",G2="九级",G2="十级",G2="十一级",G2="十二级"),"五通一平","七通一平")</f>
        <v>五通一平</v>
      </c>
      <c r="E17" s="3172">
        <f>SUMPRODUCT((修正!B1:M1=G2)*(修正!B15:M15))</f>
        <v>155</v>
      </c>
      <c r="F17" s="3173" t="s">
        <v>2997</v>
      </c>
      <c r="G17" s="317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3">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5" t="s">
        <v>955</v>
      </c>
      <c r="C18" s="3176">
        <f>SUMIF(修正!C18:C39,E3,修正!E18:E39)</f>
        <v>1</v>
      </c>
      <c r="D18" s="3177"/>
      <c r="E18" s="3178"/>
      <c r="F18" s="3160"/>
      <c r="G18" s="3154"/>
      <c r="H18" s="3154"/>
      <c r="I18" s="3154"/>
      <c r="J18" s="3168"/>
      <c r="K18" s="3154"/>
      <c r="L18" s="3154"/>
      <c r="M18" s="3154"/>
      <c r="N18" s="3154"/>
      <c r="O18" s="3154"/>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ROUND(IF(H19="按公示增长率计算",SUMPRODUCT((地价!A3:A26=YEAR(G19)&amp;"-"&amp;ROUNDUP(MONTH(G19)/3,0))*(地价!X2:AB2=E2)*(地价!X3:AB26)),IF(H19="地价指数",M20/M19,(1+I19)^O19)),4)</f>
        <v>1.3588</v>
      </c>
      <c r="D19" s="1462" t="s">
        <v>957</v>
      </c>
      <c r="E19" s="1053">
        <v>41640</v>
      </c>
      <c r="F19" s="1462" t="s">
        <v>958</v>
      </c>
      <c r="G19" s="1054">
        <f>'数据-取费表'!B2</f>
        <v>43646</v>
      </c>
      <c r="H19" s="1463" t="s">
        <v>3001</v>
      </c>
      <c r="I19" s="2740" t="str">
        <f>IF(H19="季度增幅（自定义）",SUMIF(N21:N24,E2,O21:O24),"")</f>
        <v/>
      </c>
      <c r="J19" s="1459"/>
      <c r="K19" s="3154"/>
      <c r="L19" s="2992" t="s">
        <v>2840</v>
      </c>
      <c r="M19" s="2993">
        <f>ROUND(SUMIF(地价!B2:F2,E2,地价!B26:F26),0)</f>
        <v>230</v>
      </c>
      <c r="N19" s="2742" t="s">
        <v>1676</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f ca="1">ROUND(POWER(1+G20,J20-I20)*(POWER(1+G20,I20)-1)/(POWER(1+G20,J20)-1),4)</f>
        <v>0.9365</v>
      </c>
      <c r="D20" s="2737" t="s">
        <v>972</v>
      </c>
      <c r="E20" s="3047">
        <f ca="1">存贷款利率!I4/100</f>
        <v>4.3499999999999997E-2</v>
      </c>
      <c r="F20" s="2737" t="s">
        <v>973</v>
      </c>
      <c r="G20" s="2738">
        <f ca="1">SUMIF(M26:P26,E2,M28:P28)</f>
        <v>4.8000000000000001E-2</v>
      </c>
      <c r="H20" s="2737" t="s">
        <v>974</v>
      </c>
      <c r="I20" s="2733">
        <f>SUMIF('数据-取费表'!C6:C15,E2,'数据-取费表'!F6:F15)/COUNTIF('数据-取费表'!C6:C15,E2)</f>
        <v>40</v>
      </c>
      <c r="J20" s="2739">
        <f>IF(E2="住宅",70,IF(E2="商业",40,50))</f>
        <v>50</v>
      </c>
      <c r="K20" s="3156"/>
      <c r="L20" s="2994" t="s">
        <v>2841</v>
      </c>
      <c r="M20" s="3163">
        <f>ROUND(SUMPRODUCT((地价!A4:A26=YEAR(G19)&amp;"-"&amp;ROUNDUP(MONTH(G19)/3,0))*(地价!B2:F2=E2)*(地价!B4:F26)),0)</f>
        <v>308</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2998</v>
      </c>
      <c r="C21" s="1153">
        <f>IF(B21="容积率修正",IF(G3&lt;=10,D22,J22),C23)</f>
        <v>1.6667000000000001</v>
      </c>
      <c r="D21" s="1469"/>
      <c r="E21" s="1469"/>
      <c r="F21" s="1469"/>
      <c r="G21" s="1469"/>
      <c r="H21" s="1469"/>
      <c r="I21" s="1469"/>
      <c r="J21" s="1470"/>
      <c r="K21" s="3154"/>
      <c r="L21" s="1469"/>
      <c r="M21" s="1469"/>
      <c r="N21" s="1466" t="s">
        <v>975</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f>IF(E22=G22,F22,IF(G3&lt;=10,ROUND(F22+(H22-F22)*(G3-E22)/(G22-E22),4),"——"))</f>
        <v>1.6667000000000001</v>
      </c>
      <c r="E22" s="1038">
        <f>ROUNDDOWN(G3,1)</f>
        <v>0.6</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1038">
        <f>ROUNDUP(G3,1)</f>
        <v>0.6</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055" t="s">
        <v>977</v>
      </c>
      <c r="J22" s="1055" t="str">
        <f>IF(G3&gt;10,D113,"——")</f>
        <v>——</v>
      </c>
      <c r="K22" s="3157"/>
      <c r="L22" s="1469"/>
      <c r="M22" s="1469"/>
      <c r="N22" s="1466" t="s">
        <v>978</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0.74590000000000001</v>
      </c>
      <c r="D23" s="1517"/>
      <c r="E23" s="1517"/>
      <c r="F23" s="1518"/>
      <c r="G23" s="1519"/>
      <c r="H23" s="1520"/>
      <c r="I23" s="1521"/>
      <c r="J23" s="1521"/>
      <c r="K23" s="3158"/>
      <c r="L23" s="1397"/>
      <c r="M23" s="1397"/>
      <c r="N23" s="1466" t="s">
        <v>923</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1</v>
      </c>
      <c r="D24" s="1522"/>
      <c r="E24" s="1523"/>
      <c r="F24" s="1523"/>
      <c r="G24" s="1523"/>
      <c r="H24" s="1523"/>
      <c r="I24" s="1523"/>
      <c r="J24" s="1523"/>
      <c r="K24" s="3158"/>
      <c r="L24" s="1469"/>
      <c r="M24" s="1469"/>
      <c r="N24" s="1466" t="s">
        <v>981</v>
      </c>
      <c r="O24" s="3162"/>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4" t="s">
        <v>2648</v>
      </c>
      <c r="O25" s="3165"/>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f ca="1">E29+SUM(E33:E39)</f>
        <v>14303</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f ca="1">E30+SUM(I33:I39)</f>
        <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8">
        <f ca="1">ROUND(C5*C18*C19*C20*C21*C24,0)</f>
        <v>785</v>
      </c>
      <c r="D29" s="1491">
        <f>'数据-基础表'!B3</f>
        <v>182200</v>
      </c>
      <c r="E29" s="1834">
        <f ca="1">ROUND(C29*D29/10000,0)</f>
        <v>14303</v>
      </c>
      <c r="F29" s="1492" t="s">
        <v>1701</v>
      </c>
      <c r="G29" s="1493"/>
      <c r="H29" s="1493"/>
      <c r="I29" s="1493"/>
      <c r="J29" s="1494"/>
      <c r="K29" s="3159"/>
      <c r="L29" s="3159"/>
      <c r="M29" s="3159"/>
      <c r="N29" s="3159"/>
      <c r="O29" s="3159"/>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0">
        <f ca="1">ROUND(IF(E2="工业",C29*M39,C29*M38),0)</f>
        <v>118</v>
      </c>
      <c r="D30" s="1497"/>
      <c r="E30" s="1834">
        <f ca="1">ROUND(C30*D30/10000,0)</f>
        <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60"/>
      <c r="L32" s="3160"/>
      <c r="M32" s="3160"/>
      <c r="N32" s="3160"/>
      <c r="O32" s="3160"/>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81" t="s">
        <v>2962</v>
      </c>
      <c r="B33" s="1511" t="s">
        <v>999</v>
      </c>
      <c r="C33" s="1058">
        <f ca="1">ROUND(D5*C19*C20*C24*F33,0)</f>
        <v>282</v>
      </c>
      <c r="D33" s="1524"/>
      <c r="E33" s="1047">
        <f ca="1">ROUND(C33*D33/10000,0)</f>
        <v>0</v>
      </c>
      <c r="F33" s="1047">
        <f>SUMIF(修正!A45:A56,G2,修正!B45:B56)</f>
        <v>0.6</v>
      </c>
      <c r="G33" s="1047">
        <f t="shared" ref="G33" ca="1" si="6">ROUND(IF(E2="工业",C33*$M$39,C33*$M$38),0)</f>
        <v>42</v>
      </c>
      <c r="H33" s="1047">
        <f>D33</f>
        <v>0</v>
      </c>
      <c r="I33" s="1047">
        <f ca="1">ROUND(G33*H33/10000,0)</f>
        <v>0</v>
      </c>
      <c r="J33" s="1512"/>
      <c r="K33" s="3161"/>
      <c r="L33" s="3161"/>
      <c r="M33" s="3161"/>
      <c r="N33" s="3161"/>
      <c r="O33" s="3161"/>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82"/>
      <c r="B34" s="1441" t="s">
        <v>1000</v>
      </c>
      <c r="C34" s="1058">
        <f ca="1">ROUND(D5*C19*C20*C24*F34,0)</f>
        <v>141</v>
      </c>
      <c r="D34" s="1524"/>
      <c r="E34" s="1047">
        <f t="shared" ref="E34:E39" ca="1" si="7">ROUND(C34*D34/10000,0)</f>
        <v>0</v>
      </c>
      <c r="F34" s="1047">
        <f>SUMIF(修正!A45:A56,G2,修正!C45:C56)</f>
        <v>0.3</v>
      </c>
      <c r="G34" s="1047">
        <f ca="1">ROUND(IF(E2="工业",C34*$M$39,C34*$M$38),0)</f>
        <v>21</v>
      </c>
      <c r="H34" s="1047">
        <f t="shared" ref="H34:H39" si="8">D34</f>
        <v>0</v>
      </c>
      <c r="I34" s="1047">
        <f t="shared" ref="I34:I39" ca="1" si="9">ROUND(G34*H34/10000,0)</f>
        <v>0</v>
      </c>
      <c r="J34" s="1512"/>
      <c r="K34" s="3161"/>
      <c r="L34" s="3161"/>
      <c r="M34" s="3161"/>
      <c r="N34" s="3161"/>
      <c r="O34" s="3161"/>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82"/>
      <c r="B35" s="1441" t="s">
        <v>1001</v>
      </c>
      <c r="C35" s="1058">
        <f ca="1">ROUND(D5*C19*C20*C24*F35,0)</f>
        <v>94</v>
      </c>
      <c r="D35" s="1524"/>
      <c r="E35" s="1047">
        <f t="shared" ca="1" si="7"/>
        <v>0</v>
      </c>
      <c r="F35" s="1047">
        <f>SUMIF(修正!A45:A56,G2,修正!D45:D56)</f>
        <v>0.2</v>
      </c>
      <c r="G35" s="1047">
        <f ca="1">ROUND(IF(E2="工业",C35*$M$39,C35*$M$38),0)</f>
        <v>14</v>
      </c>
      <c r="H35" s="1047">
        <f t="shared" si="8"/>
        <v>0</v>
      </c>
      <c r="I35" s="1047">
        <f t="shared" ca="1" si="9"/>
        <v>0</v>
      </c>
      <c r="J35" s="1512"/>
      <c r="K35" s="3161"/>
      <c r="L35" s="3161"/>
      <c r="M35" s="3161"/>
      <c r="N35" s="3161"/>
      <c r="O35" s="3161"/>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83"/>
      <c r="B36" s="1441" t="s">
        <v>1002</v>
      </c>
      <c r="C36" s="1058">
        <f ca="1">ROUND(D5*C19*C20*C24*F36,0)</f>
        <v>94</v>
      </c>
      <c r="D36" s="1524"/>
      <c r="E36" s="1047">
        <f t="shared" ca="1" si="7"/>
        <v>0</v>
      </c>
      <c r="F36" s="1047">
        <f>SUMIF(修正!A45:A56,G2,修正!E45:E56)</f>
        <v>0.2</v>
      </c>
      <c r="G36" s="1047">
        <f ca="1">ROUND(IF(E2="工业",C36*$M$39,C36*$M$38),0)</f>
        <v>14</v>
      </c>
      <c r="H36" s="1047">
        <f t="shared" si="8"/>
        <v>0</v>
      </c>
      <c r="I36" s="1047">
        <f t="shared" ca="1" si="9"/>
        <v>0</v>
      </c>
      <c r="J36" s="1512"/>
      <c r="K36" s="3161"/>
      <c r="L36" s="3161"/>
      <c r="M36" s="3161"/>
      <c r="N36" s="3161"/>
      <c r="O36" s="3161"/>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f ca="1">ROUND(D5*C19*C20*C24*F37,0)</f>
        <v>94</v>
      </c>
      <c r="D37" s="1524"/>
      <c r="E37" s="1047">
        <f t="shared" ca="1" si="7"/>
        <v>0</v>
      </c>
      <c r="F37" s="1058">
        <f>SUMIF(修正!A45:A56,G2,修正!F45:F56)</f>
        <v>0.2</v>
      </c>
      <c r="G37" s="1047">
        <f ca="1">ROUND(IF(E2="工业",C37*$M$39,C37*$M$38),0)</f>
        <v>14</v>
      </c>
      <c r="H37" s="1047">
        <f t="shared" si="8"/>
        <v>0</v>
      </c>
      <c r="I37" s="1047">
        <f t="shared" ca="1" si="9"/>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50" t="s">
        <v>2989</v>
      </c>
      <c r="C41" s="838">
        <f ca="1">ROUND(POWER(1+E41,H41-G41)*(POWER(1+E41,G41)-1)/(POWER(1+E41,H41)-1),4)</f>
        <v>0</v>
      </c>
      <c r="D41" s="378" t="s">
        <v>2987</v>
      </c>
      <c r="E41" s="3149">
        <f ca="1">G20</f>
        <v>4.8000000000000001E-2</v>
      </c>
      <c r="F41" s="378" t="s">
        <v>2988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3049" t="s">
        <v>2938</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3048" t="s">
        <v>2937</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1030</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3049" t="s">
        <v>2939</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3048" t="s">
        <v>2937</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8" t="s">
        <v>2937</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f>IF(E2="工业",SUMIF(L1:L12,G2,N1:N12),"——")</f>
        <v>0.15</v>
      </c>
      <c r="G80" s="2379"/>
      <c r="H80" s="2425">
        <f t="shared" ref="H80:H87" si="26">IFERROR(ROUNDDOWN($F$80*I80/2,4),"——")</f>
        <v>1.95E-2</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f t="shared" si="26"/>
        <v>2.47E-2</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f t="shared" si="26"/>
        <v>3.7000000000000002E-3</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1034</v>
      </c>
      <c r="B83" s="2372">
        <f>估价对象房地状况!G22</f>
        <v>0</v>
      </c>
      <c r="C83" s="1049"/>
      <c r="D83" s="2381">
        <f t="shared" si="25"/>
        <v>0</v>
      </c>
      <c r="E83" s="2409"/>
      <c r="F83" s="2410"/>
      <c r="G83" s="2379"/>
      <c r="H83" s="2425">
        <f t="shared" si="26"/>
        <v>3.0000000000000001E-3</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f t="shared" si="26"/>
        <v>4.4999999999999997E-3</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f t="shared" si="26"/>
        <v>1.12E-2</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1025</v>
      </c>
      <c r="B86" s="3048" t="s">
        <v>2937</v>
      </c>
      <c r="C86" s="1049"/>
      <c r="D86" s="2381">
        <f t="shared" si="25"/>
        <v>0</v>
      </c>
      <c r="E86" s="2409"/>
      <c r="F86" s="2410"/>
      <c r="G86" s="2379"/>
      <c r="H86" s="2425">
        <f t="shared" si="26"/>
        <v>3.7000000000000002E-3</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5"/>
        <v>0</v>
      </c>
      <c r="E87" s="2411"/>
      <c r="F87" s="2410"/>
      <c r="G87" s="2379"/>
      <c r="H87" s="2425">
        <f t="shared" si="26"/>
        <v>4.4999999999999997E-3</v>
      </c>
      <c r="I87" s="2406">
        <v>0.06</v>
      </c>
      <c r="J87" s="2402">
        <f t="shared" si="27"/>
        <v>0</v>
      </c>
      <c r="K87" s="2402">
        <f t="shared" si="28"/>
        <v>0</v>
      </c>
      <c r="L87" s="2402">
        <v>0</v>
      </c>
      <c r="M87" s="2402">
        <f t="shared" si="29"/>
        <v>0</v>
      </c>
      <c r="N87" s="2402">
        <f t="shared" si="29"/>
        <v>0</v>
      </c>
      <c r="AC87" s="1401"/>
      <c r="AD87" s="1400"/>
      <c r="AJ87" s="1399"/>
      <c r="AN87" s="1400"/>
    </row>
    <row r="90" spans="1:40">
      <c r="A90" s="3479" t="s">
        <v>1633</v>
      </c>
      <c r="B90" s="3479"/>
      <c r="C90" s="3479"/>
      <c r="D90" s="3479"/>
      <c r="E90" s="3479"/>
      <c r="F90" s="3479"/>
      <c r="G90" s="3479"/>
      <c r="H90" s="3479"/>
      <c r="I90" s="3479"/>
      <c r="J90" s="3479"/>
      <c r="K90" s="2414"/>
      <c r="L90" s="2414"/>
      <c r="M90" s="2414"/>
      <c r="N90" s="2414"/>
    </row>
    <row r="91" spans="1:40">
      <c r="A91" s="3480" t="s">
        <v>1443</v>
      </c>
      <c r="B91" s="3480" t="s">
        <v>1634</v>
      </c>
      <c r="C91" s="1135" t="s">
        <v>1635</v>
      </c>
      <c r="D91" s="1136"/>
      <c r="E91" s="1136"/>
      <c r="F91" s="1136"/>
      <c r="G91" s="1136"/>
      <c r="H91" s="1136"/>
      <c r="I91" s="1136"/>
      <c r="J91" s="1137"/>
      <c r="K91" s="1129"/>
      <c r="L91" s="1129"/>
      <c r="M91" s="1129"/>
      <c r="N91" s="1129"/>
    </row>
    <row r="92" spans="1:40">
      <c r="A92" s="3480"/>
      <c r="B92" s="3480"/>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87"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8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8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8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8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8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88"/>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8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87" t="s">
        <v>1637</v>
      </c>
      <c r="B101" s="1142" t="s">
        <v>906</v>
      </c>
      <c r="C101" s="1143">
        <f>$G$3</f>
        <v>0.6</v>
      </c>
      <c r="D101" s="1143">
        <f t="shared" ref="D101:N101" si="31">$G$3</f>
        <v>0.6</v>
      </c>
      <c r="E101" s="1143">
        <f t="shared" si="31"/>
        <v>0.6</v>
      </c>
      <c r="F101" s="1143">
        <f t="shared" si="31"/>
        <v>0.6</v>
      </c>
      <c r="G101" s="1143">
        <f t="shared" si="31"/>
        <v>0.6</v>
      </c>
      <c r="H101" s="1143">
        <f t="shared" si="31"/>
        <v>0.6</v>
      </c>
      <c r="I101" s="1143">
        <f t="shared" si="31"/>
        <v>0.6</v>
      </c>
      <c r="J101" s="1143">
        <f t="shared" si="31"/>
        <v>0.6</v>
      </c>
      <c r="K101" s="1143">
        <f t="shared" si="31"/>
        <v>0.6</v>
      </c>
      <c r="L101" s="1143">
        <f t="shared" si="31"/>
        <v>0.6</v>
      </c>
      <c r="M101" s="1143">
        <f t="shared" si="31"/>
        <v>0.6</v>
      </c>
      <c r="N101" s="1143">
        <f t="shared" si="31"/>
        <v>0.6</v>
      </c>
    </row>
    <row r="102" spans="1:14">
      <c r="A102" s="3488"/>
      <c r="B102" s="1138">
        <v>1</v>
      </c>
      <c r="C102" s="1139">
        <f>1.9362/C101</f>
        <v>3.2269999999999999</v>
      </c>
      <c r="D102" s="1139">
        <f>1.9362/D101</f>
        <v>3.2269999999999999</v>
      </c>
      <c r="E102" s="1139">
        <f>1.8629/E101</f>
        <v>3.1048333333333336</v>
      </c>
      <c r="F102" s="1139">
        <f>1.8629/F101</f>
        <v>3.1048333333333336</v>
      </c>
      <c r="G102" s="1139">
        <f>1.8629/G101</f>
        <v>3.1048333333333336</v>
      </c>
      <c r="H102" s="1139">
        <f>1.8629/H101</f>
        <v>3.1048333333333336</v>
      </c>
      <c r="I102" s="1139">
        <f>1.8629/I101</f>
        <v>3.1048333333333336</v>
      </c>
      <c r="J102" s="1139">
        <f>1.942/J101</f>
        <v>3.2366666666666668</v>
      </c>
      <c r="K102" s="1139">
        <f>1.942/K101</f>
        <v>3.2366666666666668</v>
      </c>
      <c r="L102" s="1139">
        <f>1.942/L101</f>
        <v>3.2366666666666668</v>
      </c>
      <c r="M102" s="1139">
        <f>1.942/M101</f>
        <v>3.2366666666666668</v>
      </c>
      <c r="N102" s="1139">
        <f>1.942/N101</f>
        <v>3.2366666666666668</v>
      </c>
    </row>
    <row r="103" spans="1:14">
      <c r="A103" s="3488"/>
      <c r="B103" s="1138">
        <v>2</v>
      </c>
      <c r="C103" s="1139">
        <f>1.4198/C101</f>
        <v>2.3663333333333334</v>
      </c>
      <c r="D103" s="1139">
        <f>1.4198/D101</f>
        <v>2.3663333333333334</v>
      </c>
      <c r="E103" s="1139">
        <f>1.3372/E101</f>
        <v>2.2286666666666668</v>
      </c>
      <c r="F103" s="1139">
        <f>1.3372/F101</f>
        <v>2.2286666666666668</v>
      </c>
      <c r="G103" s="1139">
        <f>1.3372/G101</f>
        <v>2.2286666666666668</v>
      </c>
      <c r="H103" s="1139">
        <f>1.3372/H101</f>
        <v>2.2286666666666668</v>
      </c>
      <c r="I103" s="1139">
        <f>1.3372/I101</f>
        <v>2.2286666666666668</v>
      </c>
      <c r="J103" s="1139">
        <f>1.2799/J101</f>
        <v>2.1331666666666669</v>
      </c>
      <c r="K103" s="1139">
        <f>1.2799/K101</f>
        <v>2.1331666666666669</v>
      </c>
      <c r="L103" s="1139">
        <f>1.2799/L101</f>
        <v>2.1331666666666669</v>
      </c>
      <c r="M103" s="1139">
        <f>1.2799/M101</f>
        <v>2.1331666666666669</v>
      </c>
      <c r="N103" s="1139">
        <f>1.2799/N101</f>
        <v>2.1331666666666669</v>
      </c>
    </row>
    <row r="104" spans="1:14">
      <c r="A104" s="3488"/>
      <c r="B104" s="1138">
        <v>3</v>
      </c>
      <c r="C104" s="1139">
        <f>1.1594/C101</f>
        <v>1.9323333333333335</v>
      </c>
      <c r="D104" s="1139">
        <f>1.1594/D101</f>
        <v>1.9323333333333335</v>
      </c>
      <c r="E104" s="1139">
        <f>1.0788/E101</f>
        <v>1.798</v>
      </c>
      <c r="F104" s="1139">
        <f>1.0788/F101</f>
        <v>1.798</v>
      </c>
      <c r="G104" s="1139">
        <f>1.0788/G101</f>
        <v>1.798</v>
      </c>
      <c r="H104" s="1139">
        <f>1.0788/H101</f>
        <v>1.798</v>
      </c>
      <c r="I104" s="1139">
        <f>1.0788/I101</f>
        <v>1.798</v>
      </c>
      <c r="J104" s="1139">
        <f>1.0072/J101</f>
        <v>1.678666666666667</v>
      </c>
      <c r="K104" s="1139">
        <f>1.0072/K101</f>
        <v>1.678666666666667</v>
      </c>
      <c r="L104" s="1139">
        <f>1.0072/L101</f>
        <v>1.678666666666667</v>
      </c>
      <c r="M104" s="1139">
        <f>1.0072/M101</f>
        <v>1.678666666666667</v>
      </c>
      <c r="N104" s="1139">
        <f>1.0072/N101</f>
        <v>1.678666666666667</v>
      </c>
    </row>
    <row r="105" spans="1:14">
      <c r="A105" s="3488"/>
      <c r="B105" s="1138">
        <v>4</v>
      </c>
      <c r="C105" s="1139">
        <f>0.9622/C101</f>
        <v>1.6036666666666668</v>
      </c>
      <c r="D105" s="1139">
        <f>0.9622/D101</f>
        <v>1.6036666666666668</v>
      </c>
      <c r="E105" s="1139">
        <f>0.8656/E101</f>
        <v>1.4426666666666668</v>
      </c>
      <c r="F105" s="1139">
        <f>0.8656/F101</f>
        <v>1.4426666666666668</v>
      </c>
      <c r="G105" s="1139">
        <f>0.8656/G101</f>
        <v>1.4426666666666668</v>
      </c>
      <c r="H105" s="1139">
        <f>0.8656/H101</f>
        <v>1.4426666666666668</v>
      </c>
      <c r="I105" s="1139">
        <f>0.8656/I101</f>
        <v>1.4426666666666668</v>
      </c>
      <c r="J105" s="1139">
        <f>0.7525/J101</f>
        <v>1.2541666666666667</v>
      </c>
      <c r="K105" s="1139">
        <f>0.7525/K101</f>
        <v>1.2541666666666667</v>
      </c>
      <c r="L105" s="1139">
        <f>0.7525/L101</f>
        <v>1.2541666666666667</v>
      </c>
      <c r="M105" s="1139">
        <f>0.7525/M101</f>
        <v>1.2541666666666667</v>
      </c>
      <c r="N105" s="1139">
        <f>0.7525/N101</f>
        <v>1.2541666666666667</v>
      </c>
    </row>
    <row r="106" spans="1:14">
      <c r="A106" s="3488"/>
      <c r="B106" s="1138">
        <v>5</v>
      </c>
      <c r="C106" s="1139">
        <f>0.8417/C101</f>
        <v>1.4028333333333334</v>
      </c>
      <c r="D106" s="1139">
        <f>0.8417/D101</f>
        <v>1.4028333333333334</v>
      </c>
      <c r="E106" s="1139">
        <f>0.7371/E101</f>
        <v>1.2284999999999999</v>
      </c>
      <c r="F106" s="1139">
        <f>0.7371/F101</f>
        <v>1.2284999999999999</v>
      </c>
      <c r="G106" s="1139">
        <f>0.7371/G101</f>
        <v>1.2284999999999999</v>
      </c>
      <c r="H106" s="1139">
        <f>0.7371/H101</f>
        <v>1.2284999999999999</v>
      </c>
      <c r="I106" s="1139">
        <f>0.7371/I101</f>
        <v>1.2284999999999999</v>
      </c>
      <c r="J106" s="1139">
        <f>0.5659/J101</f>
        <v>0.9431666666666666</v>
      </c>
      <c r="K106" s="1139">
        <f>0.5659/K101</f>
        <v>0.9431666666666666</v>
      </c>
      <c r="L106" s="1139">
        <f>0.5659/L101</f>
        <v>0.9431666666666666</v>
      </c>
      <c r="M106" s="1139">
        <f>0.5659/M101</f>
        <v>0.9431666666666666</v>
      </c>
      <c r="N106" s="1139">
        <f>0.5659/N101</f>
        <v>0.9431666666666666</v>
      </c>
    </row>
    <row r="107" spans="1:14">
      <c r="A107" s="3488"/>
      <c r="B107" s="1138">
        <v>6</v>
      </c>
      <c r="C107" s="1139">
        <f>0.7608/C101</f>
        <v>1.268</v>
      </c>
      <c r="D107" s="1139">
        <f>0.7608/D101</f>
        <v>1.268</v>
      </c>
      <c r="E107" s="1139">
        <f>0.6482/E101</f>
        <v>1.0803333333333334</v>
      </c>
      <c r="F107" s="1139">
        <f>0.6482/F101</f>
        <v>1.0803333333333334</v>
      </c>
      <c r="G107" s="1139">
        <f>0.6482/G101</f>
        <v>1.0803333333333334</v>
      </c>
      <c r="H107" s="1139">
        <f>0.6482/H101</f>
        <v>1.0803333333333334</v>
      </c>
      <c r="I107" s="1139">
        <f>0.6482/I101</f>
        <v>1.0803333333333334</v>
      </c>
      <c r="J107" s="1139">
        <f>0.4525/J101</f>
        <v>0.75416666666666676</v>
      </c>
      <c r="K107" s="1139">
        <f>0.4525/K101</f>
        <v>0.75416666666666676</v>
      </c>
      <c r="L107" s="1139">
        <f>0.4525/L101</f>
        <v>0.75416666666666676</v>
      </c>
      <c r="M107" s="1139">
        <f>0.4525/M101</f>
        <v>0.75416666666666676</v>
      </c>
      <c r="N107" s="1139">
        <f>0.4525/N101</f>
        <v>0.75416666666666676</v>
      </c>
    </row>
    <row r="108" spans="1:14">
      <c r="A108" s="3488"/>
      <c r="B108" s="3490"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89"/>
      <c r="B109" s="3491"/>
      <c r="C109" s="1141">
        <f>(-0.163*(C108^2)-0.59*C108+7617)*(10^(-4))/C101</f>
        <v>1.2669746666666668</v>
      </c>
      <c r="D109" s="1141">
        <f>(-0.163*(D108^2)-0.59*D108+7617)*(10^(-4))/D101</f>
        <v>1.2669746666666668</v>
      </c>
      <c r="E109" s="1141">
        <f>(-0.161*(E108^2)-7.509*E108+6533)*(10^(-4))/E101</f>
        <v>1.0771040000000001</v>
      </c>
      <c r="F109" s="1141">
        <f>(-0.161*(F108^2)-7.509*F108+6533)*(10^(-4))/F101</f>
        <v>1.0771040000000001</v>
      </c>
      <c r="G109" s="1141">
        <f>(-0.161*(G108^2)-7.509*G108+6533)*(10^(-4))/G101</f>
        <v>1.0771040000000001</v>
      </c>
      <c r="H109" s="1141">
        <f>(-0.161*(H108^2)-7.509*H108+6533)*(10^(-4))/H101</f>
        <v>1.0771040000000001</v>
      </c>
      <c r="I109" s="1141">
        <f>(-0.161*(I108^2)-7.509*I108+6533)*(10^(-4))/I101</f>
        <v>1.0771040000000001</v>
      </c>
      <c r="J109" s="1141">
        <f>(-0.214*(J108^2)-21.991*J108+4665)*(10^(-4))/J101</f>
        <v>0.74589600000000011</v>
      </c>
      <c r="K109" s="1141">
        <f>(-0.214*(K108^2)-21.991*K108+4665)*(10^(-4))/K101</f>
        <v>0.74589600000000011</v>
      </c>
      <c r="L109" s="1141">
        <f>(-0.214*(L108^2)-21.991*L108+4665)*(10^(-4))/L101</f>
        <v>0.74589600000000011</v>
      </c>
      <c r="M109" s="1141">
        <f>(-0.214*(M108^2)-21.991*M108+4665)*(10^(-4))/M101</f>
        <v>0.74589600000000011</v>
      </c>
      <c r="N109" s="1141">
        <f>(-0.214*(N108^2)-21.991*N108+4665)*(10^(-4))/N101</f>
        <v>0.74589600000000011</v>
      </c>
    </row>
    <row r="110" spans="1:14">
      <c r="A110" s="3473" t="s">
        <v>1639</v>
      </c>
      <c r="B110" s="3473"/>
      <c r="C110" s="3473"/>
      <c r="D110" s="3473"/>
      <c r="E110" s="3473"/>
      <c r="F110" s="3473"/>
      <c r="G110" s="3473"/>
      <c r="H110" s="3473"/>
      <c r="I110" s="3473"/>
      <c r="J110" s="3473"/>
      <c r="K110" s="2412"/>
      <c r="L110" s="2412"/>
      <c r="M110" s="2412"/>
      <c r="N110" s="2412"/>
    </row>
    <row r="112" spans="1:14" ht="12.75" thickBot="1"/>
    <row r="113" spans="1:13" ht="25.5" thickBot="1">
      <c r="A113" s="1015" t="s">
        <v>896</v>
      </c>
      <c r="B113" s="2415">
        <f>G3</f>
        <v>0.6</v>
      </c>
      <c r="C113" s="1016" t="s">
        <v>897</v>
      </c>
      <c r="D113" s="1017">
        <f>SUMPRODUCT((A115:A118=F113)*(B114:M114=H113)*B115:M118)</f>
        <v>0.5585</v>
      </c>
      <c r="E113" s="1018" t="s">
        <v>898</v>
      </c>
      <c r="F113" s="1019" t="str">
        <f>E2</f>
        <v>工业</v>
      </c>
      <c r="G113" s="1018" t="s">
        <v>899</v>
      </c>
      <c r="H113" s="1019" t="str">
        <f>G2</f>
        <v>十二级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0.92789999999999995</v>
      </c>
      <c r="C115" s="1029">
        <f>B115</f>
        <v>0.92789999999999995</v>
      </c>
      <c r="D115" s="1029">
        <f>ROUND(0.8331-0.0109*B113,4)</f>
        <v>0.8266</v>
      </c>
      <c r="E115" s="1029">
        <f>D115</f>
        <v>0.8266</v>
      </c>
      <c r="F115" s="1029">
        <f>E115</f>
        <v>0.8266</v>
      </c>
      <c r="G115" s="1029">
        <f>F115</f>
        <v>0.8266</v>
      </c>
      <c r="H115" s="1029">
        <f>G115</f>
        <v>0.8266</v>
      </c>
      <c r="I115" s="1029">
        <f>ROUND(0.689-0.0155*B113,4)</f>
        <v>0.67969999999999997</v>
      </c>
      <c r="J115" s="1029">
        <f t="shared" ref="J115:M118" si="33">I115</f>
        <v>0.67969999999999997</v>
      </c>
      <c r="K115" s="1029">
        <f t="shared" si="33"/>
        <v>0.67969999999999997</v>
      </c>
      <c r="L115" s="1029">
        <f t="shared" si="33"/>
        <v>0.67969999999999997</v>
      </c>
      <c r="M115" s="1030">
        <f t="shared" si="33"/>
        <v>0.67969999999999997</v>
      </c>
    </row>
    <row r="116" spans="1:13" ht="12.75">
      <c r="A116" s="1028" t="s">
        <v>901</v>
      </c>
      <c r="B116" s="1029">
        <f>ROUND(0.949-0.012*B113,4)</f>
        <v>0.94179999999999997</v>
      </c>
      <c r="C116" s="1029">
        <f>B116</f>
        <v>0.94179999999999997</v>
      </c>
      <c r="D116" s="1029">
        <f>ROUND(0.8567-0.013*B113,4)</f>
        <v>0.84889999999999999</v>
      </c>
      <c r="E116" s="1029">
        <f t="shared" ref="E116:H117" si="34">D116</f>
        <v>0.84889999999999999</v>
      </c>
      <c r="F116" s="1029">
        <f t="shared" si="34"/>
        <v>0.84889999999999999</v>
      </c>
      <c r="G116" s="1029">
        <f t="shared" si="34"/>
        <v>0.84889999999999999</v>
      </c>
      <c r="H116" s="1029">
        <f t="shared" si="34"/>
        <v>0.84889999999999999</v>
      </c>
      <c r="I116" s="1029">
        <f>ROUND(0.7694-0.014*B113,4)</f>
        <v>0.76100000000000001</v>
      </c>
      <c r="J116" s="1029">
        <f t="shared" si="33"/>
        <v>0.76100000000000001</v>
      </c>
      <c r="K116" s="1029">
        <f t="shared" si="33"/>
        <v>0.76100000000000001</v>
      </c>
      <c r="L116" s="1029">
        <f t="shared" si="33"/>
        <v>0.76100000000000001</v>
      </c>
      <c r="M116" s="1030">
        <f t="shared" si="33"/>
        <v>0.76100000000000001</v>
      </c>
    </row>
    <row r="117" spans="1:13" ht="12.75">
      <c r="A117" s="1031" t="s">
        <v>902</v>
      </c>
      <c r="B117" s="1029">
        <f>ROUND(0.8808-0.006*B113,4)</f>
        <v>0.87719999999999998</v>
      </c>
      <c r="C117" s="1029">
        <f>B117</f>
        <v>0.87719999999999998</v>
      </c>
      <c r="D117" s="1029">
        <f>ROUND(0.8748-0.008*B113,4)</f>
        <v>0.87</v>
      </c>
      <c r="E117" s="1029">
        <f t="shared" si="34"/>
        <v>0.87</v>
      </c>
      <c r="F117" s="1029">
        <f t="shared" si="34"/>
        <v>0.87</v>
      </c>
      <c r="G117" s="1029">
        <f t="shared" si="34"/>
        <v>0.87</v>
      </c>
      <c r="H117" s="1029">
        <f t="shared" si="34"/>
        <v>0.87</v>
      </c>
      <c r="I117" s="1029">
        <f>ROUND(0.7412-0.0095*B113,4)</f>
        <v>0.73550000000000004</v>
      </c>
      <c r="J117" s="1029">
        <f t="shared" si="33"/>
        <v>0.73550000000000004</v>
      </c>
      <c r="K117" s="1029">
        <f t="shared" si="33"/>
        <v>0.73550000000000004</v>
      </c>
      <c r="L117" s="1029">
        <f t="shared" si="33"/>
        <v>0.73550000000000004</v>
      </c>
      <c r="M117" s="1030">
        <f t="shared" si="33"/>
        <v>0.73550000000000004</v>
      </c>
    </row>
    <row r="118" spans="1:13" ht="13.5" thickBot="1">
      <c r="A118" s="1032" t="s">
        <v>903</v>
      </c>
      <c r="B118" s="1033">
        <f>ROUND(0.7275-0.01*B113,4)</f>
        <v>0.72150000000000003</v>
      </c>
      <c r="C118" s="1033">
        <f>B118</f>
        <v>0.72150000000000003</v>
      </c>
      <c r="D118" s="1033">
        <f>ROUND(0.7043-0.012*B113,4)</f>
        <v>0.69710000000000005</v>
      </c>
      <c r="E118" s="1033">
        <f>D118</f>
        <v>0.69710000000000005</v>
      </c>
      <c r="F118" s="1033">
        <f>E118</f>
        <v>0.69710000000000005</v>
      </c>
      <c r="G118" s="1033">
        <f>ROUND(0.6299-0.0122*B113,4)</f>
        <v>0.62260000000000004</v>
      </c>
      <c r="H118" s="1033">
        <f>G118</f>
        <v>0.62260000000000004</v>
      </c>
      <c r="I118" s="1033">
        <f>ROUND(0.5667-0.0136*B113,4)</f>
        <v>0.5585</v>
      </c>
      <c r="J118" s="1033">
        <f t="shared" si="33"/>
        <v>0.5585</v>
      </c>
      <c r="K118" s="1033">
        <f t="shared" si="33"/>
        <v>0.5585</v>
      </c>
      <c r="L118" s="1033">
        <f t="shared" si="33"/>
        <v>0.5585</v>
      </c>
      <c r="M118" s="1034">
        <f t="shared" si="33"/>
        <v>0.5585</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71"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80" t="s">
        <v>1007</v>
      </c>
      <c r="B18" s="1149" t="s">
        <v>1446</v>
      </c>
      <c r="C18" s="1126" t="s">
        <v>1447</v>
      </c>
      <c r="D18" s="1127"/>
      <c r="E18" s="1149">
        <v>1</v>
      </c>
      <c r="F18" s="1128" t="s">
        <v>1448</v>
      </c>
      <c r="G18" s="1129"/>
      <c r="H18" s="1100"/>
      <c r="I18" s="1100"/>
    </row>
    <row r="19" spans="1:9" s="1584" customFormat="1" ht="19.5" customHeight="1">
      <c r="A19" s="3480"/>
      <c r="B19" s="3480" t="s">
        <v>1449</v>
      </c>
      <c r="C19" s="1126" t="s">
        <v>1450</v>
      </c>
      <c r="D19" s="1127"/>
      <c r="E19" s="1149">
        <v>0.9</v>
      </c>
      <c r="F19" s="1128" t="s">
        <v>1451</v>
      </c>
      <c r="G19" s="1129"/>
      <c r="H19" s="1100"/>
      <c r="I19" s="1100"/>
    </row>
    <row r="20" spans="1:9" s="1584" customFormat="1" ht="19.5" customHeight="1">
      <c r="A20" s="3480"/>
      <c r="B20" s="3480"/>
      <c r="C20" s="1126" t="s">
        <v>1452</v>
      </c>
      <c r="D20" s="1127"/>
      <c r="E20" s="1149">
        <v>1.1000000000000001</v>
      </c>
      <c r="F20" s="1128" t="s">
        <v>1453</v>
      </c>
      <c r="G20" s="1129"/>
      <c r="H20" s="1100"/>
      <c r="I20" s="1100"/>
    </row>
    <row r="21" spans="1:9" s="1584" customFormat="1" ht="19.5" customHeight="1">
      <c r="A21" s="3480"/>
      <c r="B21" s="3480"/>
      <c r="C21" s="1126" t="s">
        <v>1454</v>
      </c>
      <c r="D21" s="1127"/>
      <c r="E21" s="1149">
        <v>0.8</v>
      </c>
      <c r="F21" s="1128" t="s">
        <v>1455</v>
      </c>
      <c r="G21" s="1129"/>
      <c r="H21" s="1100"/>
      <c r="I21" s="1100"/>
    </row>
    <row r="22" spans="1:9" s="1584" customFormat="1" ht="19.5" customHeight="1">
      <c r="A22" s="3480"/>
      <c r="B22" s="3480"/>
      <c r="C22" s="1126" t="s">
        <v>1456</v>
      </c>
      <c r="D22" s="1127"/>
      <c r="E22" s="1149">
        <v>0.5</v>
      </c>
      <c r="F22" s="1128"/>
      <c r="G22" s="1129"/>
      <c r="H22" s="1100"/>
      <c r="I22" s="1100"/>
    </row>
    <row r="23" spans="1:9" s="1584" customFormat="1" ht="19.5" customHeight="1">
      <c r="A23" s="3480" t="s">
        <v>1029</v>
      </c>
      <c r="B23" s="1149" t="s">
        <v>1446</v>
      </c>
      <c r="C23" s="1126" t="s">
        <v>1457</v>
      </c>
      <c r="D23" s="1127"/>
      <c r="E23" s="1149">
        <v>1</v>
      </c>
      <c r="F23" s="1128" t="s">
        <v>1458</v>
      </c>
      <c r="G23" s="1129"/>
      <c r="H23" s="1100"/>
      <c r="I23" s="1100"/>
    </row>
    <row r="24" spans="1:9" s="1584" customFormat="1" ht="19.5" customHeight="1">
      <c r="A24" s="3480"/>
      <c r="B24" s="3480" t="s">
        <v>1449</v>
      </c>
      <c r="C24" s="1126" t="s">
        <v>1459</v>
      </c>
      <c r="D24" s="1127"/>
      <c r="E24" s="1149">
        <v>0.5</v>
      </c>
      <c r="F24" s="1128"/>
      <c r="G24" s="1129"/>
      <c r="H24" s="1100"/>
      <c r="I24" s="1100"/>
    </row>
    <row r="25" spans="1:9" s="1584" customFormat="1" ht="19.5" customHeight="1">
      <c r="A25" s="3480"/>
      <c r="B25" s="3480"/>
      <c r="C25" s="1126" t="s">
        <v>1460</v>
      </c>
      <c r="D25" s="1127"/>
      <c r="E25" s="1149">
        <v>1.1000000000000001</v>
      </c>
      <c r="F25" s="1128"/>
      <c r="G25" s="1129"/>
      <c r="H25" s="1100"/>
      <c r="I25" s="1100"/>
    </row>
    <row r="26" spans="1:9" s="1584" customFormat="1" ht="19.5" customHeight="1">
      <c r="A26" s="3480"/>
      <c r="B26" s="3480"/>
      <c r="C26" s="1126" t="s">
        <v>1461</v>
      </c>
      <c r="D26" s="1127"/>
      <c r="E26" s="1149">
        <v>1.1000000000000001</v>
      </c>
      <c r="F26" s="1128"/>
      <c r="G26" s="1129"/>
      <c r="H26" s="1100"/>
      <c r="I26" s="1100"/>
    </row>
    <row r="27" spans="1:9" s="1584" customFormat="1" ht="19.5" customHeight="1">
      <c r="A27" s="3480"/>
      <c r="B27" s="3480"/>
      <c r="C27" s="1126" t="s">
        <v>1462</v>
      </c>
      <c r="D27" s="1127"/>
      <c r="E27" s="1149">
        <v>0.9</v>
      </c>
      <c r="F27" s="1128" t="s">
        <v>1463</v>
      </c>
      <c r="G27" s="1129"/>
      <c r="H27" s="1100"/>
      <c r="I27" s="1100"/>
    </row>
    <row r="28" spans="1:9" s="1584" customFormat="1" ht="19.5" customHeight="1">
      <c r="A28" s="3480"/>
      <c r="B28" s="3480"/>
      <c r="C28" s="1126" t="s">
        <v>1464</v>
      </c>
      <c r="D28" s="1127"/>
      <c r="E28" s="1149">
        <v>0.9</v>
      </c>
      <c r="F28" s="1128" t="s">
        <v>1465</v>
      </c>
      <c r="G28" s="1129"/>
      <c r="H28" s="1100"/>
      <c r="I28" s="1100"/>
    </row>
    <row r="29" spans="1:9" s="1584" customFormat="1" ht="19.5" customHeight="1">
      <c r="A29" s="3480"/>
      <c r="B29" s="3480"/>
      <c r="C29" s="1126" t="s">
        <v>1466</v>
      </c>
      <c r="D29" s="1127"/>
      <c r="E29" s="1149">
        <v>0.9</v>
      </c>
      <c r="F29" s="1128" t="s">
        <v>1467</v>
      </c>
      <c r="G29" s="1129"/>
      <c r="H29" s="1100"/>
      <c r="I29" s="1100"/>
    </row>
    <row r="30" spans="1:9" s="1584" customFormat="1" ht="19.5" customHeight="1">
      <c r="A30" s="3480"/>
      <c r="B30" s="3480"/>
      <c r="C30" s="1126" t="s">
        <v>1468</v>
      </c>
      <c r="D30" s="1127"/>
      <c r="E30" s="1149">
        <v>0.9</v>
      </c>
      <c r="F30" s="1128" t="s">
        <v>1469</v>
      </c>
      <c r="G30" s="1129"/>
      <c r="H30" s="1100"/>
      <c r="I30" s="1100"/>
    </row>
    <row r="31" spans="1:9" s="1584" customFormat="1" ht="19.5" customHeight="1">
      <c r="A31" s="3480"/>
      <c r="B31" s="3480"/>
      <c r="C31" s="1126" t="s">
        <v>1470</v>
      </c>
      <c r="D31" s="1127"/>
      <c r="E31" s="1149">
        <v>0.8</v>
      </c>
      <c r="F31" s="1128" t="s">
        <v>1471</v>
      </c>
      <c r="G31" s="1129"/>
      <c r="H31" s="1100"/>
      <c r="I31" s="1100"/>
    </row>
    <row r="32" spans="1:9" s="1584" customFormat="1" ht="19.5" customHeight="1">
      <c r="A32" s="3480"/>
      <c r="B32" s="3480"/>
      <c r="C32" s="1126" t="s">
        <v>1472</v>
      </c>
      <c r="D32" s="1127"/>
      <c r="E32" s="1149">
        <v>0.8</v>
      </c>
      <c r="F32" s="1128" t="s">
        <v>1473</v>
      </c>
      <c r="G32" s="1129"/>
      <c r="H32" s="1100"/>
      <c r="I32" s="1100"/>
    </row>
    <row r="33" spans="1:9" s="1584" customFormat="1" ht="19.5" customHeight="1">
      <c r="A33" s="3480" t="s">
        <v>1474</v>
      </c>
      <c r="B33" s="1149" t="s">
        <v>1446</v>
      </c>
      <c r="C33" s="1126" t="s">
        <v>1475</v>
      </c>
      <c r="D33" s="1127"/>
      <c r="E33" s="1149">
        <v>1</v>
      </c>
      <c r="F33" s="1128" t="s">
        <v>1476</v>
      </c>
      <c r="G33" s="1129"/>
      <c r="H33" s="1100"/>
      <c r="I33" s="1100"/>
    </row>
    <row r="34" spans="1:9" s="1584" customFormat="1" ht="19.5" customHeight="1">
      <c r="A34" s="3480"/>
      <c r="B34" s="1149" t="s">
        <v>1449</v>
      </c>
      <c r="C34" s="1126" t="s">
        <v>1477</v>
      </c>
      <c r="D34" s="1127"/>
      <c r="E34" s="1149">
        <v>1.5</v>
      </c>
      <c r="F34" s="1128" t="s">
        <v>1478</v>
      </c>
      <c r="G34" s="1129"/>
      <c r="H34" s="1100"/>
      <c r="I34" s="1100"/>
    </row>
    <row r="35" spans="1:9" s="1584" customFormat="1" ht="19.5" customHeight="1">
      <c r="A35" s="3480" t="s">
        <v>1432</v>
      </c>
      <c r="B35" s="1149" t="s">
        <v>1446</v>
      </c>
      <c r="C35" s="1126" t="s">
        <v>1479</v>
      </c>
      <c r="D35" s="1127"/>
      <c r="E35" s="1149">
        <v>1</v>
      </c>
      <c r="F35" s="1128" t="s">
        <v>1480</v>
      </c>
      <c r="G35" s="1129"/>
      <c r="H35" s="1100"/>
      <c r="I35" s="1100"/>
    </row>
    <row r="36" spans="1:9" s="1584" customFormat="1" ht="19.5" customHeight="1">
      <c r="A36" s="3480"/>
      <c r="B36" s="3480" t="s">
        <v>1449</v>
      </c>
      <c r="C36" s="1126" t="s">
        <v>1481</v>
      </c>
      <c r="D36" s="1127"/>
      <c r="E36" s="1149">
        <v>1</v>
      </c>
      <c r="F36" s="1128" t="s">
        <v>1482</v>
      </c>
      <c r="G36" s="1129"/>
      <c r="H36" s="1100"/>
      <c r="I36" s="1100"/>
    </row>
    <row r="37" spans="1:9" s="1584" customFormat="1" ht="19.5" customHeight="1">
      <c r="A37" s="3480"/>
      <c r="B37" s="3480"/>
      <c r="C37" s="1126" t="s">
        <v>1483</v>
      </c>
      <c r="D37" s="1127"/>
      <c r="E37" s="1149">
        <v>1.5</v>
      </c>
      <c r="F37" s="1128" t="s">
        <v>1484</v>
      </c>
      <c r="G37" s="1129"/>
      <c r="H37" s="1100"/>
      <c r="I37" s="1100"/>
    </row>
    <row r="38" spans="1:9" s="1584" customFormat="1" ht="19.5" customHeight="1">
      <c r="A38" s="3480"/>
      <c r="B38" s="3480"/>
      <c r="C38" s="1126" t="s">
        <v>1485</v>
      </c>
      <c r="D38" s="1127"/>
      <c r="E38" s="1149">
        <v>1</v>
      </c>
      <c r="F38" s="1128" t="s">
        <v>1486</v>
      </c>
      <c r="G38" s="1129"/>
      <c r="H38" s="1100"/>
      <c r="I38" s="1100"/>
    </row>
    <row r="39" spans="1:9" s="1584" customFormat="1" ht="19.5" customHeight="1">
      <c r="A39" s="3480"/>
      <c r="B39" s="3480"/>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80" t="s">
        <v>1501</v>
      </c>
      <c r="C61" s="1063" t="s">
        <v>1502</v>
      </c>
      <c r="D61" s="1063" t="s">
        <v>1503</v>
      </c>
      <c r="E61" s="1134">
        <v>0.5</v>
      </c>
      <c r="F61" s="1149">
        <v>80</v>
      </c>
      <c r="H61" s="1100">
        <f>SUMIF(C59:C119,基准地价!C8,E59:E119)</f>
        <v>0</v>
      </c>
    </row>
    <row r="62" spans="1:8" s="1100" customFormat="1" ht="24">
      <c r="A62" s="1149">
        <v>2</v>
      </c>
      <c r="B62" s="3480"/>
      <c r="C62" s="1063" t="s">
        <v>1504</v>
      </c>
      <c r="D62" s="1063" t="s">
        <v>1505</v>
      </c>
      <c r="E62" s="1134">
        <v>0.5</v>
      </c>
      <c r="F62" s="1149">
        <v>80</v>
      </c>
    </row>
    <row r="63" spans="1:8" s="1100" customFormat="1" ht="36">
      <c r="A63" s="1149">
        <v>3</v>
      </c>
      <c r="B63" s="3480"/>
      <c r="C63" s="1063" t="s">
        <v>1506</v>
      </c>
      <c r="D63" s="1063" t="s">
        <v>1507</v>
      </c>
      <c r="E63" s="1134">
        <v>0.5</v>
      </c>
      <c r="F63" s="1149">
        <v>80</v>
      </c>
    </row>
    <row r="64" spans="1:8" s="1100" customFormat="1" ht="36">
      <c r="A64" s="1149">
        <v>4</v>
      </c>
      <c r="B64" s="3480"/>
      <c r="C64" s="1063" t="s">
        <v>1508</v>
      </c>
      <c r="D64" s="1063" t="s">
        <v>1509</v>
      </c>
      <c r="E64" s="1134">
        <v>0.4</v>
      </c>
      <c r="F64" s="1149">
        <v>60</v>
      </c>
    </row>
    <row r="65" spans="1:6" s="1100" customFormat="1" ht="36">
      <c r="A65" s="1149">
        <v>5</v>
      </c>
      <c r="B65" s="3480"/>
      <c r="C65" s="1063" t="s">
        <v>1510</v>
      </c>
      <c r="D65" s="1063" t="s">
        <v>1511</v>
      </c>
      <c r="E65" s="1134">
        <v>0.2</v>
      </c>
      <c r="F65" s="1149">
        <v>30</v>
      </c>
    </row>
    <row r="66" spans="1:6" s="1100" customFormat="1" ht="36">
      <c r="A66" s="1149">
        <v>6</v>
      </c>
      <c r="B66" s="3480"/>
      <c r="C66" s="1063" t="s">
        <v>1512</v>
      </c>
      <c r="D66" s="1063" t="s">
        <v>1513</v>
      </c>
      <c r="E66" s="1134">
        <v>0.3</v>
      </c>
      <c r="F66" s="1149">
        <v>50</v>
      </c>
    </row>
    <row r="67" spans="1:6" s="1100" customFormat="1" ht="36">
      <c r="A67" s="1149">
        <v>7</v>
      </c>
      <c r="B67" s="3480"/>
      <c r="C67" s="1063" t="s">
        <v>1514</v>
      </c>
      <c r="D67" s="1063" t="s">
        <v>1515</v>
      </c>
      <c r="E67" s="1134">
        <v>0.2</v>
      </c>
      <c r="F67" s="1149">
        <v>30</v>
      </c>
    </row>
    <row r="68" spans="1:6" s="1100" customFormat="1" ht="36">
      <c r="A68" s="1149">
        <v>8</v>
      </c>
      <c r="B68" s="3480"/>
      <c r="C68" s="1063" t="s">
        <v>1516</v>
      </c>
      <c r="D68" s="1063" t="s">
        <v>1517</v>
      </c>
      <c r="E68" s="1134">
        <v>0.2</v>
      </c>
      <c r="F68" s="1149">
        <v>30</v>
      </c>
    </row>
    <row r="69" spans="1:6" s="1100" customFormat="1" ht="36">
      <c r="A69" s="1149">
        <v>9</v>
      </c>
      <c r="B69" s="3480"/>
      <c r="C69" s="1063" t="s">
        <v>1518</v>
      </c>
      <c r="D69" s="1063" t="s">
        <v>1519</v>
      </c>
      <c r="E69" s="1134">
        <v>0.2</v>
      </c>
      <c r="F69" s="1149">
        <v>30</v>
      </c>
    </row>
    <row r="70" spans="1:6" s="1100" customFormat="1" ht="48">
      <c r="A70" s="1149">
        <v>10</v>
      </c>
      <c r="B70" s="3480"/>
      <c r="C70" s="1063" t="s">
        <v>1520</v>
      </c>
      <c r="D70" s="1063" t="s">
        <v>1521</v>
      </c>
      <c r="E70" s="1134">
        <v>0.2</v>
      </c>
      <c r="F70" s="1149">
        <v>30</v>
      </c>
    </row>
    <row r="71" spans="1:6" s="1100" customFormat="1" ht="48">
      <c r="A71" s="1149">
        <v>11</v>
      </c>
      <c r="B71" s="3480"/>
      <c r="C71" s="1063" t="s">
        <v>1522</v>
      </c>
      <c r="D71" s="1063" t="s">
        <v>1523</v>
      </c>
      <c r="E71" s="1134">
        <v>0.2</v>
      </c>
      <c r="F71" s="1149">
        <v>30</v>
      </c>
    </row>
    <row r="72" spans="1:6" s="1100" customFormat="1" ht="36">
      <c r="A72" s="1149">
        <v>12</v>
      </c>
      <c r="B72" s="3480"/>
      <c r="C72" s="1063" t="s">
        <v>1524</v>
      </c>
      <c r="D72" s="1063" t="s">
        <v>1525</v>
      </c>
      <c r="E72" s="1134">
        <v>0.5</v>
      </c>
      <c r="F72" s="1149">
        <v>80</v>
      </c>
    </row>
    <row r="73" spans="1:6" s="1100" customFormat="1" ht="24">
      <c r="A73" s="1149">
        <v>13</v>
      </c>
      <c r="B73" s="3480"/>
      <c r="C73" s="1063" t="s">
        <v>1526</v>
      </c>
      <c r="D73" s="1063" t="s">
        <v>1527</v>
      </c>
      <c r="E73" s="1134">
        <v>0.4</v>
      </c>
      <c r="F73" s="1149">
        <v>60</v>
      </c>
    </row>
    <row r="74" spans="1:6" s="1100" customFormat="1" ht="24">
      <c r="A74" s="1149">
        <v>14</v>
      </c>
      <c r="B74" s="3480"/>
      <c r="C74" s="1063" t="s">
        <v>1528</v>
      </c>
      <c r="D74" s="1063" t="s">
        <v>1529</v>
      </c>
      <c r="E74" s="1134">
        <v>0.2</v>
      </c>
      <c r="F74" s="1149">
        <v>30</v>
      </c>
    </row>
    <row r="75" spans="1:6" s="1100" customFormat="1" ht="24">
      <c r="A75" s="1149">
        <v>15</v>
      </c>
      <c r="B75" s="3480"/>
      <c r="C75" s="1063" t="s">
        <v>1530</v>
      </c>
      <c r="D75" s="1063" t="s">
        <v>1531</v>
      </c>
      <c r="E75" s="1134">
        <v>0.2</v>
      </c>
      <c r="F75" s="1149">
        <v>30</v>
      </c>
    </row>
    <row r="76" spans="1:6" s="1100" customFormat="1" ht="24">
      <c r="A76" s="1149">
        <v>16</v>
      </c>
      <c r="B76" s="3480" t="s">
        <v>1532</v>
      </c>
      <c r="C76" s="1063" t="s">
        <v>1533</v>
      </c>
      <c r="D76" s="1063" t="s">
        <v>1534</v>
      </c>
      <c r="E76" s="1134">
        <v>0.5</v>
      </c>
      <c r="F76" s="1149">
        <v>80</v>
      </c>
    </row>
    <row r="77" spans="1:6" s="1100" customFormat="1" ht="24">
      <c r="A77" s="1149">
        <v>17</v>
      </c>
      <c r="B77" s="3480"/>
      <c r="C77" s="1063" t="s">
        <v>1535</v>
      </c>
      <c r="D77" s="1063" t="s">
        <v>1536</v>
      </c>
      <c r="E77" s="1134">
        <v>0.5</v>
      </c>
      <c r="F77" s="1149">
        <v>80</v>
      </c>
    </row>
    <row r="78" spans="1:6" s="1100" customFormat="1" ht="24">
      <c r="A78" s="1149">
        <v>18</v>
      </c>
      <c r="B78" s="3480"/>
      <c r="C78" s="1063" t="s">
        <v>1537</v>
      </c>
      <c r="D78" s="1063" t="s">
        <v>1538</v>
      </c>
      <c r="E78" s="1134">
        <v>0.2</v>
      </c>
      <c r="F78" s="1149">
        <v>30</v>
      </c>
    </row>
    <row r="79" spans="1:6" s="1100" customFormat="1" ht="24">
      <c r="A79" s="1149">
        <v>19</v>
      </c>
      <c r="B79" s="3480"/>
      <c r="C79" s="1063" t="s">
        <v>1539</v>
      </c>
      <c r="D79" s="1063" t="s">
        <v>1540</v>
      </c>
      <c r="E79" s="1134">
        <v>0.5</v>
      </c>
      <c r="F79" s="1149">
        <v>80</v>
      </c>
    </row>
    <row r="80" spans="1:6" s="1100" customFormat="1" ht="36">
      <c r="A80" s="1149">
        <v>20</v>
      </c>
      <c r="B80" s="3480"/>
      <c r="C80" s="1063" t="s">
        <v>1541</v>
      </c>
      <c r="D80" s="1063" t="s">
        <v>1542</v>
      </c>
      <c r="E80" s="1134">
        <v>0.2</v>
      </c>
      <c r="F80" s="1149">
        <v>30</v>
      </c>
    </row>
    <row r="81" spans="1:6" s="1100" customFormat="1" ht="36">
      <c r="A81" s="1149">
        <v>21</v>
      </c>
      <c r="B81" s="3480"/>
      <c r="C81" s="1063" t="s">
        <v>1543</v>
      </c>
      <c r="D81" s="1063" t="s">
        <v>1544</v>
      </c>
      <c r="E81" s="1134">
        <v>0.2</v>
      </c>
      <c r="F81" s="1149">
        <v>30</v>
      </c>
    </row>
    <row r="82" spans="1:6" s="1100" customFormat="1" ht="48">
      <c r="A82" s="1149">
        <v>22</v>
      </c>
      <c r="B82" s="3480"/>
      <c r="C82" s="1063" t="s">
        <v>1545</v>
      </c>
      <c r="D82" s="1063" t="s">
        <v>1546</v>
      </c>
      <c r="E82" s="1134">
        <v>0.2</v>
      </c>
      <c r="F82" s="1149">
        <v>30</v>
      </c>
    </row>
    <row r="83" spans="1:6" s="1100" customFormat="1" ht="48">
      <c r="A83" s="1149">
        <v>23</v>
      </c>
      <c r="B83" s="3480"/>
      <c r="C83" s="1063" t="s">
        <v>1547</v>
      </c>
      <c r="D83" s="1063" t="s">
        <v>1548</v>
      </c>
      <c r="E83" s="1134">
        <v>0.2</v>
      </c>
      <c r="F83" s="1149">
        <v>30</v>
      </c>
    </row>
    <row r="84" spans="1:6" s="1100" customFormat="1" ht="36">
      <c r="A84" s="1149">
        <v>24</v>
      </c>
      <c r="B84" s="3480"/>
      <c r="C84" s="1063" t="s">
        <v>1549</v>
      </c>
      <c r="D84" s="1063" t="s">
        <v>1550</v>
      </c>
      <c r="E84" s="1134">
        <v>0.2</v>
      </c>
      <c r="F84" s="1149">
        <v>30</v>
      </c>
    </row>
    <row r="85" spans="1:6" s="1100" customFormat="1" ht="36">
      <c r="A85" s="1149">
        <v>25</v>
      </c>
      <c r="B85" s="3480"/>
      <c r="C85" s="1063" t="s">
        <v>1551</v>
      </c>
      <c r="D85" s="1063" t="s">
        <v>1552</v>
      </c>
      <c r="E85" s="1134">
        <v>0.5</v>
      </c>
      <c r="F85" s="1149">
        <v>80</v>
      </c>
    </row>
    <row r="86" spans="1:6" s="1100" customFormat="1" ht="36">
      <c r="A86" s="1149">
        <v>26</v>
      </c>
      <c r="B86" s="3480"/>
      <c r="C86" s="1063" t="s">
        <v>1553</v>
      </c>
      <c r="D86" s="1063" t="s">
        <v>1554</v>
      </c>
      <c r="E86" s="1134">
        <v>0.2</v>
      </c>
      <c r="F86" s="1149">
        <v>30</v>
      </c>
    </row>
    <row r="87" spans="1:6" s="1100" customFormat="1" ht="36">
      <c r="A87" s="1149">
        <v>27</v>
      </c>
      <c r="B87" s="3480"/>
      <c r="C87" s="1063" t="s">
        <v>1555</v>
      </c>
      <c r="D87" s="1063" t="s">
        <v>1556</v>
      </c>
      <c r="E87" s="1134">
        <v>0.2</v>
      </c>
      <c r="F87" s="1149">
        <v>30</v>
      </c>
    </row>
    <row r="88" spans="1:6" s="1100" customFormat="1" ht="36">
      <c r="A88" s="1149">
        <v>28</v>
      </c>
      <c r="B88" s="3480"/>
      <c r="C88" s="1063" t="s">
        <v>1557</v>
      </c>
      <c r="D88" s="1063" t="s">
        <v>1558</v>
      </c>
      <c r="E88" s="1134">
        <v>0.2</v>
      </c>
      <c r="F88" s="1149">
        <v>30</v>
      </c>
    </row>
    <row r="89" spans="1:6" s="1100" customFormat="1" ht="24">
      <c r="A89" s="1149">
        <v>29</v>
      </c>
      <c r="B89" s="3480"/>
      <c r="C89" s="1063" t="s">
        <v>1559</v>
      </c>
      <c r="D89" s="1063" t="s">
        <v>1560</v>
      </c>
      <c r="E89" s="1134">
        <v>0.2</v>
      </c>
      <c r="F89" s="1149">
        <v>30</v>
      </c>
    </row>
    <row r="90" spans="1:6" s="1100" customFormat="1" ht="24">
      <c r="A90" s="1149">
        <v>30</v>
      </c>
      <c r="B90" s="3480"/>
      <c r="C90" s="1063" t="s">
        <v>1561</v>
      </c>
      <c r="D90" s="1063" t="s">
        <v>1562</v>
      </c>
      <c r="E90" s="1134">
        <v>0.2</v>
      </c>
      <c r="F90" s="1149">
        <v>30</v>
      </c>
    </row>
    <row r="91" spans="1:6" s="1100" customFormat="1" ht="36">
      <c r="A91" s="1149">
        <v>31</v>
      </c>
      <c r="B91" s="3480"/>
      <c r="C91" s="1063" t="s">
        <v>1563</v>
      </c>
      <c r="D91" s="1063" t="s">
        <v>1564</v>
      </c>
      <c r="E91" s="1134">
        <v>0.2</v>
      </c>
      <c r="F91" s="1149">
        <v>30</v>
      </c>
    </row>
    <row r="92" spans="1:6" s="1100" customFormat="1" ht="24">
      <c r="A92" s="1149">
        <v>32</v>
      </c>
      <c r="B92" s="3480" t="s">
        <v>1565</v>
      </c>
      <c r="C92" s="1149" t="s">
        <v>1566</v>
      </c>
      <c r="D92" s="1063" t="s">
        <v>1567</v>
      </c>
      <c r="E92" s="1134">
        <v>0.2</v>
      </c>
      <c r="F92" s="1149">
        <v>30</v>
      </c>
    </row>
    <row r="93" spans="1:6" s="1100" customFormat="1" ht="36">
      <c r="A93" s="1149">
        <v>33</v>
      </c>
      <c r="B93" s="3480"/>
      <c r="C93" s="1149" t="s">
        <v>1568</v>
      </c>
      <c r="D93" s="1063" t="s">
        <v>1569</v>
      </c>
      <c r="E93" s="1134">
        <v>0.2</v>
      </c>
      <c r="F93" s="1149">
        <v>30</v>
      </c>
    </row>
    <row r="94" spans="1:6" s="1100" customFormat="1" ht="48">
      <c r="A94" s="1149">
        <v>34</v>
      </c>
      <c r="B94" s="3480"/>
      <c r="C94" s="1149" t="s">
        <v>1570</v>
      </c>
      <c r="D94" s="1063" t="s">
        <v>1571</v>
      </c>
      <c r="E94" s="1134">
        <v>0.2</v>
      </c>
      <c r="F94" s="1149">
        <v>30</v>
      </c>
    </row>
    <row r="95" spans="1:6" s="1100" customFormat="1" ht="36">
      <c r="A95" s="1149">
        <v>35</v>
      </c>
      <c r="B95" s="3480"/>
      <c r="C95" s="1149" t="s">
        <v>1572</v>
      </c>
      <c r="D95" s="1063" t="s">
        <v>1573</v>
      </c>
      <c r="E95" s="1134">
        <v>0.2</v>
      </c>
      <c r="F95" s="1149">
        <v>30</v>
      </c>
    </row>
    <row r="96" spans="1:6" s="1100" customFormat="1" ht="48">
      <c r="A96" s="1149">
        <v>36</v>
      </c>
      <c r="B96" s="3480"/>
      <c r="C96" s="1063" t="s">
        <v>1574</v>
      </c>
      <c r="D96" s="1063" t="s">
        <v>1575</v>
      </c>
      <c r="E96" s="1134">
        <v>0.2</v>
      </c>
      <c r="F96" s="1149">
        <v>30</v>
      </c>
    </row>
    <row r="97" spans="1:6" s="1100" customFormat="1" ht="36">
      <c r="A97" s="1149">
        <v>37</v>
      </c>
      <c r="B97" s="3480"/>
      <c r="C97" s="1149" t="s">
        <v>1576</v>
      </c>
      <c r="D97" s="1063" t="s">
        <v>1577</v>
      </c>
      <c r="E97" s="1134">
        <v>0.2</v>
      </c>
      <c r="F97" s="1149">
        <v>30</v>
      </c>
    </row>
    <row r="98" spans="1:6" s="1100" customFormat="1" ht="36">
      <c r="A98" s="1149">
        <v>38</v>
      </c>
      <c r="B98" s="3480"/>
      <c r="C98" s="1149" t="s">
        <v>1578</v>
      </c>
      <c r="D98" s="1063" t="s">
        <v>1579</v>
      </c>
      <c r="E98" s="1134">
        <v>0.2</v>
      </c>
      <c r="F98" s="1149">
        <v>30</v>
      </c>
    </row>
    <row r="99" spans="1:6" s="1100" customFormat="1" ht="36">
      <c r="A99" s="1149">
        <v>39</v>
      </c>
      <c r="B99" s="3480" t="s">
        <v>1580</v>
      </c>
      <c r="C99" s="1149" t="s">
        <v>1581</v>
      </c>
      <c r="D99" s="1063" t="s">
        <v>1582</v>
      </c>
      <c r="E99" s="1134">
        <v>0.3</v>
      </c>
      <c r="F99" s="1149">
        <v>50</v>
      </c>
    </row>
    <row r="100" spans="1:6" s="1100" customFormat="1" ht="24">
      <c r="A100" s="1149">
        <v>40</v>
      </c>
      <c r="B100" s="3480"/>
      <c r="C100" s="1149" t="s">
        <v>1583</v>
      </c>
      <c r="D100" s="1063" t="s">
        <v>1584</v>
      </c>
      <c r="E100" s="1134">
        <v>0.2</v>
      </c>
      <c r="F100" s="1149">
        <v>30</v>
      </c>
    </row>
    <row r="101" spans="1:6" s="1100" customFormat="1" ht="36">
      <c r="A101" s="1149">
        <v>41</v>
      </c>
      <c r="B101" s="3480"/>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80" t="s">
        <v>1595</v>
      </c>
      <c r="C105" s="1149" t="s">
        <v>1596</v>
      </c>
      <c r="D105" s="1063" t="s">
        <v>1597</v>
      </c>
      <c r="E105" s="1134">
        <v>0.2</v>
      </c>
      <c r="F105" s="1149">
        <v>30</v>
      </c>
    </row>
    <row r="106" spans="1:6" s="1100" customFormat="1" ht="36">
      <c r="A106" s="1149">
        <v>46</v>
      </c>
      <c r="B106" s="3480"/>
      <c r="C106" s="1149" t="s">
        <v>1598</v>
      </c>
      <c r="D106" s="1063" t="s">
        <v>1599</v>
      </c>
      <c r="E106" s="1134">
        <v>0.2</v>
      </c>
      <c r="F106" s="1149">
        <v>30</v>
      </c>
    </row>
    <row r="107" spans="1:6" s="1100" customFormat="1" ht="36">
      <c r="A107" s="1149">
        <v>47</v>
      </c>
      <c r="B107" s="3480" t="s">
        <v>1600</v>
      </c>
      <c r="C107" s="1149" t="s">
        <v>1601</v>
      </c>
      <c r="D107" s="1063" t="s">
        <v>1602</v>
      </c>
      <c r="E107" s="1134">
        <v>0.3</v>
      </c>
      <c r="F107" s="1149">
        <v>50</v>
      </c>
    </row>
    <row r="108" spans="1:6" s="1100" customFormat="1" ht="36">
      <c r="A108" s="1149">
        <v>48</v>
      </c>
      <c r="B108" s="348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80" t="s">
        <v>1611</v>
      </c>
      <c r="C111" s="1149" t="s">
        <v>1612</v>
      </c>
      <c r="D111" s="1063" t="s">
        <v>1613</v>
      </c>
      <c r="E111" s="1134">
        <v>0.2</v>
      </c>
      <c r="F111" s="1149">
        <v>30</v>
      </c>
    </row>
    <row r="112" spans="1:6" s="1100" customFormat="1" ht="24">
      <c r="A112" s="1149">
        <v>52</v>
      </c>
      <c r="B112" s="3480"/>
      <c r="C112" s="1149" t="s">
        <v>1614</v>
      </c>
      <c r="D112" s="1063" t="s">
        <v>1615</v>
      </c>
      <c r="E112" s="1134">
        <v>0.2</v>
      </c>
      <c r="F112" s="1149">
        <v>30</v>
      </c>
    </row>
    <row r="113" spans="1:14" s="1100" customFormat="1" ht="24">
      <c r="A113" s="1149">
        <v>53</v>
      </c>
      <c r="B113" s="3480"/>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80" t="s">
        <v>1624</v>
      </c>
      <c r="C116" s="1149" t="s">
        <v>1625</v>
      </c>
      <c r="D116" s="1063" t="s">
        <v>1626</v>
      </c>
      <c r="E116" s="1134">
        <v>0.2</v>
      </c>
      <c r="F116" s="1149">
        <v>30</v>
      </c>
    </row>
    <row r="117" spans="1:14" ht="36">
      <c r="A117" s="1149">
        <v>57</v>
      </c>
      <c r="B117" s="348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79" t="s">
        <v>1633</v>
      </c>
      <c r="B121" s="3479"/>
      <c r="C121" s="3479"/>
      <c r="D121" s="3479"/>
      <c r="E121" s="3479"/>
      <c r="F121" s="3479"/>
      <c r="G121" s="3479"/>
      <c r="H121" s="3479"/>
      <c r="I121" s="3479"/>
      <c r="J121" s="347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94" t="s">
        <v>1039</v>
      </c>
      <c r="B1" s="3494"/>
      <c r="C1" s="3494"/>
      <c r="D1" s="3494"/>
      <c r="E1" s="3494"/>
      <c r="F1" s="349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95" t="s">
        <v>1052</v>
      </c>
      <c r="B2" s="3495"/>
      <c r="C2" s="3495"/>
      <c r="D2" s="3495"/>
      <c r="E2" s="3495"/>
      <c r="F2" s="349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9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9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370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2.0640000000000001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98" t="s">
        <v>2079</v>
      </c>
      <c r="B1" s="3498"/>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501" t="s">
        <v>2576</v>
      </c>
      <c r="C1" s="3501"/>
      <c r="D1" s="3501"/>
      <c r="E1" s="3501"/>
      <c r="F1" s="3501"/>
      <c r="G1" s="3500" t="s">
        <v>2577</v>
      </c>
      <c r="H1" s="3500"/>
      <c r="I1" s="3500"/>
      <c r="J1" s="3500"/>
      <c r="K1" s="3500"/>
      <c r="L1" s="3500"/>
      <c r="N1" s="3500" t="s">
        <v>2578</v>
      </c>
      <c r="O1" s="3500"/>
      <c r="P1" s="3500"/>
      <c r="Q1" s="3500"/>
      <c r="R1" s="2618"/>
      <c r="S1" s="3500" t="s">
        <v>2579</v>
      </c>
      <c r="T1" s="3500"/>
      <c r="U1" s="3500"/>
      <c r="V1" s="3500"/>
      <c r="X1" s="3499" t="s">
        <v>2639</v>
      </c>
      <c r="Y1" s="3500"/>
      <c r="Z1" s="3500"/>
      <c r="AA1" s="3500"/>
      <c r="AB1" s="3500"/>
      <c r="AD1" s="3499" t="s">
        <v>2643</v>
      </c>
      <c r="AE1" s="3500"/>
      <c r="AF1" s="3500"/>
      <c r="AG1" s="3500"/>
      <c r="AH1" s="3500"/>
    </row>
    <row r="2" spans="1:34" s="2719" customFormat="1" ht="14.25" thickBot="1">
      <c r="B2" s="2727" t="s">
        <v>2580</v>
      </c>
      <c r="C2" s="2727" t="s">
        <v>2641</v>
      </c>
      <c r="D2" s="2720" t="s">
        <v>1644</v>
      </c>
      <c r="E2" s="2720" t="s">
        <v>1949</v>
      </c>
      <c r="F2" s="2727" t="s">
        <v>2642</v>
      </c>
      <c r="G2" s="2723"/>
      <c r="H2" s="2722"/>
      <c r="I2" s="2727" t="s">
        <v>2957</v>
      </c>
      <c r="J2" s="2720" t="s">
        <v>2959</v>
      </c>
      <c r="K2" s="2720" t="s">
        <v>2960</v>
      </c>
      <c r="L2" s="2727" t="s">
        <v>2961</v>
      </c>
      <c r="N2" s="2727" t="s">
        <v>2580</v>
      </c>
      <c r="O2" s="2720" t="s">
        <v>2958</v>
      </c>
      <c r="P2" s="2720" t="s">
        <v>1949</v>
      </c>
      <c r="Q2" s="2727" t="s">
        <v>2642</v>
      </c>
      <c r="R2" s="2721"/>
      <c r="S2" s="2727" t="s">
        <v>2580</v>
      </c>
      <c r="T2" s="2720" t="s">
        <v>2958</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3" customFormat="1" ht="14.25">
      <c r="A3" s="3095" t="s">
        <v>2970</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2993</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2971</v>
      </c>
      <c r="X5" s="3070">
        <f>ROUND(IF(项目基本情况!B8="出让",SUMPRODUCT(PRODUCT(1+N5:N$26)),SUMPRODUCT(PRODUCT(1+N5:N$25))),4)</f>
        <v>1.5641</v>
      </c>
      <c r="Y5" s="3070">
        <f>ROUND(IF(项目基本情况!B8="出让",SUMPRODUCT(PRODUCT(1+O5:O$26)),SUMPRODUCT(PRODUCT(1+O5:O$25))),4)</f>
        <v>1.3736999999999999</v>
      </c>
      <c r="Z5" s="3070">
        <f t="shared" ref="Z5" si="11">Y5</f>
        <v>1.3736999999999999</v>
      </c>
      <c r="AA5" s="3070">
        <f>ROUND(IF(项目基本情况!B8="出让",SUMPRODUCT(PRODUCT(1+P5:P$26)),SUMPRODUCT(PRODUCT(1+P5:P$25))),4)</f>
        <v>1.6298999999999999</v>
      </c>
      <c r="AB5" s="3070">
        <f>ROUND(IF(项目基本情况!B8="出让",SUMPRODUCT(PRODUCT(1+Q5:Q$26)),SUMPRODUCT(PRODUCT(1+Q5:Q$25))),4)</f>
        <v>1.3588</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2994</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1.5641</v>
      </c>
      <c r="Y6" s="2717">
        <f>ROUND(IF(项目基本情况!B8="出让",SUMPRODUCT(PRODUCT(1+O6:O$26)),SUMPRODUCT(PRODUCT(1+O6:O$25))),4)</f>
        <v>1.3736999999999999</v>
      </c>
      <c r="Z6" s="2717">
        <f t="shared" ref="Z6" si="21">Y6</f>
        <v>1.3736999999999999</v>
      </c>
      <c r="AA6" s="2717">
        <f>ROUND(IF(项目基本情况!B8="出让",SUMPRODUCT(PRODUCT(1+P6:P$26)),SUMPRODUCT(PRODUCT(1+P6:P$25))),4)</f>
        <v>1.6298999999999999</v>
      </c>
      <c r="AB6" s="2717">
        <f>ROUND(IF(项目基本情况!B8="出让",SUMPRODUCT(PRODUCT(1+Q6:Q$26)),SUMPRODUCT(PRODUCT(1+Q6:Q$25))),4)</f>
        <v>1.3588</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2990</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503">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2980</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503"/>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2981</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503"/>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2977</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509"/>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2968</v>
      </c>
      <c r="B11" s="3097">
        <v>439</v>
      </c>
      <c r="C11" s="3097">
        <v>327</v>
      </c>
      <c r="D11" s="3097">
        <f t="shared" si="54"/>
        <v>327</v>
      </c>
      <c r="E11" s="3097">
        <v>627</v>
      </c>
      <c r="F11" s="3098">
        <v>283</v>
      </c>
      <c r="G11" s="3508">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2972</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503"/>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2581</v>
      </c>
      <c r="B13" s="2632">
        <f t="shared" si="66"/>
        <v>419.31181600000002</v>
      </c>
      <c r="C13" s="2632">
        <f t="shared" si="66"/>
        <v>313.95436800000004</v>
      </c>
      <c r="D13" s="2632">
        <f t="shared" si="54"/>
        <v>313.95436800000004</v>
      </c>
      <c r="E13" s="2632">
        <f t="shared" si="67"/>
        <v>596.63028431999999</v>
      </c>
      <c r="F13" s="2632">
        <f t="shared" si="67"/>
        <v>274.74220703999998</v>
      </c>
      <c r="G13" s="3503"/>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2582</v>
      </c>
      <c r="B14" s="2632">
        <f t="shared" si="66"/>
        <v>405.524</v>
      </c>
      <c r="C14" s="2632">
        <f t="shared" si="66"/>
        <v>307.79840000000002</v>
      </c>
      <c r="D14" s="2632">
        <f t="shared" si="54"/>
        <v>307.79840000000002</v>
      </c>
      <c r="E14" s="2632">
        <f t="shared" si="67"/>
        <v>574.67759999999998</v>
      </c>
      <c r="F14" s="2632">
        <f t="shared" si="67"/>
        <v>270.20280000000002</v>
      </c>
      <c r="G14" s="3509"/>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508">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503"/>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503"/>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504"/>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502">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503"/>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503"/>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504"/>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502">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503"/>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503"/>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504"/>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2640</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2583</v>
      </c>
      <c r="B27" s="2624">
        <v>299</v>
      </c>
      <c r="C27" s="2624">
        <v>252</v>
      </c>
      <c r="D27" s="2624">
        <f t="shared" si="76"/>
        <v>252</v>
      </c>
      <c r="E27" s="2624">
        <v>409</v>
      </c>
      <c r="F27" s="2625">
        <v>227</v>
      </c>
      <c r="G27" s="3505">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2584</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506"/>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2585</v>
      </c>
      <c r="B29" s="2632">
        <f t="shared" si="85"/>
        <v>288.2649053828776</v>
      </c>
      <c r="C29" s="2632">
        <f t="shared" si="85"/>
        <v>243.64564425013293</v>
      </c>
      <c r="D29" s="2632">
        <f t="shared" si="76"/>
        <v>243.64564425013293</v>
      </c>
      <c r="E29" s="2632">
        <f t="shared" si="86"/>
        <v>393.31080825986544</v>
      </c>
      <c r="F29" s="2632">
        <f t="shared" si="86"/>
        <v>223.07903790551154</v>
      </c>
      <c r="G29" s="3506"/>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2586</v>
      </c>
      <c r="B30" s="2632">
        <f t="shared" si="85"/>
        <v>282.50186729015837</v>
      </c>
      <c r="C30" s="2632">
        <f t="shared" si="85"/>
        <v>238.09796174155468</v>
      </c>
      <c r="D30" s="2632">
        <f t="shared" si="76"/>
        <v>238.09796174155468</v>
      </c>
      <c r="E30" s="2632">
        <f t="shared" si="86"/>
        <v>385.33438646014054</v>
      </c>
      <c r="F30" s="2632">
        <f t="shared" si="86"/>
        <v>221.55034055567739</v>
      </c>
      <c r="G30" s="3507"/>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2587</v>
      </c>
      <c r="B31" s="2662">
        <v>278</v>
      </c>
      <c r="C31" s="2662">
        <v>234</v>
      </c>
      <c r="D31" s="2662">
        <f t="shared" si="76"/>
        <v>234</v>
      </c>
      <c r="E31" s="2662">
        <v>379</v>
      </c>
      <c r="F31" s="2663">
        <v>220</v>
      </c>
      <c r="G31" s="3502">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2588</v>
      </c>
      <c r="B32" s="2632">
        <f>B31/(1+N31)</f>
        <v>275.49301357645425</v>
      </c>
      <c r="C32" s="2632">
        <f>C31/(1+O31)</f>
        <v>232.41954707985698</v>
      </c>
      <c r="D32" s="2632">
        <f t="shared" si="76"/>
        <v>232.41954707985698</v>
      </c>
      <c r="E32" s="2632">
        <f t="shared" ref="E32:F34" si="87">E31/(1+P31)</f>
        <v>375.32184591008121</v>
      </c>
      <c r="F32" s="2632">
        <f t="shared" si="87"/>
        <v>218.03766105054513</v>
      </c>
      <c r="G32" s="3503"/>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2589</v>
      </c>
      <c r="B33" s="2632">
        <f>B32/(1+N32)</f>
        <v>275.24529281292263</v>
      </c>
      <c r="C33" s="2632">
        <f>C32/(1+O32)</f>
        <v>231.74747938962707</v>
      </c>
      <c r="D33" s="2632">
        <f t="shared" si="76"/>
        <v>231.74747938962707</v>
      </c>
      <c r="E33" s="2632">
        <f t="shared" si="87"/>
        <v>375.35938184826603</v>
      </c>
      <c r="F33" s="2632">
        <f t="shared" si="87"/>
        <v>216.78033510692495</v>
      </c>
      <c r="G33" s="3503"/>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2590</v>
      </c>
      <c r="B34" s="2632">
        <f>B33/(1+N33)</f>
        <v>275.19025476197027</v>
      </c>
      <c r="C34" s="2664">
        <v>232</v>
      </c>
      <c r="D34" s="2664">
        <f t="shared" si="76"/>
        <v>232</v>
      </c>
      <c r="E34" s="2632">
        <f t="shared" si="87"/>
        <v>375.65990977608692</v>
      </c>
      <c r="F34" s="2632">
        <f t="shared" si="87"/>
        <v>214.12518283971252</v>
      </c>
      <c r="G34" s="3504"/>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2591</v>
      </c>
      <c r="B35" s="2624">
        <v>275</v>
      </c>
      <c r="C35" s="2624">
        <v>232</v>
      </c>
      <c r="D35" s="2624">
        <f t="shared" si="76"/>
        <v>232</v>
      </c>
      <c r="E35" s="2624">
        <v>376</v>
      </c>
      <c r="F35" s="2625">
        <v>213</v>
      </c>
      <c r="G35" s="3502">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2592</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503">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2593</v>
      </c>
      <c r="B37" s="2632">
        <f t="shared" si="88"/>
        <v>275.19335084830601</v>
      </c>
      <c r="C37" s="2632">
        <f t="shared" si="88"/>
        <v>230.18088050139744</v>
      </c>
      <c r="D37" s="2632">
        <f t="shared" si="76"/>
        <v>230.18088050139744</v>
      </c>
      <c r="E37" s="2632">
        <f t="shared" si="89"/>
        <v>377.58482925212331</v>
      </c>
      <c r="F37" s="2632">
        <f t="shared" si="89"/>
        <v>210.90687997847917</v>
      </c>
      <c r="G37" s="3503">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2594</v>
      </c>
      <c r="B38" s="2632">
        <f t="shared" si="88"/>
        <v>276.29854502841971</v>
      </c>
      <c r="C38" s="2632">
        <f t="shared" si="88"/>
        <v>229.79023709833027</v>
      </c>
      <c r="D38" s="2632">
        <f t="shared" si="76"/>
        <v>229.79023709833027</v>
      </c>
      <c r="E38" s="2632">
        <f t="shared" si="89"/>
        <v>379.78759731655936</v>
      </c>
      <c r="F38" s="2632">
        <f t="shared" si="89"/>
        <v>211.32953905659235</v>
      </c>
      <c r="G38" s="3504">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2595</v>
      </c>
      <c r="B39" s="2624">
        <v>269</v>
      </c>
      <c r="C39" s="2624">
        <v>221</v>
      </c>
      <c r="D39" s="2624">
        <f t="shared" si="76"/>
        <v>221</v>
      </c>
      <c r="E39" s="2624">
        <v>373</v>
      </c>
      <c r="F39" s="2625">
        <v>196</v>
      </c>
      <c r="G39" s="3502">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2596</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503">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2597</v>
      </c>
      <c r="B41" s="2632">
        <f t="shared" si="90"/>
        <v>242.95398227588385</v>
      </c>
      <c r="C41" s="2632">
        <f t="shared" si="90"/>
        <v>199.59137053614126</v>
      </c>
      <c r="D41" s="2632">
        <f t="shared" si="76"/>
        <v>199.59137053614126</v>
      </c>
      <c r="E41" s="2632">
        <f t="shared" si="91"/>
        <v>335.92189522342125</v>
      </c>
      <c r="F41" s="2632">
        <f t="shared" si="91"/>
        <v>183.10139991109489</v>
      </c>
      <c r="G41" s="3503">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2598</v>
      </c>
      <c r="B42" s="2632">
        <f t="shared" si="90"/>
        <v>232.06990378821649</v>
      </c>
      <c r="C42" s="2632">
        <f t="shared" si="90"/>
        <v>192.74878854286936</v>
      </c>
      <c r="D42" s="2632">
        <f t="shared" si="76"/>
        <v>192.74878854286936</v>
      </c>
      <c r="E42" s="2632">
        <f t="shared" si="91"/>
        <v>319.71247284992984</v>
      </c>
      <c r="F42" s="2632">
        <f t="shared" si="91"/>
        <v>175.67053622862409</v>
      </c>
      <c r="G42" s="3504">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2599</v>
      </c>
      <c r="B43" s="2624">
        <v>220</v>
      </c>
      <c r="C43" s="2624">
        <v>187</v>
      </c>
      <c r="D43" s="2624">
        <f t="shared" si="76"/>
        <v>187</v>
      </c>
      <c r="E43" s="2624">
        <v>301</v>
      </c>
      <c r="F43" s="2625">
        <v>168</v>
      </c>
      <c r="G43" s="3502">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2600</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503">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2601</v>
      </c>
      <c r="B45" s="2632">
        <f t="shared" si="92"/>
        <v>210.630522469011</v>
      </c>
      <c r="C45" s="2632">
        <f t="shared" si="92"/>
        <v>181.69567812247232</v>
      </c>
      <c r="D45" s="2632">
        <f t="shared" si="76"/>
        <v>181.69567812247232</v>
      </c>
      <c r="E45" s="2632">
        <f t="shared" si="93"/>
        <v>286.13517466736738</v>
      </c>
      <c r="F45" s="2632">
        <f t="shared" si="93"/>
        <v>165.47535084591149</v>
      </c>
      <c r="G45" s="3503">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2602</v>
      </c>
      <c r="B46" s="2632">
        <f t="shared" si="92"/>
        <v>208.83454537875372</v>
      </c>
      <c r="C46" s="2632">
        <f t="shared" si="92"/>
        <v>183.77230517090351</v>
      </c>
      <c r="D46" s="2632">
        <f t="shared" si="76"/>
        <v>183.77230517090351</v>
      </c>
      <c r="E46" s="2632">
        <f t="shared" si="93"/>
        <v>281.10342338870947</v>
      </c>
      <c r="F46" s="2632">
        <f t="shared" si="93"/>
        <v>168.97309388942256</v>
      </c>
      <c r="G46" s="3504">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2603</v>
      </c>
      <c r="B47" s="2662">
        <v>214</v>
      </c>
      <c r="C47" s="2662">
        <v>188</v>
      </c>
      <c r="D47" s="2662">
        <f t="shared" si="76"/>
        <v>188</v>
      </c>
      <c r="E47" s="2662">
        <v>289</v>
      </c>
      <c r="F47" s="2663">
        <v>166</v>
      </c>
      <c r="G47" s="3502">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2604</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503">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2605</v>
      </c>
      <c r="B49" s="2632">
        <f t="shared" si="94"/>
        <v>206.31694671589116</v>
      </c>
      <c r="C49" s="2632">
        <f t="shared" si="94"/>
        <v>183.61041121036101</v>
      </c>
      <c r="D49" s="2632">
        <f t="shared" si="76"/>
        <v>183.61041121036101</v>
      </c>
      <c r="E49" s="2632">
        <f t="shared" si="95"/>
        <v>276.66850301795557</v>
      </c>
      <c r="F49" s="2632">
        <f t="shared" si="95"/>
        <v>165.1360938278614</v>
      </c>
      <c r="G49" s="3503">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2606</v>
      </c>
      <c r="B50" s="2665">
        <f t="shared" si="94"/>
        <v>196.62341248059772</v>
      </c>
      <c r="C50" s="2665">
        <f t="shared" si="94"/>
        <v>170.99125648199012</v>
      </c>
      <c r="D50" s="2665">
        <f t="shared" si="76"/>
        <v>170.99125648199012</v>
      </c>
      <c r="E50" s="2665">
        <f t="shared" si="95"/>
        <v>266.07857570490052</v>
      </c>
      <c r="F50" s="2665">
        <f t="shared" si="95"/>
        <v>154.53499328828505</v>
      </c>
      <c r="G50" s="3504">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2607</v>
      </c>
      <c r="B51" s="2624">
        <v>188</v>
      </c>
      <c r="C51" s="2624">
        <v>165</v>
      </c>
      <c r="D51" s="2624">
        <f t="shared" si="76"/>
        <v>165</v>
      </c>
      <c r="E51" s="2624">
        <v>254</v>
      </c>
      <c r="F51" s="2625">
        <v>148</v>
      </c>
      <c r="G51" s="3502">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2608</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503">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2609</v>
      </c>
      <c r="B53" s="2632">
        <f t="shared" si="98"/>
        <v>168.82017748715555</v>
      </c>
      <c r="C53" s="2632">
        <f t="shared" si="98"/>
        <v>148.06267029972753</v>
      </c>
      <c r="D53" s="2632">
        <f t="shared" si="76"/>
        <v>148.06267029972753</v>
      </c>
      <c r="E53" s="2632">
        <f t="shared" si="99"/>
        <v>216.46288379323747</v>
      </c>
      <c r="F53" s="2632">
        <f t="shared" si="99"/>
        <v>134.23529411764704</v>
      </c>
      <c r="G53" s="3503">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2610</v>
      </c>
      <c r="B54" s="2632">
        <f t="shared" si="98"/>
        <v>163.84913591779542</v>
      </c>
      <c r="C54" s="2632">
        <f t="shared" si="98"/>
        <v>145.0283378746594</v>
      </c>
      <c r="D54" s="2632">
        <f t="shared" si="76"/>
        <v>145.0283378746594</v>
      </c>
      <c r="E54" s="2632">
        <f t="shared" si="99"/>
        <v>204.95180722891567</v>
      </c>
      <c r="F54" s="2632">
        <f t="shared" si="99"/>
        <v>125.95920303605313</v>
      </c>
      <c r="G54" s="3504">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2611</v>
      </c>
      <c r="B55" s="2646">
        <v>159</v>
      </c>
      <c r="C55" s="2646">
        <v>141</v>
      </c>
      <c r="D55" s="2646">
        <f t="shared" si="76"/>
        <v>141</v>
      </c>
      <c r="E55" s="2646">
        <v>195</v>
      </c>
      <c r="F55" s="2647">
        <v>122</v>
      </c>
      <c r="G55" s="3502">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2612</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503">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2613</v>
      </c>
      <c r="B57" s="2632">
        <f t="shared" si="102"/>
        <v>146.57412060301507</v>
      </c>
      <c r="C57" s="2632">
        <f t="shared" si="102"/>
        <v>136.46831955922866</v>
      </c>
      <c r="D57" s="2632">
        <f t="shared" si="76"/>
        <v>136.46831955922866</v>
      </c>
      <c r="E57" s="2632">
        <f t="shared" si="103"/>
        <v>166.73864894795128</v>
      </c>
      <c r="F57" s="2632">
        <f t="shared" si="103"/>
        <v>115.05882352941177</v>
      </c>
      <c r="G57" s="3503">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2614</v>
      </c>
      <c r="B58" s="2632">
        <f t="shared" si="102"/>
        <v>144.04145728643215</v>
      </c>
      <c r="C58" s="2632">
        <f t="shared" si="102"/>
        <v>136.12396694214877</v>
      </c>
      <c r="D58" s="2632">
        <f t="shared" si="76"/>
        <v>136.12396694214877</v>
      </c>
      <c r="E58" s="2632">
        <f t="shared" si="103"/>
        <v>158.32225913621264</v>
      </c>
      <c r="F58" s="2632">
        <f t="shared" si="103"/>
        <v>114.04278074866311</v>
      </c>
      <c r="G58" s="3504">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2615</v>
      </c>
      <c r="B59" s="2646">
        <v>138</v>
      </c>
      <c r="C59" s="2646">
        <v>131</v>
      </c>
      <c r="D59" s="2646">
        <f t="shared" si="76"/>
        <v>131</v>
      </c>
      <c r="E59" s="2646">
        <v>155</v>
      </c>
      <c r="F59" s="2647">
        <v>114</v>
      </c>
      <c r="G59" s="3502">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2616</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503">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2617</v>
      </c>
      <c r="B61" s="2632">
        <f t="shared" si="106"/>
        <v>124.29032258064517</v>
      </c>
      <c r="C61" s="2632">
        <f t="shared" si="106"/>
        <v>123.8968609865471</v>
      </c>
      <c r="D61" s="2632">
        <f t="shared" si="76"/>
        <v>123.8968609865471</v>
      </c>
      <c r="E61" s="2632">
        <f t="shared" si="107"/>
        <v>138.00507614213197</v>
      </c>
      <c r="F61" s="2632">
        <f t="shared" si="107"/>
        <v>107.96106557377048</v>
      </c>
      <c r="G61" s="3503">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2618</v>
      </c>
      <c r="B62" s="2632">
        <f t="shared" si="106"/>
        <v>122.57204301075269</v>
      </c>
      <c r="C62" s="2632">
        <f t="shared" si="106"/>
        <v>123.4932735426009</v>
      </c>
      <c r="D62" s="2632">
        <f t="shared" si="76"/>
        <v>123.4932735426009</v>
      </c>
      <c r="E62" s="2632">
        <f t="shared" si="107"/>
        <v>129.82233502538071</v>
      </c>
      <c r="F62" s="2632">
        <f t="shared" si="107"/>
        <v>107.39446721311475</v>
      </c>
      <c r="G62" s="3504">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2619</v>
      </c>
      <c r="B63" s="2662">
        <v>121</v>
      </c>
      <c r="C63" s="2662">
        <v>122</v>
      </c>
      <c r="D63" s="2662">
        <f t="shared" si="76"/>
        <v>122</v>
      </c>
      <c r="E63" s="2662">
        <v>124</v>
      </c>
      <c r="F63" s="2663">
        <v>107</v>
      </c>
      <c r="G63" s="3502">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2620</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503">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2621</v>
      </c>
      <c r="B65" s="2632">
        <f t="shared" si="110"/>
        <v>116.99099099099099</v>
      </c>
      <c r="C65" s="2632">
        <f t="shared" si="110"/>
        <v>118.84848484848486</v>
      </c>
      <c r="D65" s="2632">
        <f t="shared" si="76"/>
        <v>118.84848484848486</v>
      </c>
      <c r="E65" s="2632">
        <f t="shared" si="111"/>
        <v>117.60960960960961</v>
      </c>
      <c r="F65" s="2632">
        <f t="shared" si="111"/>
        <v>104</v>
      </c>
      <c r="G65" s="3503">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2622</v>
      </c>
      <c r="B66" s="2665">
        <f t="shared" si="110"/>
        <v>112.48648648648648</v>
      </c>
      <c r="C66" s="2665">
        <f t="shared" si="110"/>
        <v>115.21212121212122</v>
      </c>
      <c r="D66" s="2665">
        <f t="shared" si="76"/>
        <v>115.21212121212122</v>
      </c>
      <c r="E66" s="2665">
        <f t="shared" si="111"/>
        <v>110.4024024024024</v>
      </c>
      <c r="F66" s="2665">
        <f t="shared" si="111"/>
        <v>104</v>
      </c>
      <c r="G66" s="3504">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2623</v>
      </c>
      <c r="B67" s="2683">
        <v>111</v>
      </c>
      <c r="C67" s="2683">
        <v>114</v>
      </c>
      <c r="D67" s="2683">
        <f t="shared" si="76"/>
        <v>114</v>
      </c>
      <c r="E67" s="2683">
        <v>108</v>
      </c>
      <c r="F67" s="2684">
        <v>104</v>
      </c>
      <c r="G67" s="3502">
        <v>2003</v>
      </c>
      <c r="H67" s="2673">
        <v>4</v>
      </c>
      <c r="I67" s="2685"/>
      <c r="J67" s="2685"/>
      <c r="K67" s="2685"/>
      <c r="L67" s="2685"/>
      <c r="N67" s="2686"/>
      <c r="O67" s="2685"/>
      <c r="P67" s="2685"/>
      <c r="Q67" s="2685"/>
      <c r="S67" s="2686"/>
      <c r="T67" s="2685"/>
      <c r="U67" s="2685"/>
      <c r="V67" s="2685"/>
      <c r="X67" s="2677"/>
      <c r="Y67" s="2677"/>
      <c r="Z67" s="2677"/>
    </row>
    <row r="68" spans="1:26">
      <c r="A68" s="2619" t="s">
        <v>2624</v>
      </c>
      <c r="B68" s="2687">
        <f t="shared" ref="B68:C70" si="112">B69+(B$67-B$71)/4</f>
        <v>109.75</v>
      </c>
      <c r="C68" s="2687">
        <f t="shared" si="112"/>
        <v>112.25</v>
      </c>
      <c r="D68" s="2687">
        <f t="shared" si="76"/>
        <v>112.25</v>
      </c>
      <c r="E68" s="2687">
        <f t="shared" ref="E68:F70" si="113">E69+(E$67-E$71)/4</f>
        <v>107.25</v>
      </c>
      <c r="F68" s="2687">
        <f t="shared" si="113"/>
        <v>103.5</v>
      </c>
      <c r="G68" s="3503">
        <v>2003</v>
      </c>
      <c r="H68" s="2643">
        <v>3</v>
      </c>
      <c r="I68" s="2685"/>
      <c r="J68" s="2685"/>
      <c r="K68" s="2685"/>
      <c r="L68" s="2685"/>
      <c r="X68" s="2677"/>
      <c r="Y68" s="2677"/>
      <c r="Z68" s="2677"/>
    </row>
    <row r="69" spans="1:26">
      <c r="A69" s="2619" t="s">
        <v>2625</v>
      </c>
      <c r="B69" s="2687">
        <f t="shared" si="112"/>
        <v>108.5</v>
      </c>
      <c r="C69" s="2687">
        <f t="shared" si="112"/>
        <v>110.5</v>
      </c>
      <c r="D69" s="2687">
        <f t="shared" si="76"/>
        <v>110.5</v>
      </c>
      <c r="E69" s="2687">
        <f t="shared" si="113"/>
        <v>106.5</v>
      </c>
      <c r="F69" s="2687">
        <f t="shared" si="113"/>
        <v>103</v>
      </c>
      <c r="G69" s="3503">
        <v>2003</v>
      </c>
      <c r="H69" s="2623">
        <v>2</v>
      </c>
      <c r="I69" s="2685"/>
      <c r="J69" s="2685"/>
      <c r="K69" s="2685"/>
      <c r="L69" s="2685"/>
      <c r="X69" s="2677"/>
      <c r="Y69" s="2677"/>
      <c r="Z69" s="2677"/>
    </row>
    <row r="70" spans="1:26" ht="13.5" thickBot="1">
      <c r="A70" s="2619" t="s">
        <v>2626</v>
      </c>
      <c r="B70" s="2687">
        <f t="shared" si="112"/>
        <v>107.25</v>
      </c>
      <c r="C70" s="2687">
        <f t="shared" si="112"/>
        <v>108.75</v>
      </c>
      <c r="D70" s="2687">
        <f t="shared" si="76"/>
        <v>108.75</v>
      </c>
      <c r="E70" s="2687">
        <f t="shared" si="113"/>
        <v>105.75</v>
      </c>
      <c r="F70" s="2687">
        <f t="shared" si="113"/>
        <v>102.5</v>
      </c>
      <c r="G70" s="3504">
        <v>2003</v>
      </c>
      <c r="H70" s="2688">
        <v>1</v>
      </c>
      <c r="I70" s="2685"/>
      <c r="J70" s="2685"/>
      <c r="K70" s="2685"/>
      <c r="L70" s="2685"/>
      <c r="S70" s="2627"/>
      <c r="T70" s="2628"/>
      <c r="U70" s="2628"/>
      <c r="X70" s="2677"/>
      <c r="Y70" s="2677"/>
      <c r="Z70" s="2677"/>
    </row>
    <row r="71" spans="1:26" ht="13.5" thickBot="1">
      <c r="A71" s="2619" t="s">
        <v>2627</v>
      </c>
      <c r="B71" s="2689">
        <v>106</v>
      </c>
      <c r="C71" s="2689">
        <v>107</v>
      </c>
      <c r="D71" s="2689">
        <f t="shared" si="76"/>
        <v>107</v>
      </c>
      <c r="E71" s="2689">
        <v>105</v>
      </c>
      <c r="F71" s="2690">
        <v>102</v>
      </c>
      <c r="G71" s="3502">
        <v>2002</v>
      </c>
      <c r="H71" s="2638">
        <v>4</v>
      </c>
      <c r="I71" s="2685"/>
      <c r="J71" s="2685"/>
      <c r="K71" s="2685"/>
      <c r="L71" s="2685"/>
      <c r="N71" s="2686"/>
      <c r="O71" s="2685"/>
      <c r="P71" s="2685"/>
      <c r="Q71" s="2685"/>
      <c r="S71" s="2686"/>
      <c r="T71" s="2685"/>
      <c r="U71" s="2685"/>
      <c r="V71" s="2685"/>
      <c r="X71" s="2677"/>
      <c r="Y71" s="2677"/>
      <c r="Z71" s="2677"/>
    </row>
    <row r="72" spans="1:26">
      <c r="A72" s="2619" t="s">
        <v>2628</v>
      </c>
      <c r="B72" s="2687">
        <f t="shared" ref="B72:C74" si="114">B73+(B$71-B$75)/4</f>
        <v>105</v>
      </c>
      <c r="C72" s="2687">
        <f t="shared" si="114"/>
        <v>106</v>
      </c>
      <c r="D72" s="2687">
        <f t="shared" si="76"/>
        <v>106</v>
      </c>
      <c r="E72" s="2687">
        <f t="shared" ref="E72:F74" si="115">E73+(E$71-E$75)/4</f>
        <v>104.5</v>
      </c>
      <c r="F72" s="2687">
        <f t="shared" si="115"/>
        <v>101.5</v>
      </c>
      <c r="G72" s="3503">
        <v>2002</v>
      </c>
      <c r="H72" s="2643">
        <v>3</v>
      </c>
      <c r="I72" s="2685"/>
      <c r="J72" s="2685"/>
      <c r="K72" s="2685"/>
      <c r="L72" s="2685"/>
      <c r="X72" s="2677"/>
      <c r="Y72" s="2677"/>
      <c r="Z72" s="2677"/>
    </row>
    <row r="73" spans="1:26">
      <c r="A73" s="2619" t="s">
        <v>2629</v>
      </c>
      <c r="B73" s="2687">
        <f t="shared" si="114"/>
        <v>104</v>
      </c>
      <c r="C73" s="2687">
        <f t="shared" si="114"/>
        <v>105</v>
      </c>
      <c r="D73" s="2687">
        <f t="shared" si="76"/>
        <v>105</v>
      </c>
      <c r="E73" s="2687">
        <f t="shared" si="115"/>
        <v>104</v>
      </c>
      <c r="F73" s="2687">
        <f t="shared" si="115"/>
        <v>101</v>
      </c>
      <c r="G73" s="3503">
        <v>2002</v>
      </c>
      <c r="H73" s="2623">
        <v>2</v>
      </c>
      <c r="I73" s="2685"/>
      <c r="J73" s="2685"/>
      <c r="K73" s="2685"/>
      <c r="L73" s="2685"/>
      <c r="X73" s="2677"/>
      <c r="Y73" s="2677"/>
      <c r="Z73" s="2677"/>
    </row>
    <row r="74" spans="1:26" s="2654" customFormat="1" ht="13.5" thickBot="1">
      <c r="A74" s="2650" t="s">
        <v>2630</v>
      </c>
      <c r="B74" s="2691">
        <f t="shared" si="114"/>
        <v>103</v>
      </c>
      <c r="C74" s="2691">
        <f t="shared" si="114"/>
        <v>104</v>
      </c>
      <c r="D74" s="2691">
        <f t="shared" si="76"/>
        <v>104</v>
      </c>
      <c r="E74" s="2691">
        <f t="shared" si="115"/>
        <v>103.5</v>
      </c>
      <c r="F74" s="2691">
        <f t="shared" si="115"/>
        <v>100.5</v>
      </c>
      <c r="G74" s="3504">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2631</v>
      </c>
      <c r="G77" s="2701"/>
      <c r="N77" s="2701"/>
      <c r="S77" s="2701"/>
    </row>
    <row r="78" spans="1:26" s="2700" customFormat="1">
      <c r="A78" s="2700" t="s">
        <v>2632</v>
      </c>
      <c r="G78" s="2701"/>
      <c r="N78" s="2701"/>
      <c r="S78" s="2701"/>
    </row>
    <row r="79" spans="1:26" s="2700" customFormat="1">
      <c r="A79" s="2700" t="s">
        <v>2633</v>
      </c>
      <c r="G79" s="2701"/>
      <c r="I79" s="2702"/>
      <c r="J79" s="2702"/>
      <c r="K79" s="2702"/>
      <c r="L79" s="2702"/>
      <c r="N79" s="2703"/>
      <c r="O79" s="2702"/>
      <c r="P79" s="2702"/>
      <c r="Q79" s="2702"/>
      <c r="S79" s="2703"/>
      <c r="T79" s="2702"/>
      <c r="U79" s="2702"/>
      <c r="V79" s="2702"/>
    </row>
    <row r="80" spans="1:26" s="2700" customFormat="1">
      <c r="A80" s="2700" t="s">
        <v>2634</v>
      </c>
      <c r="G80" s="2701"/>
      <c r="N80" s="2701"/>
      <c r="S80" s="2701"/>
    </row>
    <row r="87" spans="7:22" ht="13.5" thickBot="1"/>
    <row r="88" spans="7:22">
      <c r="G88" s="2626"/>
      <c r="S88" s="2704" t="s">
        <v>2635</v>
      </c>
      <c r="T88" s="2705" t="s">
        <v>2636</v>
      </c>
      <c r="U88" s="2705" t="s">
        <v>2637</v>
      </c>
      <c r="V88" s="2705" t="s">
        <v>2638</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B6" sqref="AB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f ca="1">SUMIF(B7:B14,"&lt;&gt;#ref!",B7:B14)</f>
        <v>14303</v>
      </c>
      <c r="C2" s="3058" t="s">
        <v>2946</v>
      </c>
      <c r="D2" s="3057"/>
      <c r="E2" s="3057"/>
      <c r="F2" s="3057"/>
    </row>
    <row r="3" spans="1:6" ht="14.25">
      <c r="A3" s="3058" t="s">
        <v>2978</v>
      </c>
      <c r="B3" s="3059">
        <f ca="1">ROUND(B2*10000/E3,0)</f>
        <v>785</v>
      </c>
      <c r="C3" s="3058" t="s">
        <v>2078</v>
      </c>
      <c r="D3" s="3058" t="s">
        <v>2947</v>
      </c>
      <c r="E3" s="3059">
        <f ca="1">SUMIF(E7:E14,"&lt;&gt;#ref!",E7:E14)</f>
        <v>182200</v>
      </c>
      <c r="F3" s="3057"/>
    </row>
    <row r="4" spans="1:6" ht="14.25">
      <c r="A4" s="3058" t="s">
        <v>2954</v>
      </c>
      <c r="B4" s="3059">
        <f ca="1">ROUND(B2*10000/E4,0)</f>
        <v>471</v>
      </c>
      <c r="C4" s="3058" t="s">
        <v>2078</v>
      </c>
      <c r="D4" s="3058" t="s">
        <v>2955</v>
      </c>
      <c r="E4" s="3059">
        <f ca="1">SUMIF(F7:F14,"&lt;&gt;#ref!",F7:F14)</f>
        <v>303666</v>
      </c>
      <c r="F4" s="3057"/>
    </row>
    <row r="5" spans="1:6" ht="14.25">
      <c r="A5" s="3060"/>
      <c r="B5" s="1866"/>
      <c r="C5" s="1866"/>
      <c r="D5" s="1866"/>
      <c r="E5" s="1866"/>
      <c r="F5" s="3057"/>
    </row>
    <row r="6" spans="1:6" ht="28.5">
      <c r="A6" s="3061" t="s">
        <v>2951</v>
      </c>
      <c r="B6" s="3058" t="s">
        <v>2948</v>
      </c>
      <c r="C6" s="3059"/>
      <c r="D6" s="1866"/>
      <c r="E6" s="3058" t="s">
        <v>2949</v>
      </c>
      <c r="F6" s="3058" t="s">
        <v>2953</v>
      </c>
    </row>
    <row r="7" spans="1:6" ht="14.25">
      <c r="A7" s="260" t="s">
        <v>2952</v>
      </c>
      <c r="B7" s="3062">
        <f ca="1">SUMIF(INDIRECT("'"&amp;A7&amp;"'"&amp;"!A:A"),"总价",INDIRECT("'"&amp;A7&amp;"'"&amp;"!B:B"))</f>
        <v>14303</v>
      </c>
      <c r="C7" s="3058" t="s">
        <v>2946</v>
      </c>
      <c r="D7" s="1866"/>
      <c r="E7" s="3063">
        <f ca="1">SUMIF(INDIRECT("'"&amp;A7&amp;"'"&amp;"!C:C"),"建筑面积",INDIRECT("'"&amp;A7&amp;"'"&amp;"!D:D"))</f>
        <v>182200</v>
      </c>
      <c r="F7" s="3063">
        <f ca="1">SUMIF(INDIRECT("'"&amp;A7&amp;"'"&amp;"!E:E"),"土地面积",INDIRECT("'"&amp;A7&amp;"'"&amp;"!F:F"))</f>
        <v>303666</v>
      </c>
    </row>
    <row r="8" spans="1:6" ht="14.25">
      <c r="A8" s="260"/>
      <c r="B8" s="3062" t="e">
        <f t="shared" ref="B8:B14" ca="1" si="0">SUMIF(INDIRECT("'"&amp;A8&amp;"'"&amp;"!A:A"),"总价",INDIRECT("'"&amp;A8&amp;"'"&amp;"!B:B"))</f>
        <v>#REF!</v>
      </c>
      <c r="C8" s="3058" t="s">
        <v>2946</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6"/>
      <c r="E9" s="3063" t="e">
        <f t="shared" ca="1" si="1"/>
        <v>#REF!</v>
      </c>
      <c r="F9" s="3063" t="e">
        <f t="shared" ca="1" si="2"/>
        <v>#REF!</v>
      </c>
    </row>
    <row r="10" spans="1:6" ht="14.25">
      <c r="A10" s="260"/>
      <c r="B10" s="3062" t="e">
        <f t="shared" ca="1" si="0"/>
        <v>#REF!</v>
      </c>
      <c r="C10" s="3058" t="s">
        <v>2946</v>
      </c>
      <c r="D10" s="1866"/>
      <c r="E10" s="3063" t="e">
        <f t="shared" ca="1" si="1"/>
        <v>#REF!</v>
      </c>
      <c r="F10" s="3063" t="e">
        <f t="shared" ca="1" si="2"/>
        <v>#REF!</v>
      </c>
    </row>
    <row r="11" spans="1:6" ht="14.25">
      <c r="A11" s="260"/>
      <c r="B11" s="3062" t="e">
        <f t="shared" ca="1" si="0"/>
        <v>#REF!</v>
      </c>
      <c r="C11" s="3058" t="s">
        <v>2946</v>
      </c>
      <c r="D11" s="1866"/>
      <c r="E11" s="3063" t="e">
        <f t="shared" ca="1" si="1"/>
        <v>#REF!</v>
      </c>
      <c r="F11" s="3063" t="e">
        <f t="shared" ca="1" si="2"/>
        <v>#REF!</v>
      </c>
    </row>
    <row r="12" spans="1:6" ht="14.25">
      <c r="A12" s="260"/>
      <c r="B12" s="3062" t="e">
        <f t="shared" ca="1" si="0"/>
        <v>#REF!</v>
      </c>
      <c r="C12" s="3058" t="s">
        <v>2946</v>
      </c>
      <c r="D12" s="1866"/>
      <c r="E12" s="3063" t="e">
        <f t="shared" ca="1" si="1"/>
        <v>#REF!</v>
      </c>
      <c r="F12" s="3063" t="e">
        <f t="shared" ca="1" si="2"/>
        <v>#REF!</v>
      </c>
    </row>
    <row r="13" spans="1:6" ht="14.25">
      <c r="A13" s="260"/>
      <c r="B13" s="3062" t="e">
        <f t="shared" ca="1" si="0"/>
        <v>#REF!</v>
      </c>
      <c r="C13" s="3058" t="s">
        <v>2946</v>
      </c>
      <c r="D13" s="1866"/>
      <c r="E13" s="3063" t="e">
        <f t="shared" ca="1" si="1"/>
        <v>#REF!</v>
      </c>
      <c r="F13" s="3063" t="e">
        <f t="shared" ca="1" si="2"/>
        <v>#REF!</v>
      </c>
    </row>
    <row r="14" spans="1:6" ht="14.25">
      <c r="A14" s="3056"/>
      <c r="B14" s="3062" t="e">
        <f t="shared" ca="1" si="0"/>
        <v>#REF!</v>
      </c>
      <c r="C14" s="3058" t="s">
        <v>2946</v>
      </c>
      <c r="D14" s="1866"/>
      <c r="E14" s="3063" t="e">
        <f t="shared" ca="1" si="1"/>
        <v>#REF!</v>
      </c>
      <c r="F14" s="3063"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B6" sqref="AB6"/>
    </sheetView>
  </sheetViews>
  <sheetFormatPr defaultRowHeight="13.5"/>
  <cols>
    <col min="1" max="1" width="10.5" customWidth="1"/>
    <col min="2" max="2" width="12.875" customWidth="1"/>
    <col min="3" max="3" width="8.75" customWidth="1"/>
  </cols>
  <sheetData>
    <row r="1" spans="1:9" ht="14.25">
      <c r="A1" s="3526" t="s">
        <v>2471</v>
      </c>
      <c r="B1" s="3527"/>
      <c r="C1" s="3528"/>
      <c r="D1" s="3529">
        <f>SUM(I10,I15,I20,I21,I23)</f>
        <v>0</v>
      </c>
      <c r="E1" s="3529"/>
      <c r="F1" s="3529"/>
      <c r="G1" s="3529"/>
      <c r="H1" s="3529"/>
      <c r="I1" s="3530"/>
    </row>
    <row r="2" spans="1:9">
      <c r="A2" s="3516" t="s">
        <v>2472</v>
      </c>
      <c r="B2" s="3517" t="s">
        <v>2473</v>
      </c>
      <c r="C2" s="3517"/>
      <c r="D2" s="2471" t="s">
        <v>2474</v>
      </c>
      <c r="E2" s="2471" t="s">
        <v>2475</v>
      </c>
      <c r="F2" s="2471" t="s">
        <v>2476</v>
      </c>
      <c r="G2" s="2471" t="s">
        <v>2477</v>
      </c>
      <c r="H2" s="2471" t="s">
        <v>2478</v>
      </c>
      <c r="I2" s="2472" t="s">
        <v>2479</v>
      </c>
    </row>
    <row r="3" spans="1:9">
      <c r="A3" s="3516"/>
      <c r="B3" s="3517" t="s">
        <v>2480</v>
      </c>
      <c r="C3" s="3517"/>
      <c r="D3" s="2473"/>
      <c r="E3" s="2471"/>
      <c r="F3" s="2474"/>
      <c r="G3" s="2474"/>
      <c r="H3" s="2475"/>
      <c r="I3" s="2476">
        <f>ROUND(D3*E3*F3*G3*H3/10000,0)</f>
        <v>0</v>
      </c>
    </row>
    <row r="4" spans="1:9">
      <c r="A4" s="3516"/>
      <c r="B4" s="3517" t="s">
        <v>2481</v>
      </c>
      <c r="C4" s="3517"/>
      <c r="D4" s="2473"/>
      <c r="E4" s="2471"/>
      <c r="F4" s="2474"/>
      <c r="G4" s="2474"/>
      <c r="H4" s="2475"/>
      <c r="I4" s="2476">
        <f t="shared" ref="I4:I9" si="0">ROUND(D4*E4*F4*G4*H4/10000,0)</f>
        <v>0</v>
      </c>
    </row>
    <row r="5" spans="1:9">
      <c r="A5" s="3516"/>
      <c r="B5" s="3517" t="s">
        <v>2482</v>
      </c>
      <c r="C5" s="3517"/>
      <c r="D5" s="2473"/>
      <c r="E5" s="2471"/>
      <c r="F5" s="2474"/>
      <c r="G5" s="2474"/>
      <c r="H5" s="2475"/>
      <c r="I5" s="2476">
        <f t="shared" si="0"/>
        <v>0</v>
      </c>
    </row>
    <row r="6" spans="1:9">
      <c r="A6" s="3516"/>
      <c r="B6" s="3517" t="s">
        <v>2483</v>
      </c>
      <c r="C6" s="3517"/>
      <c r="D6" s="2473"/>
      <c r="E6" s="2471"/>
      <c r="F6" s="2474"/>
      <c r="G6" s="2474"/>
      <c r="H6" s="2475"/>
      <c r="I6" s="2476">
        <f t="shared" si="0"/>
        <v>0</v>
      </c>
    </row>
    <row r="7" spans="1:9">
      <c r="A7" s="3516"/>
      <c r="B7" s="3517" t="s">
        <v>2484</v>
      </c>
      <c r="C7" s="3517"/>
      <c r="D7" s="2473"/>
      <c r="E7" s="2471"/>
      <c r="F7" s="2474"/>
      <c r="G7" s="2474"/>
      <c r="H7" s="2475"/>
      <c r="I7" s="2476">
        <f t="shared" si="0"/>
        <v>0</v>
      </c>
    </row>
    <row r="8" spans="1:9">
      <c r="A8" s="3516"/>
      <c r="B8" s="3517" t="s">
        <v>2485</v>
      </c>
      <c r="C8" s="3517"/>
      <c r="D8" s="2473"/>
      <c r="E8" s="2471"/>
      <c r="F8" s="2474"/>
      <c r="G8" s="2474"/>
      <c r="H8" s="2475"/>
      <c r="I8" s="2476">
        <f t="shared" si="0"/>
        <v>0</v>
      </c>
    </row>
    <row r="9" spans="1:9">
      <c r="A9" s="3516"/>
      <c r="B9" s="3517" t="s">
        <v>2486</v>
      </c>
      <c r="C9" s="3517"/>
      <c r="D9" s="2473"/>
      <c r="E9" s="2471"/>
      <c r="F9" s="2474"/>
      <c r="G9" s="2474"/>
      <c r="H9" s="2475"/>
      <c r="I9" s="2476">
        <f t="shared" si="0"/>
        <v>0</v>
      </c>
    </row>
    <row r="10" spans="1:9">
      <c r="A10" s="3516"/>
      <c r="B10" s="3518" t="s">
        <v>2487</v>
      </c>
      <c r="C10" s="3518"/>
      <c r="D10" s="2477">
        <v>527</v>
      </c>
      <c r="E10" s="2477" t="e">
        <f>ROUND(D1*10000/D10/H9,0)</f>
        <v>#DIV/0!</v>
      </c>
      <c r="F10" s="2478"/>
      <c r="G10" s="2478"/>
      <c r="H10" s="2479"/>
      <c r="I10" s="2480">
        <f>SUM(I3:I9)</f>
        <v>0</v>
      </c>
    </row>
    <row r="11" spans="1:9" ht="14.25">
      <c r="A11" s="3516" t="s">
        <v>2488</v>
      </c>
      <c r="B11" s="3517" t="s">
        <v>2489</v>
      </c>
      <c r="C11" s="3517"/>
      <c r="D11" s="2473" t="s">
        <v>2490</v>
      </c>
      <c r="E11" s="2473" t="s">
        <v>2491</v>
      </c>
      <c r="F11" s="2474" t="s">
        <v>2492</v>
      </c>
      <c r="G11" s="2474" t="s">
        <v>2493</v>
      </c>
      <c r="H11" s="2481" t="s">
        <v>2494</v>
      </c>
      <c r="I11" s="2472" t="s">
        <v>2495</v>
      </c>
    </row>
    <row r="12" spans="1:9">
      <c r="A12" s="3516"/>
      <c r="B12" s="3517" t="s">
        <v>2496</v>
      </c>
      <c r="C12" s="3517"/>
      <c r="D12" s="2473"/>
      <c r="E12" s="2473"/>
      <c r="F12" s="2474"/>
      <c r="G12" s="2475"/>
      <c r="H12" s="2482"/>
      <c r="I12" s="2472">
        <f>ROUND(D12*E12*F12*G12/10000,0)</f>
        <v>0</v>
      </c>
    </row>
    <row r="13" spans="1:9">
      <c r="A13" s="3516"/>
      <c r="B13" s="3517" t="s">
        <v>2497</v>
      </c>
      <c r="C13" s="3517"/>
      <c r="D13" s="2473"/>
      <c r="E13" s="2473"/>
      <c r="F13" s="2474"/>
      <c r="G13" s="2475"/>
      <c r="H13" s="2482"/>
      <c r="I13" s="2472">
        <f>ROUND(D13*E13*F13*G13/10000,0)</f>
        <v>0</v>
      </c>
    </row>
    <row r="14" spans="1:9">
      <c r="A14" s="3516"/>
      <c r="B14" s="3517" t="s">
        <v>2498</v>
      </c>
      <c r="C14" s="3517"/>
      <c r="D14" s="2473"/>
      <c r="E14" s="2473"/>
      <c r="F14" s="2474"/>
      <c r="G14" s="2475"/>
      <c r="H14" s="2482"/>
      <c r="I14" s="2472">
        <f>ROUND(D14*E14*F14*G14/10000,0)</f>
        <v>0</v>
      </c>
    </row>
    <row r="15" spans="1:9">
      <c r="A15" s="3516"/>
      <c r="B15" s="3518" t="s">
        <v>2487</v>
      </c>
      <c r="C15" s="3518"/>
      <c r="D15" s="2477"/>
      <c r="E15" s="2477">
        <f>SUM(E12:E14)</f>
        <v>0</v>
      </c>
      <c r="F15" s="2478"/>
      <c r="G15" s="2475"/>
      <c r="H15" s="2482"/>
      <c r="I15" s="2483">
        <f>SUM(I12:I14)</f>
        <v>0</v>
      </c>
    </row>
    <row r="16" spans="1:9" ht="24">
      <c r="A16" s="3516" t="s">
        <v>2499</v>
      </c>
      <c r="B16" s="3517" t="s">
        <v>2500</v>
      </c>
      <c r="C16" s="3517"/>
      <c r="D16" s="2473" t="s">
        <v>2501</v>
      </c>
      <c r="E16" s="2484" t="s">
        <v>2502</v>
      </c>
      <c r="F16" s="2474" t="s">
        <v>2503</v>
      </c>
      <c r="G16" s="2475" t="s">
        <v>2493</v>
      </c>
      <c r="H16" s="2481" t="s">
        <v>2494</v>
      </c>
      <c r="I16" s="2472" t="s">
        <v>2495</v>
      </c>
    </row>
    <row r="17" spans="1:9" ht="14.25">
      <c r="A17" s="3516"/>
      <c r="B17" s="3517" t="s">
        <v>2504</v>
      </c>
      <c r="C17" s="3517"/>
      <c r="D17" s="2473"/>
      <c r="E17" s="2473"/>
      <c r="F17" s="2474"/>
      <c r="G17" s="2475"/>
      <c r="H17" s="2485"/>
      <c r="I17" s="2486">
        <f>ROUND(D17*E17*F17*G17/10000,0)</f>
        <v>0</v>
      </c>
    </row>
    <row r="18" spans="1:9" ht="14.25">
      <c r="A18" s="3516"/>
      <c r="B18" s="3517" t="s">
        <v>2505</v>
      </c>
      <c r="C18" s="3517"/>
      <c r="D18" s="2473"/>
      <c r="E18" s="2473"/>
      <c r="F18" s="2474"/>
      <c r="G18" s="2475"/>
      <c r="H18" s="2485"/>
      <c r="I18" s="2486">
        <f>ROUND(D18*E18*F18*G18/10000,0)</f>
        <v>0</v>
      </c>
    </row>
    <row r="19" spans="1:9" ht="14.25">
      <c r="A19" s="3516"/>
      <c r="B19" s="3517" t="s">
        <v>2506</v>
      </c>
      <c r="C19" s="3517"/>
      <c r="D19" s="2473"/>
      <c r="E19" s="2473"/>
      <c r="F19" s="2474"/>
      <c r="G19" s="2475"/>
      <c r="H19" s="2485"/>
      <c r="I19" s="2486">
        <f>ROUND(D19*E19*F19*G19/10000,0)</f>
        <v>0</v>
      </c>
    </row>
    <row r="20" spans="1:9">
      <c r="A20" s="3516"/>
      <c r="B20" s="3518" t="s">
        <v>2487</v>
      </c>
      <c r="C20" s="3518"/>
      <c r="D20" s="2477">
        <f>SUM(D17:D19)</f>
        <v>0</v>
      </c>
      <c r="E20" s="2477"/>
      <c r="F20" s="2478"/>
      <c r="G20" s="2475"/>
      <c r="H20" s="2482"/>
      <c r="I20" s="2483">
        <f>SUM(I17:I19)</f>
        <v>0</v>
      </c>
    </row>
    <row r="21" spans="1:9">
      <c r="A21" s="3516" t="s">
        <v>2507</v>
      </c>
      <c r="B21" s="3519"/>
      <c r="C21" s="3519"/>
      <c r="D21" s="3519"/>
      <c r="E21" s="3519"/>
      <c r="F21" s="3519"/>
      <c r="G21" s="3519"/>
      <c r="H21" s="2487">
        <v>0.1</v>
      </c>
      <c r="I21" s="2480">
        <f>ROUND(I10*H21,0)</f>
        <v>0</v>
      </c>
    </row>
    <row r="22" spans="1:9" ht="14.25">
      <c r="A22" s="3520" t="s">
        <v>2508</v>
      </c>
      <c r="B22" s="3521"/>
      <c r="C22" s="3522"/>
      <c r="D22" s="2488" t="s">
        <v>2509</v>
      </c>
      <c r="E22" s="2488" t="s">
        <v>2510</v>
      </c>
      <c r="F22" s="2489" t="s">
        <v>2511</v>
      </c>
      <c r="G22" s="2489" t="s">
        <v>2512</v>
      </c>
      <c r="H22" s="2481" t="s">
        <v>2513</v>
      </c>
      <c r="I22" s="2472" t="s">
        <v>2514</v>
      </c>
    </row>
    <row r="23" spans="1:9" ht="14.25" thickBot="1">
      <c r="A23" s="3523"/>
      <c r="B23" s="3524"/>
      <c r="C23" s="3525"/>
      <c r="D23" s="2490"/>
      <c r="E23" s="2490"/>
      <c r="F23" s="2490"/>
      <c r="G23" s="2491"/>
      <c r="H23" s="2492"/>
      <c r="I23" s="2493">
        <f>ROUND(E23*D23*F23*(1-G23)/10000,0)</f>
        <v>0</v>
      </c>
    </row>
    <row r="26" spans="1:9">
      <c r="A26" s="2494" t="s">
        <v>2515</v>
      </c>
      <c r="B26" s="2494"/>
      <c r="C26" s="2494"/>
      <c r="D26" s="2494"/>
      <c r="E26" s="3513">
        <f>C27-C30-C31-C32</f>
        <v>0</v>
      </c>
      <c r="F26" s="3513"/>
      <c r="G26" s="3513"/>
      <c r="H26" s="2995" t="s">
        <v>2842</v>
      </c>
    </row>
    <row r="27" spans="1:9">
      <c r="A27" s="2495">
        <v>1</v>
      </c>
      <c r="B27" s="2496" t="s">
        <v>2516</v>
      </c>
      <c r="C27" s="2496"/>
      <c r="D27" s="2496"/>
      <c r="E27" s="3514"/>
      <c r="F27" s="3514"/>
      <c r="G27" s="3514"/>
    </row>
    <row r="28" spans="1:9">
      <c r="A28" s="2497" t="s">
        <v>2517</v>
      </c>
      <c r="B28" s="2496" t="s">
        <v>2518</v>
      </c>
      <c r="C28" s="2496"/>
      <c r="D28" s="2496"/>
      <c r="E28" s="3514"/>
      <c r="F28" s="3514"/>
      <c r="G28" s="3514"/>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515"/>
      <c r="F32" s="3515"/>
      <c r="G32" s="3515"/>
    </row>
    <row r="33" spans="1:7" hidden="1">
      <c r="A33" s="3510" t="s">
        <v>2526</v>
      </c>
      <c r="B33" s="3511"/>
      <c r="C33" s="3511"/>
      <c r="D33" s="3512"/>
      <c r="E33" s="3513"/>
      <c r="F33" s="3513"/>
      <c r="G33" s="3513"/>
    </row>
    <row r="34" spans="1:7" hidden="1">
      <c r="A34" s="2499">
        <v>1</v>
      </c>
      <c r="B34" s="2496" t="s">
        <v>2527</v>
      </c>
      <c r="C34" s="2496"/>
      <c r="D34" s="2496"/>
      <c r="E34" s="3514"/>
      <c r="F34" s="3514"/>
      <c r="G34" s="3514"/>
    </row>
    <row r="35" spans="1:7" hidden="1">
      <c r="A35" s="2499">
        <v>2</v>
      </c>
      <c r="B35" s="2496" t="s">
        <v>2528</v>
      </c>
      <c r="C35" s="2496"/>
      <c r="D35" s="2496"/>
      <c r="E35" s="3514"/>
      <c r="F35" s="3514"/>
      <c r="G35" s="3514"/>
    </row>
    <row r="36" spans="1:7" hidden="1">
      <c r="A36" s="2499">
        <v>3</v>
      </c>
      <c r="B36" s="2496" t="s">
        <v>2529</v>
      </c>
      <c r="C36" s="2496"/>
      <c r="D36" s="2496"/>
      <c r="E36" s="3514"/>
      <c r="F36" s="3514"/>
      <c r="G36" s="3514"/>
    </row>
    <row r="37" spans="1:7" hidden="1">
      <c r="A37" s="2499">
        <v>4</v>
      </c>
      <c r="B37" s="2496" t="s">
        <v>2530</v>
      </c>
      <c r="C37" s="2496"/>
      <c r="D37" s="2496"/>
      <c r="E37" s="3514"/>
      <c r="F37" s="3514"/>
      <c r="G37" s="3514"/>
    </row>
    <row r="38" spans="1:7" hidden="1">
      <c r="A38" s="3510" t="s">
        <v>2531</v>
      </c>
      <c r="B38" s="3511"/>
      <c r="C38" s="3511"/>
      <c r="D38" s="3512"/>
      <c r="E38" s="3513"/>
      <c r="F38" s="3513"/>
      <c r="G38" s="35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99590</v>
      </c>
      <c r="C2" s="2093"/>
      <c r="D2" s="2093"/>
      <c r="E2" s="2093"/>
      <c r="F2" s="2093"/>
      <c r="G2" s="2093"/>
    </row>
    <row r="3" spans="1:25" s="2044" customFormat="1" ht="18" customHeight="1">
      <c r="A3" s="1375" t="s">
        <v>1685</v>
      </c>
      <c r="B3" s="425">
        <f ca="1">ROUND(B2*10000/'数据-汇总表'!E3,0)</f>
        <v>5466</v>
      </c>
      <c r="C3" s="2093"/>
      <c r="D3" s="2093"/>
      <c r="E3" s="2093"/>
      <c r="F3" s="2093"/>
      <c r="G3" s="2093"/>
    </row>
    <row r="4" spans="1:25" s="2044" customFormat="1" ht="18" customHeight="1">
      <c r="A4" s="426" t="s">
        <v>468</v>
      </c>
      <c r="B4" s="427">
        <f ca="1">ROUND(B2*10000/'数据-汇总表'!D3,0)</f>
        <v>3280</v>
      </c>
      <c r="C4" s="2046"/>
      <c r="D4" s="2093"/>
      <c r="E4" s="2093"/>
      <c r="F4" s="2093"/>
      <c r="G4" s="2093"/>
    </row>
    <row r="5" spans="1:25" s="2044" customFormat="1" ht="18" customHeight="1" thickBot="1">
      <c r="A5" s="429"/>
      <c r="B5" s="430">
        <f ca="1">ROUND(B2/('数据-汇总表'!D3/666.67),0)</f>
        <v>219</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78072.528600000005</v>
      </c>
      <c r="D7" s="749"/>
      <c r="E7" s="750"/>
      <c r="F7" s="750"/>
      <c r="G7" s="2443" t="s">
        <v>3242</v>
      </c>
    </row>
    <row r="8" spans="1:25" s="2168" customFormat="1" ht="13.5" customHeight="1">
      <c r="A8" s="2433" t="s">
        <v>2440</v>
      </c>
      <c r="B8" s="2436" t="s">
        <v>2442</v>
      </c>
      <c r="C8" s="2437">
        <f>土地比较法!K27*'数据-基础表'!A3/10000</f>
        <v>78072.528600000005</v>
      </c>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4403.1570000000002</v>
      </c>
      <c r="D10" s="760">
        <f>'数据-汇总表'!E3</f>
        <v>182200</v>
      </c>
      <c r="E10" s="749">
        <f>'数据-取费表'!B31</f>
        <v>145</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0</v>
      </c>
      <c r="D12" s="758">
        <f>'数据-汇总表'!E5</f>
        <v>0</v>
      </c>
      <c r="E12" s="757">
        <f>'数据-取费表'!B27</f>
        <v>160</v>
      </c>
      <c r="F12" s="755"/>
      <c r="G12" s="759"/>
    </row>
    <row r="13" spans="1:25" s="2168" customFormat="1" ht="13.5" customHeight="1">
      <c r="A13" s="2440" t="s">
        <v>2447</v>
      </c>
      <c r="B13" s="756" t="s">
        <v>612</v>
      </c>
      <c r="C13" s="757">
        <f>ROUND(D13*E13/10000,0)</f>
        <v>3644</v>
      </c>
      <c r="D13" s="758">
        <f>'数据-汇总表'!E6</f>
        <v>182200</v>
      </c>
      <c r="E13" s="757">
        <f>'数据-取费表'!B28</f>
        <v>200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f>'数据-基础表'!A3*E10/10000</f>
        <v>4403.1570000000002</v>
      </c>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4124</v>
      </c>
      <c r="D18" s="762"/>
      <c r="E18" s="763"/>
      <c r="F18" s="761">
        <f>'数据-取费表'!Q16</f>
        <v>0.05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86599.685600000012</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12990</v>
      </c>
      <c r="D20" s="760"/>
      <c r="E20" s="749"/>
      <c r="F20" s="1344">
        <v>0.15</v>
      </c>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99589.685600000012</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99590</v>
      </c>
      <c r="D22" s="760"/>
      <c r="E22" s="749"/>
      <c r="F22" s="3255">
        <v>1</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99590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303666平方米。根据《建设工程规划许可证》[]、《出让合同》[]，估价对象规划建筑面积为182200平方米。</v>
      </c>
    </row>
    <row r="7" spans="1:4" ht="56.25">
      <c r="A7" s="1780" t="s">
        <v>2747</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2026</v>
      </c>
    </row>
    <row r="11" spans="1:4" ht="18.75">
      <c r="A11" s="1765" t="str">
        <f>TEXT(项目基本情况!D3,"yyyy年m月d日;;")&amp;IF(项目基本情况!B3=项目基本情况!D3,"（评估专业人员勘察现场之日）","")</f>
        <v>2019年6月30日</v>
      </c>
    </row>
    <row r="12" spans="1:4" ht="18.75">
      <c r="A12" s="1782" t="s">
        <v>2025</v>
      </c>
    </row>
    <row r="13" spans="1:4" ht="18.75">
      <c r="A13" s="1776" t="s">
        <v>2942</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根据《国有土地使用证》[]，估价对象（分摊）出让国有建设用地使用权面积为303666平方米。根据《建设工程规划许可证》[]、《出让合同》[]，估价对象规划建筑面积为182200平方米。</v>
      </c>
    </row>
    <row r="21" spans="1:1" ht="18.75">
      <c r="A21" s="1776" t="s">
        <v>2074</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2069年3月30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6月30日，在规划利用条件下、设定土地开发程度为红线外“七通”、宗地内场地，设定用途为，剩余土地使用年限为的出让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43" t="s">
        <v>522</v>
      </c>
      <c r="D4" s="3444"/>
      <c r="E4" s="3467" t="s">
        <v>523</v>
      </c>
      <c r="F4" s="3468"/>
      <c r="G4" s="3443" t="s">
        <v>524</v>
      </c>
      <c r="H4" s="3444"/>
      <c r="I4" s="3443" t="s">
        <v>525</v>
      </c>
      <c r="J4" s="3444"/>
      <c r="K4" s="852" t="s">
        <v>526</v>
      </c>
      <c r="L4" s="2118"/>
      <c r="M4" s="2119"/>
      <c r="N4" s="2119"/>
      <c r="O4" s="2119"/>
      <c r="P4" s="3445" t="s">
        <v>527</v>
      </c>
      <c r="Q4" s="3446"/>
      <c r="R4" s="3431" t="s">
        <v>523</v>
      </c>
      <c r="S4" s="3432"/>
      <c r="T4" s="3431" t="s">
        <v>524</v>
      </c>
      <c r="U4" s="3432"/>
      <c r="V4" s="3451" t="s">
        <v>525</v>
      </c>
      <c r="W4" s="3451"/>
      <c r="X4" s="1553"/>
      <c r="Y4" s="3431" t="s">
        <v>527</v>
      </c>
      <c r="Z4" s="3432"/>
      <c r="AA4" s="3426" t="s">
        <v>523</v>
      </c>
      <c r="AB4" s="3426" t="s">
        <v>524</v>
      </c>
      <c r="AC4" s="3426" t="s">
        <v>525</v>
      </c>
    </row>
    <row r="5" spans="1:29" ht="15">
      <c r="A5" s="515"/>
      <c r="B5" s="516"/>
      <c r="C5" s="3454" t="s">
        <v>2930</v>
      </c>
      <c r="D5" s="3455"/>
      <c r="E5" s="3469" t="s">
        <v>2931</v>
      </c>
      <c r="F5" s="3470"/>
      <c r="G5" s="3454" t="s">
        <v>2932</v>
      </c>
      <c r="H5" s="3455"/>
      <c r="I5" s="3454" t="s">
        <v>2933</v>
      </c>
      <c r="J5" s="3455"/>
      <c r="K5" s="853"/>
      <c r="L5" s="2118"/>
      <c r="M5" s="2119"/>
      <c r="N5" s="2119"/>
      <c r="O5" s="2119"/>
      <c r="P5" s="3447"/>
      <c r="Q5" s="3448"/>
      <c r="R5" s="3433"/>
      <c r="S5" s="3434"/>
      <c r="T5" s="3433"/>
      <c r="U5" s="3434"/>
      <c r="V5" s="3451"/>
      <c r="W5" s="3451"/>
      <c r="X5" s="1553"/>
      <c r="Y5" s="3433"/>
      <c r="Z5" s="3434"/>
      <c r="AA5" s="3427"/>
      <c r="AB5" s="3427"/>
      <c r="AC5" s="3427"/>
    </row>
    <row r="6" spans="1:29" ht="15.75" thickBot="1">
      <c r="A6" s="517"/>
      <c r="B6" s="518"/>
      <c r="C6" s="3452" t="s">
        <v>2934</v>
      </c>
      <c r="D6" s="3453"/>
      <c r="E6" s="3471" t="s">
        <v>2934</v>
      </c>
      <c r="F6" s="3472"/>
      <c r="G6" s="3452" t="s">
        <v>2934</v>
      </c>
      <c r="H6" s="3453"/>
      <c r="I6" s="3452" t="s">
        <v>2934</v>
      </c>
      <c r="J6" s="3453"/>
      <c r="K6" s="853" t="s">
        <v>528</v>
      </c>
      <c r="L6" s="2118"/>
      <c r="M6" s="2119"/>
      <c r="N6" s="2119"/>
      <c r="O6" s="2119"/>
      <c r="P6" s="3449"/>
      <c r="Q6" s="3450"/>
      <c r="R6" s="3433"/>
      <c r="S6" s="3434"/>
      <c r="T6" s="3435"/>
      <c r="U6" s="3436"/>
      <c r="V6" s="3451"/>
      <c r="W6" s="3451"/>
      <c r="X6" s="1553"/>
      <c r="Y6" s="3435"/>
      <c r="Z6" s="3436"/>
      <c r="AA6" s="3428"/>
      <c r="AB6" s="3428"/>
      <c r="AC6" s="3428"/>
    </row>
    <row r="7" spans="1:29" s="1215" customFormat="1" ht="15.75" thickBot="1">
      <c r="A7" s="2867"/>
      <c r="B7" s="2874" t="s">
        <v>529</v>
      </c>
      <c r="C7" s="519">
        <f>'数据-取费表'!B2</f>
        <v>43646</v>
      </c>
      <c r="D7" s="520">
        <v>100</v>
      </c>
      <c r="E7" s="521"/>
      <c r="F7" s="522">
        <f>SUMIF(58:58,YEAR(E7)&amp;"-"&amp;MONTH(E7),59:59)</f>
        <v>0</v>
      </c>
      <c r="G7" s="523"/>
      <c r="H7" s="520">
        <f>SUMIF(58:58,YEAR(G7)&amp;"-"&amp;MONTH(G7),59:59)</f>
        <v>0</v>
      </c>
      <c r="I7" s="523"/>
      <c r="J7" s="520">
        <f>SUMIF(58:58,YEAR(I7)&amp;"-"&amp;MONTH(I7),59:59)</f>
        <v>0</v>
      </c>
      <c r="K7" s="854"/>
      <c r="L7" s="2120"/>
      <c r="M7" s="2121"/>
      <c r="N7" s="2121"/>
      <c r="O7" s="2121"/>
      <c r="P7" s="3429" t="s">
        <v>530</v>
      </c>
      <c r="Q7" s="3438"/>
      <c r="R7" s="1554" t="s">
        <v>13</v>
      </c>
      <c r="S7" s="1555">
        <f t="shared" ref="S7:S15" si="0">F7</f>
        <v>0</v>
      </c>
      <c r="T7" s="1554" t="s">
        <v>13</v>
      </c>
      <c r="U7" s="1555">
        <f t="shared" ref="U7:U15" si="1">H7</f>
        <v>0</v>
      </c>
      <c r="V7" s="1554" t="s">
        <v>13</v>
      </c>
      <c r="W7" s="1555">
        <f t="shared" ref="W7:W15" si="2">J7</f>
        <v>0</v>
      </c>
      <c r="X7" s="1556"/>
      <c r="Y7" s="3429" t="s">
        <v>530</v>
      </c>
      <c r="Z7" s="3430"/>
      <c r="AA7" s="1557" t="e">
        <f>D7/F7</f>
        <v>#DIV/0!</v>
      </c>
      <c r="AB7" s="1557" t="e">
        <f>D7/H7</f>
        <v>#DIV/0!</v>
      </c>
      <c r="AC7" s="1557" t="e">
        <f>D7/J7</f>
        <v>#DIV/0!</v>
      </c>
    </row>
    <row r="8" spans="1:29" s="1215" customFormat="1" ht="15.75" thickBot="1">
      <c r="A8" s="2868"/>
      <c r="B8" s="2875" t="s">
        <v>531</v>
      </c>
      <c r="C8" s="525" t="s">
        <v>576</v>
      </c>
      <c r="D8" s="520">
        <v>100</v>
      </c>
      <c r="E8" s="855"/>
      <c r="F8" s="522">
        <f>SUMIF(61:61,E8,62:62)-SUMIF(61:61,C8,62:62)+100</f>
        <v>0</v>
      </c>
      <c r="G8" s="525"/>
      <c r="H8" s="520">
        <f>SUMIF(61:61,G8,62:62)-SUMIF(61:61,C8,62:62)+100</f>
        <v>0</v>
      </c>
      <c r="I8" s="855"/>
      <c r="J8" s="520">
        <f>SUMIF(61:61,I8,62:62)-SUMIF(61:61,C8,62:62)+100</f>
        <v>0</v>
      </c>
      <c r="K8" s="854"/>
      <c r="L8" s="2120"/>
      <c r="M8" s="2121"/>
      <c r="N8" s="2121"/>
      <c r="O8" s="2121"/>
      <c r="P8" s="3429" t="s">
        <v>533</v>
      </c>
      <c r="Q8" s="3430"/>
      <c r="R8" s="1554" t="s">
        <v>13</v>
      </c>
      <c r="S8" s="1555">
        <f t="shared" si="0"/>
        <v>0</v>
      </c>
      <c r="T8" s="1554" t="s">
        <v>13</v>
      </c>
      <c r="U8" s="1555">
        <f t="shared" si="1"/>
        <v>0</v>
      </c>
      <c r="V8" s="1554" t="s">
        <v>13</v>
      </c>
      <c r="W8" s="1555">
        <f t="shared" si="2"/>
        <v>0</v>
      </c>
      <c r="X8" s="1556"/>
      <c r="Y8" s="3429" t="s">
        <v>533</v>
      </c>
      <c r="Z8" s="3430"/>
      <c r="AA8" s="1557" t="e">
        <f t="shared" ref="AA8:AA46" si="3">D8/F8</f>
        <v>#DIV/0!</v>
      </c>
      <c r="AB8" s="1557" t="e">
        <f t="shared" ref="AB8:AB46" si="4">D8/H8</f>
        <v>#DIV/0!</v>
      </c>
      <c r="AC8" s="1557" t="e">
        <f t="shared" ref="AC8:AC46" si="5">D8/J8</f>
        <v>#DIV/0!</v>
      </c>
    </row>
    <row r="9" spans="1:29" s="1215" customFormat="1" ht="15">
      <c r="A9" s="2869"/>
      <c r="B9" s="2876" t="s">
        <v>2756</v>
      </c>
      <c r="C9" s="856"/>
      <c r="D9" s="254">
        <v>100</v>
      </c>
      <c r="E9" s="857"/>
      <c r="F9" s="858">
        <f>SUMIF(63:63,E9,64:64)-SUMIF(63:63,C9,64:64)+100</f>
        <v>100</v>
      </c>
      <c r="G9" s="859"/>
      <c r="H9" s="254">
        <f>SUMIF(63:63,G9,64:64)-SUMIF(63:63,C9,64:64)+100</f>
        <v>100</v>
      </c>
      <c r="I9" s="859"/>
      <c r="J9" s="254">
        <f>SUMIF(63:63,I9,64:64)-SUMIF(63:63,C9,64:64)+100</f>
        <v>100</v>
      </c>
      <c r="K9" s="854"/>
      <c r="L9" s="2120"/>
      <c r="M9" s="2121"/>
      <c r="N9" s="2121"/>
      <c r="O9" s="2122"/>
      <c r="P9" s="3437" t="s">
        <v>535</v>
      </c>
      <c r="Q9" s="1146" t="str">
        <f t="shared" ref="Q9:Q15" si="6">B9</f>
        <v>用途</v>
      </c>
      <c r="R9" s="1554" t="s">
        <v>8</v>
      </c>
      <c r="S9" s="1555">
        <f t="shared" si="0"/>
        <v>100</v>
      </c>
      <c r="T9" s="1554" t="s">
        <v>8</v>
      </c>
      <c r="U9" s="1555">
        <f t="shared" si="1"/>
        <v>100</v>
      </c>
      <c r="V9" s="1554" t="s">
        <v>8</v>
      </c>
      <c r="W9" s="1555">
        <f t="shared" si="2"/>
        <v>100</v>
      </c>
      <c r="X9" s="1556"/>
      <c r="Y9" s="3394" t="s">
        <v>536</v>
      </c>
      <c r="Z9" s="1145" t="str">
        <f t="shared" ref="Z9:Z15" si="7">Q9</f>
        <v>用途</v>
      </c>
      <c r="AA9" s="1557">
        <f t="shared" si="3"/>
        <v>1</v>
      </c>
      <c r="AB9" s="1557">
        <f t="shared" si="4"/>
        <v>1</v>
      </c>
      <c r="AC9" s="1557">
        <f t="shared" si="5"/>
        <v>1</v>
      </c>
    </row>
    <row r="10" spans="1:29" s="1333" customFormat="1" ht="27">
      <c r="A10" s="2870"/>
      <c r="B10" s="2875" t="s">
        <v>2757</v>
      </c>
      <c r="C10" s="860"/>
      <c r="D10" s="255">
        <v>100</v>
      </c>
      <c r="E10" s="861"/>
      <c r="F10" s="862">
        <f>SUMIF(65:65,E10,66:66)-SUMIF(65:65,C10,66:66)+100</f>
        <v>100</v>
      </c>
      <c r="G10" s="860"/>
      <c r="H10" s="255">
        <f>SUMIF(65:65,G10,66:66)-SUMIF(65:65,C10,66:66)+100</f>
        <v>100</v>
      </c>
      <c r="I10" s="860"/>
      <c r="J10" s="255">
        <f>SUMIF(65:65,I10,66:66)-SUMIF(65:65,C10,66:66)+100</f>
        <v>100</v>
      </c>
      <c r="K10" s="863"/>
      <c r="L10" s="2123"/>
      <c r="M10" s="2163"/>
      <c r="N10" s="2163"/>
      <c r="O10" s="2124"/>
      <c r="P10" s="3437"/>
      <c r="Q10" s="1146" t="str">
        <f t="shared" si="6"/>
        <v>土地使用年限（年）</v>
      </c>
      <c r="R10" s="1554" t="s">
        <v>8</v>
      </c>
      <c r="S10" s="1555">
        <f t="shared" si="0"/>
        <v>100</v>
      </c>
      <c r="T10" s="1554" t="s">
        <v>8</v>
      </c>
      <c r="U10" s="1555">
        <f t="shared" si="1"/>
        <v>100</v>
      </c>
      <c r="V10" s="1554" t="s">
        <v>8</v>
      </c>
      <c r="W10" s="1555">
        <f t="shared" si="2"/>
        <v>100</v>
      </c>
      <c r="X10" s="1556"/>
      <c r="Y10" s="3394"/>
      <c r="Z10" s="1145" t="str">
        <f t="shared" si="7"/>
        <v>土地使用年限（年）</v>
      </c>
      <c r="AA10" s="1557">
        <f t="shared" si="3"/>
        <v>1</v>
      </c>
      <c r="AB10" s="1557">
        <f t="shared" si="4"/>
        <v>1</v>
      </c>
      <c r="AC10" s="1557">
        <f t="shared" si="5"/>
        <v>1</v>
      </c>
    </row>
    <row r="11" spans="1:29" ht="15">
      <c r="A11" s="2871"/>
      <c r="B11" s="2875" t="s">
        <v>2758</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5"/>
      <c r="M11" s="2119"/>
      <c r="N11" s="2119"/>
      <c r="O11" s="2126"/>
      <c r="P11" s="3437"/>
      <c r="Q11" s="1146" t="str">
        <f t="shared" si="6"/>
        <v>容积率</v>
      </c>
      <c r="R11" s="1554" t="s">
        <v>11</v>
      </c>
      <c r="S11" s="1555" t="e">
        <f t="shared" si="0"/>
        <v>#N/A</v>
      </c>
      <c r="T11" s="1554" t="s">
        <v>11</v>
      </c>
      <c r="U11" s="1555" t="e">
        <f t="shared" si="1"/>
        <v>#N/A</v>
      </c>
      <c r="V11" s="1554" t="s">
        <v>11</v>
      </c>
      <c r="W11" s="1555" t="e">
        <f t="shared" si="2"/>
        <v>#N/A</v>
      </c>
      <c r="X11" s="1556"/>
      <c r="Y11" s="339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2">
        <f>SUMIF(70:70,E12,71:71)-SUMIF(70:70,C12,71:71)+100</f>
        <v>100</v>
      </c>
      <c r="G12" s="528"/>
      <c r="H12" s="255">
        <f>SUMIF(70:70,G12,71:71)-SUMIF(70:70,C12,71:71)+100</f>
        <v>100</v>
      </c>
      <c r="I12" s="528"/>
      <c r="J12" s="255">
        <f>SUMIF(70:70,I12,71:71)-SUMIF(70:70,C12,71:71)+100</f>
        <v>100</v>
      </c>
      <c r="K12" s="864"/>
      <c r="L12" s="2120"/>
      <c r="M12" s="2121"/>
      <c r="N12" s="2121"/>
      <c r="O12" s="2122"/>
      <c r="P12" s="3437"/>
      <c r="Q12" s="1146">
        <f t="shared" si="6"/>
        <v>111</v>
      </c>
      <c r="R12" s="1554" t="s">
        <v>11</v>
      </c>
      <c r="S12" s="1555">
        <f t="shared" si="0"/>
        <v>100</v>
      </c>
      <c r="T12" s="1554" t="s">
        <v>11</v>
      </c>
      <c r="U12" s="1555">
        <f t="shared" si="1"/>
        <v>100</v>
      </c>
      <c r="V12" s="1554" t="s">
        <v>11</v>
      </c>
      <c r="W12" s="1555">
        <f t="shared" si="2"/>
        <v>100</v>
      </c>
      <c r="X12" s="1556"/>
      <c r="Y12" s="3394"/>
      <c r="Z12" s="1145">
        <f t="shared" si="7"/>
        <v>111</v>
      </c>
      <c r="AA12" s="1557">
        <f>D12/F12</f>
        <v>1</v>
      </c>
      <c r="AB12" s="1557">
        <f>D12/H12</f>
        <v>1</v>
      </c>
      <c r="AC12" s="1557">
        <f>D12/J12</f>
        <v>1</v>
      </c>
    </row>
    <row r="13" spans="1:29" ht="15">
      <c r="A13" s="2872"/>
      <c r="B13" s="2878">
        <v>111</v>
      </c>
      <c r="C13" s="539"/>
      <c r="D13" s="540">
        <v>100</v>
      </c>
      <c r="E13" s="539"/>
      <c r="F13" s="862">
        <f>SUMIF(72:72,E13,73:73)-SUMIF(72:72,C13,73:73)+100</f>
        <v>100</v>
      </c>
      <c r="G13" s="539"/>
      <c r="H13" s="540">
        <f>SUMIF(72:72,G13,73:73)-SUMIF(72:72,C13,73:73)+100</f>
        <v>100</v>
      </c>
      <c r="I13" s="539"/>
      <c r="J13" s="540">
        <f>SUMIF(72:72,I13,73:73)-SUMIF(72:72,C13,73:73)+100</f>
        <v>100</v>
      </c>
      <c r="K13" s="864"/>
      <c r="L13" s="2127"/>
      <c r="M13" s="2119"/>
      <c r="N13" s="2119"/>
      <c r="O13" s="2126"/>
      <c r="P13" s="3437"/>
      <c r="Q13" s="1146">
        <f t="shared" si="6"/>
        <v>111</v>
      </c>
      <c r="R13" s="1554" t="s">
        <v>11</v>
      </c>
      <c r="S13" s="1555">
        <f t="shared" si="0"/>
        <v>100</v>
      </c>
      <c r="T13" s="1554" t="s">
        <v>11</v>
      </c>
      <c r="U13" s="1555">
        <f t="shared" si="1"/>
        <v>100</v>
      </c>
      <c r="V13" s="1554" t="s">
        <v>11</v>
      </c>
      <c r="W13" s="1555">
        <f t="shared" si="2"/>
        <v>100</v>
      </c>
      <c r="X13" s="1556"/>
      <c r="Y13" s="3394"/>
      <c r="Z13" s="1145">
        <f t="shared" si="7"/>
        <v>111</v>
      </c>
      <c r="AA13" s="1557">
        <f t="shared" si="3"/>
        <v>1</v>
      </c>
      <c r="AB13" s="1557">
        <f t="shared" si="4"/>
        <v>1</v>
      </c>
      <c r="AC13" s="1557">
        <f t="shared" si="5"/>
        <v>1</v>
      </c>
    </row>
    <row r="14" spans="1:29" ht="15.75" thickBot="1">
      <c r="A14" s="2873"/>
      <c r="B14" s="2879">
        <v>111</v>
      </c>
      <c r="C14" s="545"/>
      <c r="D14" s="546">
        <v>100</v>
      </c>
      <c r="E14" s="545"/>
      <c r="F14" s="865">
        <f>SUMIF(74:74,E14,75:75)-SUMIF(74:74,C14,75:75)+100</f>
        <v>100</v>
      </c>
      <c r="G14" s="545"/>
      <c r="H14" s="546">
        <f>SUMIF(74:74,G14,75:75)-SUMIF(74:74,C14,75:75)+100</f>
        <v>100</v>
      </c>
      <c r="I14" s="545"/>
      <c r="J14" s="546">
        <f>SUMIF(74:74,I14,75:75)-SUMIF(74:74,C14,75:75)+100</f>
        <v>100</v>
      </c>
      <c r="K14" s="864"/>
      <c r="L14" s="2127"/>
      <c r="M14" s="2119"/>
      <c r="N14" s="2119"/>
      <c r="O14" s="2126"/>
      <c r="P14" s="3437"/>
      <c r="Q14" s="1146">
        <f t="shared" si="6"/>
        <v>111</v>
      </c>
      <c r="R14" s="1554" t="s">
        <v>11</v>
      </c>
      <c r="S14" s="1555">
        <f t="shared" si="0"/>
        <v>100</v>
      </c>
      <c r="T14" s="1554" t="s">
        <v>11</v>
      </c>
      <c r="U14" s="1555">
        <f t="shared" si="1"/>
        <v>100</v>
      </c>
      <c r="V14" s="1554" t="s">
        <v>11</v>
      </c>
      <c r="W14" s="1555">
        <f t="shared" si="2"/>
        <v>100</v>
      </c>
      <c r="X14" s="1556"/>
      <c r="Y14" s="3394"/>
      <c r="Z14" s="1145">
        <f t="shared" si="7"/>
        <v>111</v>
      </c>
      <c r="AA14" s="1557">
        <f t="shared" si="3"/>
        <v>1</v>
      </c>
      <c r="AB14" s="1557">
        <f t="shared" si="4"/>
        <v>1</v>
      </c>
      <c r="AC14" s="1557">
        <f t="shared" si="5"/>
        <v>1</v>
      </c>
    </row>
    <row r="15" spans="1:29" ht="99.75">
      <c r="A15" s="2865" t="s">
        <v>2754</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7"/>
      <c r="M15" s="2119"/>
      <c r="N15" s="2119"/>
      <c r="O15" s="2126"/>
      <c r="P15" s="3439" t="s">
        <v>540</v>
      </c>
      <c r="Q15" s="1558" t="str">
        <f t="shared" si="6"/>
        <v>居住社区成熟度</v>
      </c>
      <c r="R15" s="1559" t="s">
        <v>11</v>
      </c>
      <c r="S15" s="1560">
        <f t="shared" si="0"/>
        <v>100</v>
      </c>
      <c r="T15" s="1559" t="s">
        <v>11</v>
      </c>
      <c r="U15" s="1560">
        <f t="shared" si="1"/>
        <v>100</v>
      </c>
      <c r="V15" s="1559" t="s">
        <v>11</v>
      </c>
      <c r="W15" s="1560">
        <f t="shared" si="2"/>
        <v>100</v>
      </c>
      <c r="X15" s="1553"/>
      <c r="Y15" s="3439" t="s">
        <v>540</v>
      </c>
      <c r="Z15" s="1561" t="str">
        <f t="shared" si="7"/>
        <v>居住社区成熟度</v>
      </c>
      <c r="AA15" s="1562">
        <f t="shared" si="3"/>
        <v>1</v>
      </c>
      <c r="AB15" s="1562">
        <f t="shared" si="4"/>
        <v>1</v>
      </c>
      <c r="AC15" s="1562">
        <f t="shared" si="5"/>
        <v>1</v>
      </c>
    </row>
    <row r="16" spans="1:29" ht="15">
      <c r="A16" s="532"/>
      <c r="B16" s="868"/>
      <c r="C16" s="576"/>
      <c r="D16" s="555"/>
      <c r="E16" s="556"/>
      <c r="F16" s="557"/>
      <c r="G16" s="558"/>
      <c r="H16" s="559"/>
      <c r="I16" s="556"/>
      <c r="J16" s="555"/>
      <c r="K16" s="869"/>
      <c r="L16" s="2127"/>
      <c r="M16" s="2119"/>
      <c r="N16" s="2119"/>
      <c r="O16" s="2126"/>
      <c r="P16" s="3440"/>
      <c r="Q16" s="1558"/>
      <c r="R16" s="1559"/>
      <c r="S16" s="1560"/>
      <c r="T16" s="1559"/>
      <c r="U16" s="1560"/>
      <c r="V16" s="1559"/>
      <c r="W16" s="1560"/>
      <c r="X16" s="1553"/>
      <c r="Y16" s="3440"/>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7"/>
      <c r="M17" s="2119"/>
      <c r="N17" s="2119"/>
      <c r="O17" s="2126"/>
      <c r="P17" s="3440"/>
      <c r="Q17" s="1558" t="str">
        <f>B17</f>
        <v>交通便捷度</v>
      </c>
      <c r="R17" s="1559" t="s">
        <v>11</v>
      </c>
      <c r="S17" s="1560">
        <f>F17</f>
        <v>100</v>
      </c>
      <c r="T17" s="1559" t="s">
        <v>11</v>
      </c>
      <c r="U17" s="1560">
        <f>H17</f>
        <v>100</v>
      </c>
      <c r="V17" s="1559" t="s">
        <v>11</v>
      </c>
      <c r="W17" s="1560">
        <f>J17</f>
        <v>100</v>
      </c>
      <c r="X17" s="1553"/>
      <c r="Y17" s="3440"/>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69"/>
      <c r="L18" s="2127"/>
      <c r="M18" s="2119"/>
      <c r="N18" s="2119"/>
      <c r="O18" s="2126"/>
      <c r="P18" s="3440"/>
      <c r="Q18" s="1558"/>
      <c r="R18" s="1559"/>
      <c r="S18" s="1560"/>
      <c r="T18" s="1559"/>
      <c r="U18" s="1560"/>
      <c r="V18" s="1559"/>
      <c r="W18" s="1560"/>
      <c r="X18" s="1553"/>
      <c r="Y18" s="3440"/>
      <c r="Z18" s="1561"/>
      <c r="AA18" s="1562">
        <v>1</v>
      </c>
      <c r="AB18" s="1562">
        <v>1</v>
      </c>
      <c r="AC18" s="1562">
        <v>1</v>
      </c>
    </row>
    <row r="19" spans="1:29" ht="42.75">
      <c r="A19" s="532"/>
      <c r="B19" s="2564" t="s">
        <v>2546</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7"/>
      <c r="M19" s="2119"/>
      <c r="N19" s="2119"/>
      <c r="O19" s="2126"/>
      <c r="P19" s="3440"/>
      <c r="Q19" s="1558" t="str">
        <f>B19</f>
        <v>公共配套设施</v>
      </c>
      <c r="R19" s="1559" t="s">
        <v>11</v>
      </c>
      <c r="S19" s="1560">
        <f>F19</f>
        <v>100</v>
      </c>
      <c r="T19" s="1559" t="s">
        <v>11</v>
      </c>
      <c r="U19" s="1560">
        <f>H19</f>
        <v>100</v>
      </c>
      <c r="V19" s="1559" t="s">
        <v>11</v>
      </c>
      <c r="W19" s="1560">
        <f>J19</f>
        <v>100</v>
      </c>
      <c r="X19" s="1553"/>
      <c r="Y19" s="344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69"/>
      <c r="L20" s="2127"/>
      <c r="M20" s="2119"/>
      <c r="N20" s="2119"/>
      <c r="O20" s="2126"/>
      <c r="P20" s="3440"/>
      <c r="Q20" s="1558"/>
      <c r="R20" s="1559"/>
      <c r="S20" s="1560"/>
      <c r="T20" s="1559"/>
      <c r="U20" s="1560"/>
      <c r="V20" s="1559"/>
      <c r="W20" s="1560"/>
      <c r="X20" s="1553"/>
      <c r="Y20" s="3440"/>
      <c r="Z20" s="1561"/>
      <c r="AA20" s="1562">
        <v>1</v>
      </c>
      <c r="AB20" s="1562">
        <v>1</v>
      </c>
      <c r="AC20" s="1562">
        <v>1</v>
      </c>
    </row>
    <row r="21" spans="1:29" ht="28.5">
      <c r="A21" s="532"/>
      <c r="B21" s="2557" t="s">
        <v>2558</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7"/>
      <c r="M21" s="2119"/>
      <c r="N21" s="2119"/>
      <c r="O21" s="2126"/>
      <c r="P21" s="3440"/>
      <c r="Q21" s="2543" t="str">
        <f>B21</f>
        <v>基础设施水平</v>
      </c>
      <c r="R21" s="1559" t="s">
        <v>11</v>
      </c>
      <c r="S21" s="1560">
        <f>F21</f>
        <v>100</v>
      </c>
      <c r="T21" s="1559" t="s">
        <v>11</v>
      </c>
      <c r="U21" s="1560">
        <f>H21</f>
        <v>100</v>
      </c>
      <c r="V21" s="1559" t="s">
        <v>11</v>
      </c>
      <c r="W21" s="1560">
        <f>J21</f>
        <v>100</v>
      </c>
      <c r="X21" s="2545"/>
      <c r="Y21" s="3440"/>
      <c r="Z21" s="2544" t="str">
        <f>Q21</f>
        <v>基础设施水平</v>
      </c>
      <c r="AA21" s="1562">
        <f t="shared" ref="AA21" si="8">D21/F21</f>
        <v>1</v>
      </c>
      <c r="AB21" s="1562">
        <f t="shared" ref="AB21" si="9">D21/H21</f>
        <v>1</v>
      </c>
      <c r="AC21" s="1562">
        <f t="shared" ref="AC21" si="10">D21/J21</f>
        <v>1</v>
      </c>
    </row>
    <row r="22" spans="1:29" ht="15">
      <c r="A22" s="532"/>
      <c r="B22" s="921"/>
      <c r="C22" s="872"/>
      <c r="D22" s="555"/>
      <c r="E22" s="576"/>
      <c r="F22" s="557"/>
      <c r="G22" s="576"/>
      <c r="H22" s="555"/>
      <c r="I22" s="576"/>
      <c r="J22" s="555"/>
      <c r="K22" s="2563"/>
      <c r="L22" s="2127"/>
      <c r="M22" s="2119"/>
      <c r="N22" s="2119"/>
      <c r="O22" s="2126"/>
      <c r="P22" s="3440"/>
      <c r="Q22" s="2543"/>
      <c r="R22" s="1559"/>
      <c r="S22" s="1560"/>
      <c r="T22" s="1559"/>
      <c r="U22" s="1560"/>
      <c r="V22" s="1559"/>
      <c r="W22" s="1560"/>
      <c r="X22" s="2545"/>
      <c r="Y22" s="3440"/>
      <c r="Z22" s="2544"/>
      <c r="AA22" s="1562">
        <v>1</v>
      </c>
      <c r="AB22" s="1562">
        <v>1</v>
      </c>
      <c r="AC22" s="1562">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7"/>
      <c r="M23" s="2119"/>
      <c r="N23" s="2119"/>
      <c r="O23" s="2126"/>
      <c r="P23" s="3440"/>
      <c r="Q23" s="1558" t="str">
        <f>B23</f>
        <v>自然及人文环境</v>
      </c>
      <c r="R23" s="1559" t="s">
        <v>11</v>
      </c>
      <c r="S23" s="1560">
        <f>F23</f>
        <v>100</v>
      </c>
      <c r="T23" s="1559" t="s">
        <v>11</v>
      </c>
      <c r="U23" s="1560">
        <f>H23</f>
        <v>100</v>
      </c>
      <c r="V23" s="1559" t="s">
        <v>11</v>
      </c>
      <c r="W23" s="1560">
        <f>J23</f>
        <v>100</v>
      </c>
      <c r="X23" s="1553"/>
      <c r="Y23" s="344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69"/>
      <c r="L24" s="2127"/>
      <c r="M24" s="2119"/>
      <c r="N24" s="2119"/>
      <c r="O24" s="2126"/>
      <c r="P24" s="3440"/>
      <c r="Q24" s="1558"/>
      <c r="R24" s="1559"/>
      <c r="S24" s="1560"/>
      <c r="T24" s="1559"/>
      <c r="U24" s="1560"/>
      <c r="V24" s="1559"/>
      <c r="W24" s="1560"/>
      <c r="X24" s="1553"/>
      <c r="Y24" s="3440"/>
      <c r="Z24" s="1561"/>
      <c r="AA24" s="1562">
        <v>1</v>
      </c>
      <c r="AB24" s="1562">
        <v>1</v>
      </c>
      <c r="AC24" s="1562">
        <v>1</v>
      </c>
    </row>
    <row r="25" spans="1:29" ht="15">
      <c r="A25" s="532"/>
      <c r="B25" s="1880" t="s">
        <v>2256</v>
      </c>
      <c r="C25" s="574"/>
      <c r="D25" s="540">
        <v>100</v>
      </c>
      <c r="E25" s="873"/>
      <c r="F25" s="575">
        <f>SUMIF(86:86,E25,87:87)-SUMIF(86:86,C25,87:87)+100</f>
        <v>100</v>
      </c>
      <c r="G25" s="599"/>
      <c r="H25" s="540">
        <f>SUMIF(86:86,G25,87:87)-SUMIF(86:86,C25,87:87)+100</f>
        <v>100</v>
      </c>
      <c r="I25" s="873"/>
      <c r="J25" s="540">
        <f>SUMIF(86:86,I25,87:87)-SUMIF(86:86,C25,87:87)+100</f>
        <v>100</v>
      </c>
      <c r="K25" s="863"/>
      <c r="L25" s="2127"/>
      <c r="M25" s="2119"/>
      <c r="N25" s="2119"/>
      <c r="O25" s="2126"/>
      <c r="P25" s="3440"/>
      <c r="Q25" s="1558" t="str">
        <f t="shared" ref="Q25:Q46" si="11">B25</f>
        <v>楼层-1</v>
      </c>
      <c r="R25" s="1559" t="s">
        <v>11</v>
      </c>
      <c r="S25" s="1560">
        <f>F25</f>
        <v>100</v>
      </c>
      <c r="T25" s="1559" t="s">
        <v>11</v>
      </c>
      <c r="U25" s="1560">
        <f>H25</f>
        <v>100</v>
      </c>
      <c r="V25" s="1559" t="s">
        <v>11</v>
      </c>
      <c r="W25" s="1560">
        <f>J25</f>
        <v>100</v>
      </c>
      <c r="X25" s="1553"/>
      <c r="Y25" s="3440"/>
      <c r="Z25" s="1561" t="str">
        <f>Q25</f>
        <v>楼层-1</v>
      </c>
      <c r="AA25" s="1562">
        <f t="shared" si="3"/>
        <v>1</v>
      </c>
      <c r="AB25" s="1562">
        <f t="shared" si="4"/>
        <v>1</v>
      </c>
      <c r="AC25" s="1562">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7"/>
      <c r="M26" s="2119"/>
      <c r="N26" s="2119"/>
      <c r="O26" s="2126"/>
      <c r="P26" s="3440"/>
      <c r="Q26" s="1558" t="str">
        <f t="shared" si="11"/>
        <v>朝向</v>
      </c>
      <c r="R26" s="1559" t="s">
        <v>11</v>
      </c>
      <c r="S26" s="1560">
        <f>F26</f>
        <v>100</v>
      </c>
      <c r="T26" s="1559" t="s">
        <v>11</v>
      </c>
      <c r="U26" s="1560">
        <f>H26</f>
        <v>100</v>
      </c>
      <c r="V26" s="1559" t="s">
        <v>11</v>
      </c>
      <c r="W26" s="1560">
        <f>J26</f>
        <v>100</v>
      </c>
      <c r="X26" s="1553"/>
      <c r="Y26" s="3440"/>
      <c r="Z26" s="1561" t="str">
        <f>Q26</f>
        <v>朝向</v>
      </c>
      <c r="AA26" s="1562">
        <f t="shared" si="3"/>
        <v>1</v>
      </c>
      <c r="AB26" s="1562">
        <f t="shared" si="4"/>
        <v>1</v>
      </c>
      <c r="AC26" s="1562">
        <f t="shared" si="5"/>
        <v>1</v>
      </c>
    </row>
    <row r="27" spans="1:29" s="1215"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20"/>
      <c r="M27" s="2121"/>
      <c r="N27" s="2121"/>
      <c r="O27" s="2122"/>
      <c r="P27" s="3440"/>
      <c r="Q27" s="1146" t="str">
        <f t="shared" si="11"/>
        <v>道路级别</v>
      </c>
      <c r="R27" s="1554" t="s">
        <v>11</v>
      </c>
      <c r="S27" s="1555">
        <f>F27</f>
        <v>100</v>
      </c>
      <c r="T27" s="1554" t="s">
        <v>11</v>
      </c>
      <c r="U27" s="1555">
        <f>H27</f>
        <v>100</v>
      </c>
      <c r="V27" s="1554" t="s">
        <v>11</v>
      </c>
      <c r="W27" s="1555">
        <f>J27</f>
        <v>100</v>
      </c>
      <c r="X27" s="1556"/>
      <c r="Y27" s="3440"/>
      <c r="Z27" s="1145" t="str">
        <f>Q27</f>
        <v>道路级别</v>
      </c>
      <c r="AA27" s="1562">
        <f>D27/F27</f>
        <v>1</v>
      </c>
      <c r="AB27" s="1562">
        <f>D27/H27</f>
        <v>1</v>
      </c>
      <c r="AC27" s="1562">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7"/>
      <c r="M28" s="2119"/>
      <c r="N28" s="2119"/>
      <c r="O28" s="2126"/>
      <c r="P28" s="3440"/>
      <c r="Q28" s="1558">
        <f t="shared" si="11"/>
        <v>111</v>
      </c>
      <c r="R28" s="1559" t="s">
        <v>11</v>
      </c>
      <c r="S28" s="1560">
        <f t="shared" ref="S28:S46" si="12">F28</f>
        <v>100</v>
      </c>
      <c r="T28" s="1559" t="s">
        <v>11</v>
      </c>
      <c r="U28" s="1560">
        <f t="shared" ref="U28:U46" si="13">H28</f>
        <v>100</v>
      </c>
      <c r="V28" s="1559" t="s">
        <v>11</v>
      </c>
      <c r="W28" s="1560">
        <f t="shared" ref="W28:W46" si="14">J28</f>
        <v>100</v>
      </c>
      <c r="X28" s="1553"/>
      <c r="Y28" s="3440"/>
      <c r="Z28" s="1561">
        <f t="shared" ref="Z28:Z46" si="15">Q28</f>
        <v>111</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7"/>
      <c r="M29" s="2119"/>
      <c r="N29" s="2119"/>
      <c r="O29" s="2126"/>
      <c r="P29" s="3440"/>
      <c r="Q29" s="1558">
        <f t="shared" si="11"/>
        <v>111</v>
      </c>
      <c r="R29" s="1559" t="s">
        <v>11</v>
      </c>
      <c r="S29" s="1560">
        <f t="shared" si="12"/>
        <v>100</v>
      </c>
      <c r="T29" s="1559" t="s">
        <v>11</v>
      </c>
      <c r="U29" s="1560">
        <f t="shared" si="13"/>
        <v>100</v>
      </c>
      <c r="V29" s="1559" t="s">
        <v>11</v>
      </c>
      <c r="W29" s="1560">
        <f t="shared" si="14"/>
        <v>100</v>
      </c>
      <c r="X29" s="1553"/>
      <c r="Y29" s="3440"/>
      <c r="Z29" s="1561">
        <f t="shared" si="15"/>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7"/>
      <c r="M30" s="2119"/>
      <c r="N30" s="2119"/>
      <c r="O30" s="2126"/>
      <c r="P30" s="3440"/>
      <c r="Q30" s="1558">
        <f t="shared" si="11"/>
        <v>111</v>
      </c>
      <c r="R30" s="1559" t="s">
        <v>11</v>
      </c>
      <c r="S30" s="1560">
        <f t="shared" si="12"/>
        <v>100</v>
      </c>
      <c r="T30" s="1559" t="s">
        <v>11</v>
      </c>
      <c r="U30" s="1560">
        <f t="shared" si="13"/>
        <v>100</v>
      </c>
      <c r="V30" s="1559" t="s">
        <v>11</v>
      </c>
      <c r="W30" s="1560">
        <f t="shared" si="14"/>
        <v>100</v>
      </c>
      <c r="X30" s="1553"/>
      <c r="Y30" s="3440"/>
      <c r="Z30" s="1561">
        <f t="shared" si="15"/>
        <v>111</v>
      </c>
      <c r="AA30" s="1562">
        <f t="shared" si="3"/>
        <v>1</v>
      </c>
      <c r="AB30" s="1562">
        <f t="shared" si="4"/>
        <v>1</v>
      </c>
      <c r="AC30" s="1562">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7"/>
      <c r="M31" s="2119"/>
      <c r="N31" s="2119"/>
      <c r="O31" s="2126"/>
      <c r="P31" s="3440"/>
      <c r="Q31" s="1558">
        <f t="shared" si="11"/>
        <v>111</v>
      </c>
      <c r="R31" s="1559" t="s">
        <v>11</v>
      </c>
      <c r="S31" s="1560">
        <f t="shared" si="12"/>
        <v>100</v>
      </c>
      <c r="T31" s="1559" t="s">
        <v>11</v>
      </c>
      <c r="U31" s="1560">
        <f t="shared" si="13"/>
        <v>100</v>
      </c>
      <c r="V31" s="1559" t="s">
        <v>11</v>
      </c>
      <c r="W31" s="1560">
        <f t="shared" si="14"/>
        <v>100</v>
      </c>
      <c r="X31" s="1553"/>
      <c r="Y31" s="3440"/>
      <c r="Z31" s="1561">
        <f t="shared" si="15"/>
        <v>111</v>
      </c>
      <c r="AA31" s="1562">
        <f t="shared" si="3"/>
        <v>1</v>
      </c>
      <c r="AB31" s="1562">
        <f t="shared" si="4"/>
        <v>1</v>
      </c>
      <c r="AC31" s="1562">
        <f t="shared" si="5"/>
        <v>1</v>
      </c>
    </row>
    <row r="32" spans="1:29" ht="15">
      <c r="A32" s="2862" t="s">
        <v>2755</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7"/>
      <c r="M32" s="2119"/>
      <c r="N32" s="2119"/>
      <c r="O32" s="2126"/>
      <c r="P32" s="3441" t="s">
        <v>550</v>
      </c>
      <c r="Q32" s="1558" t="str">
        <f t="shared" si="11"/>
        <v>建筑类型</v>
      </c>
      <c r="R32" s="1559" t="s">
        <v>11</v>
      </c>
      <c r="S32" s="1560">
        <f t="shared" si="12"/>
        <v>100</v>
      </c>
      <c r="T32" s="1559" t="s">
        <v>11</v>
      </c>
      <c r="U32" s="1560">
        <f t="shared" si="13"/>
        <v>100</v>
      </c>
      <c r="V32" s="1559" t="s">
        <v>11</v>
      </c>
      <c r="W32" s="1560">
        <f t="shared" si="14"/>
        <v>100</v>
      </c>
      <c r="X32" s="1553"/>
      <c r="Y32" s="3442" t="s">
        <v>550</v>
      </c>
      <c r="Z32" s="1561" t="str">
        <f t="shared" si="15"/>
        <v>建筑类型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5"/>
      <c r="M33" s="2156"/>
      <c r="N33" s="2156"/>
      <c r="O33" s="2128"/>
      <c r="P33" s="3442"/>
      <c r="Q33" s="1590" t="str">
        <f t="shared" si="11"/>
        <v>项目建筑规模</v>
      </c>
      <c r="R33" s="1563" t="s">
        <v>11</v>
      </c>
      <c r="S33" s="1564" t="e">
        <f t="shared" si="12"/>
        <v>#N/A</v>
      </c>
      <c r="T33" s="1563" t="s">
        <v>11</v>
      </c>
      <c r="U33" s="1564" t="e">
        <f t="shared" si="13"/>
        <v>#N/A</v>
      </c>
      <c r="V33" s="1563" t="s">
        <v>11</v>
      </c>
      <c r="W33" s="1564" t="e">
        <f t="shared" si="14"/>
        <v>#N/A</v>
      </c>
      <c r="X33" s="1565"/>
      <c r="Y33" s="3442"/>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7"/>
      <c r="M34" s="2119"/>
      <c r="N34" s="2119"/>
      <c r="O34" s="2126"/>
      <c r="P34" s="3442"/>
      <c r="Q34" s="1558" t="str">
        <f t="shared" si="11"/>
        <v>建筑结构</v>
      </c>
      <c r="R34" s="1559" t="s">
        <v>11</v>
      </c>
      <c r="S34" s="1560">
        <f t="shared" si="12"/>
        <v>100</v>
      </c>
      <c r="T34" s="1559" t="s">
        <v>11</v>
      </c>
      <c r="U34" s="1560">
        <f t="shared" si="13"/>
        <v>100</v>
      </c>
      <c r="V34" s="1559" t="s">
        <v>11</v>
      </c>
      <c r="W34" s="1560">
        <f t="shared" si="14"/>
        <v>100</v>
      </c>
      <c r="X34" s="1553"/>
      <c r="Y34" s="3442"/>
      <c r="Z34" s="1561" t="str">
        <f t="shared" si="15"/>
        <v>建筑结构</v>
      </c>
      <c r="AA34" s="1562">
        <f t="shared" si="3"/>
        <v>1</v>
      </c>
      <c r="AB34" s="1562">
        <f t="shared" si="4"/>
        <v>1</v>
      </c>
      <c r="AC34" s="1562">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7"/>
      <c r="M35" s="2119"/>
      <c r="N35" s="2119"/>
      <c r="O35" s="2126"/>
      <c r="P35" s="3442"/>
      <c r="Q35" s="1558" t="str">
        <f t="shared" si="11"/>
        <v>建筑品质</v>
      </c>
      <c r="R35" s="1559" t="s">
        <v>11</v>
      </c>
      <c r="S35" s="1560">
        <f t="shared" si="12"/>
        <v>100</v>
      </c>
      <c r="T35" s="1559" t="s">
        <v>11</v>
      </c>
      <c r="U35" s="1560">
        <f t="shared" si="13"/>
        <v>100</v>
      </c>
      <c r="V35" s="1559" t="s">
        <v>11</v>
      </c>
      <c r="W35" s="1560">
        <f t="shared" si="14"/>
        <v>100</v>
      </c>
      <c r="X35" s="1553"/>
      <c r="Y35" s="3442"/>
      <c r="Z35" s="1561" t="str">
        <f t="shared" si="15"/>
        <v>建筑品质</v>
      </c>
      <c r="AA35" s="1562">
        <f t="shared" si="3"/>
        <v>1</v>
      </c>
      <c r="AB35" s="1562">
        <f t="shared" si="4"/>
        <v>1</v>
      </c>
      <c r="AC35" s="1562">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7"/>
      <c r="M36" s="2119"/>
      <c r="N36" s="2119"/>
      <c r="O36" s="2126"/>
      <c r="P36" s="3442"/>
      <c r="Q36" s="1558" t="str">
        <f t="shared" si="11"/>
        <v>公共部分装修</v>
      </c>
      <c r="R36" s="1559" t="s">
        <v>11</v>
      </c>
      <c r="S36" s="1560">
        <f t="shared" si="12"/>
        <v>100</v>
      </c>
      <c r="T36" s="1559" t="s">
        <v>11</v>
      </c>
      <c r="U36" s="1560">
        <f t="shared" si="13"/>
        <v>100</v>
      </c>
      <c r="V36" s="1559" t="s">
        <v>11</v>
      </c>
      <c r="W36" s="1560">
        <f t="shared" si="14"/>
        <v>100</v>
      </c>
      <c r="X36" s="1553"/>
      <c r="Y36" s="3442"/>
      <c r="Z36" s="1561" t="str">
        <f t="shared" si="15"/>
        <v>公共部分装修</v>
      </c>
      <c r="AA36" s="1562">
        <f t="shared" si="3"/>
        <v>1</v>
      </c>
      <c r="AB36" s="1562">
        <f t="shared" si="4"/>
        <v>1</v>
      </c>
      <c r="AC36" s="1562">
        <f t="shared" si="5"/>
        <v>1</v>
      </c>
    </row>
    <row r="37" spans="1:29" s="1215"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20"/>
      <c r="M37" s="2121"/>
      <c r="N37" s="2121"/>
      <c r="O37" s="2122"/>
      <c r="P37" s="3442"/>
      <c r="Q37" s="1146" t="str">
        <f t="shared" si="11"/>
        <v>成新度</v>
      </c>
      <c r="R37" s="1554" t="s">
        <v>11</v>
      </c>
      <c r="S37" s="1555" t="e">
        <f t="shared" si="12"/>
        <v>#N/A</v>
      </c>
      <c r="T37" s="1554" t="s">
        <v>11</v>
      </c>
      <c r="U37" s="1555" t="e">
        <f t="shared" si="13"/>
        <v>#N/A</v>
      </c>
      <c r="V37" s="1554" t="s">
        <v>11</v>
      </c>
      <c r="W37" s="1555" t="e">
        <f t="shared" si="14"/>
        <v>#N/A</v>
      </c>
      <c r="X37" s="1556"/>
      <c r="Y37" s="3442"/>
      <c r="Z37" s="1145" t="str">
        <f t="shared" si="15"/>
        <v>成新度</v>
      </c>
      <c r="AA37" s="1557" t="e">
        <f t="shared" si="3"/>
        <v>#N/A</v>
      </c>
      <c r="AB37" s="1557" t="e">
        <f t="shared" si="4"/>
        <v>#N/A</v>
      </c>
      <c r="AC37" s="1557"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7"/>
      <c r="M38" s="2119"/>
      <c r="N38" s="2119"/>
      <c r="O38" s="2126"/>
      <c r="P38" s="3442" t="s">
        <v>550</v>
      </c>
      <c r="Q38" s="1558" t="str">
        <f t="shared" si="11"/>
        <v>物业管理</v>
      </c>
      <c r="R38" s="1559" t="s">
        <v>11</v>
      </c>
      <c r="S38" s="1560">
        <f t="shared" si="12"/>
        <v>100</v>
      </c>
      <c r="T38" s="1559" t="s">
        <v>11</v>
      </c>
      <c r="U38" s="1560">
        <f t="shared" si="13"/>
        <v>100</v>
      </c>
      <c r="V38" s="1559" t="s">
        <v>11</v>
      </c>
      <c r="W38" s="1560">
        <f t="shared" si="14"/>
        <v>100</v>
      </c>
      <c r="X38" s="1553"/>
      <c r="Y38" s="3442" t="s">
        <v>550</v>
      </c>
      <c r="Z38" s="1561" t="str">
        <f t="shared" si="15"/>
        <v>物业管理</v>
      </c>
      <c r="AA38" s="1562">
        <f t="shared" si="3"/>
        <v>1</v>
      </c>
      <c r="AB38" s="1562">
        <f t="shared" si="4"/>
        <v>1</v>
      </c>
      <c r="AC38" s="1562">
        <f t="shared" si="5"/>
        <v>1</v>
      </c>
    </row>
    <row r="39" spans="1:29" ht="15">
      <c r="A39" s="594"/>
      <c r="B39" s="1880" t="s">
        <v>2564</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7"/>
      <c r="M39" s="2119"/>
      <c r="N39" s="2119"/>
      <c r="O39" s="2126"/>
      <c r="P39" s="3442"/>
      <c r="Q39" s="1558" t="str">
        <f t="shared" si="11"/>
        <v>市政基础设施</v>
      </c>
      <c r="R39" s="1559" t="s">
        <v>11</v>
      </c>
      <c r="S39" s="1560">
        <f t="shared" si="12"/>
        <v>100</v>
      </c>
      <c r="T39" s="1559" t="s">
        <v>11</v>
      </c>
      <c r="U39" s="1560">
        <f t="shared" si="13"/>
        <v>100</v>
      </c>
      <c r="V39" s="1559" t="s">
        <v>11</v>
      </c>
      <c r="W39" s="1560">
        <f t="shared" si="14"/>
        <v>100</v>
      </c>
      <c r="X39" s="1553"/>
      <c r="Y39" s="3442"/>
      <c r="Z39" s="1561" t="str">
        <f t="shared" si="15"/>
        <v>市政基础设施</v>
      </c>
      <c r="AA39" s="1562">
        <f t="shared" si="3"/>
        <v>1</v>
      </c>
      <c r="AB39" s="1562">
        <f t="shared" si="4"/>
        <v>1</v>
      </c>
      <c r="AC39" s="1562">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7"/>
      <c r="M40" s="2119"/>
      <c r="N40" s="2119"/>
      <c r="O40" s="2126"/>
      <c r="P40" s="3442"/>
      <c r="Q40" s="1558" t="str">
        <f t="shared" si="11"/>
        <v>房型</v>
      </c>
      <c r="R40" s="1559" t="s">
        <v>11</v>
      </c>
      <c r="S40" s="1560">
        <f t="shared" si="12"/>
        <v>100</v>
      </c>
      <c r="T40" s="1559" t="s">
        <v>11</v>
      </c>
      <c r="U40" s="1560">
        <f t="shared" si="13"/>
        <v>100</v>
      </c>
      <c r="V40" s="1559" t="s">
        <v>11</v>
      </c>
      <c r="W40" s="1560">
        <f t="shared" si="14"/>
        <v>100</v>
      </c>
      <c r="X40" s="1553"/>
      <c r="Y40" s="3442"/>
      <c r="Z40" s="1561" t="str">
        <f t="shared" si="15"/>
        <v>房型</v>
      </c>
      <c r="AA40" s="1562">
        <f t="shared" si="3"/>
        <v>1</v>
      </c>
      <c r="AB40" s="1562">
        <f t="shared" si="4"/>
        <v>1</v>
      </c>
      <c r="AC40" s="1562">
        <f t="shared" si="5"/>
        <v>1</v>
      </c>
    </row>
    <row r="41" spans="1:29" s="1334"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5"/>
      <c r="M41" s="2156"/>
      <c r="N41" s="2156"/>
      <c r="O41" s="2128"/>
      <c r="P41" s="3442"/>
      <c r="Q41" s="1590" t="str">
        <f t="shared" si="11"/>
        <v>单套/主力户型建筑面积</v>
      </c>
      <c r="R41" s="1563" t="s">
        <v>11</v>
      </c>
      <c r="S41" s="1564">
        <f t="shared" si="12"/>
        <v>100</v>
      </c>
      <c r="T41" s="1563" t="s">
        <v>11</v>
      </c>
      <c r="U41" s="1564">
        <f t="shared" si="13"/>
        <v>100</v>
      </c>
      <c r="V41" s="1563" t="s">
        <v>11</v>
      </c>
      <c r="W41" s="1564">
        <f t="shared" si="14"/>
        <v>100</v>
      </c>
      <c r="X41" s="1565"/>
      <c r="Y41" s="3442"/>
      <c r="Z41" s="1566" t="str">
        <f t="shared" si="15"/>
        <v>单套/主力户型建筑面积</v>
      </c>
      <c r="AA41" s="1562">
        <f t="shared" si="3"/>
        <v>1</v>
      </c>
      <c r="AB41" s="1562">
        <f t="shared" si="4"/>
        <v>1</v>
      </c>
      <c r="AC41" s="1562">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7"/>
      <c r="M42" s="2119"/>
      <c r="N42" s="2119"/>
      <c r="O42" s="2126"/>
      <c r="P42" s="3442"/>
      <c r="Q42" s="1558" t="str">
        <f t="shared" si="11"/>
        <v>内部装修</v>
      </c>
      <c r="R42" s="1559" t="s">
        <v>11</v>
      </c>
      <c r="S42" s="1560">
        <f t="shared" si="12"/>
        <v>100</v>
      </c>
      <c r="T42" s="1559" t="s">
        <v>11</v>
      </c>
      <c r="U42" s="1560">
        <f t="shared" si="13"/>
        <v>100</v>
      </c>
      <c r="V42" s="1559" t="s">
        <v>11</v>
      </c>
      <c r="W42" s="1560">
        <f t="shared" si="14"/>
        <v>100</v>
      </c>
      <c r="X42" s="1553"/>
      <c r="Y42" s="3442"/>
      <c r="Z42" s="1561" t="str">
        <f t="shared" si="15"/>
        <v>内部装修</v>
      </c>
      <c r="AA42" s="1562">
        <f t="shared" si="3"/>
        <v>1</v>
      </c>
      <c r="AB42" s="1562">
        <f t="shared" si="4"/>
        <v>1</v>
      </c>
      <c r="AC42" s="1562">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7"/>
      <c r="M43" s="2119"/>
      <c r="N43" s="2119"/>
      <c r="O43" s="2126"/>
      <c r="P43" s="3442"/>
      <c r="Q43" s="1558" t="str">
        <f t="shared" si="11"/>
        <v>内部装修维护情况</v>
      </c>
      <c r="R43" s="1559" t="s">
        <v>11</v>
      </c>
      <c r="S43" s="1560">
        <f t="shared" si="12"/>
        <v>100</v>
      </c>
      <c r="T43" s="1559" t="s">
        <v>11</v>
      </c>
      <c r="U43" s="1560">
        <f t="shared" si="13"/>
        <v>100</v>
      </c>
      <c r="V43" s="1559" t="s">
        <v>11</v>
      </c>
      <c r="W43" s="1560">
        <f t="shared" si="14"/>
        <v>100</v>
      </c>
      <c r="X43" s="1553"/>
      <c r="Y43" s="3442"/>
      <c r="Z43" s="1561" t="str">
        <f t="shared" si="15"/>
        <v>内部装修维护情况</v>
      </c>
      <c r="AA43" s="1562">
        <f t="shared" si="3"/>
        <v>1</v>
      </c>
      <c r="AB43" s="1562">
        <f t="shared" si="4"/>
        <v>1</v>
      </c>
      <c r="AC43" s="1562">
        <f t="shared" si="5"/>
        <v>1</v>
      </c>
    </row>
    <row r="44" spans="1:29" s="1215"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20"/>
      <c r="M44" s="2121"/>
      <c r="N44" s="2121"/>
      <c r="O44" s="2122"/>
      <c r="P44" s="3442"/>
      <c r="Q44" s="1146">
        <f t="shared" si="11"/>
        <v>111</v>
      </c>
      <c r="R44" s="1554" t="s">
        <v>11</v>
      </c>
      <c r="S44" s="1555">
        <f t="shared" si="12"/>
        <v>100</v>
      </c>
      <c r="T44" s="1554" t="s">
        <v>11</v>
      </c>
      <c r="U44" s="1555">
        <f t="shared" si="13"/>
        <v>100</v>
      </c>
      <c r="V44" s="1554" t="s">
        <v>11</v>
      </c>
      <c r="W44" s="1555">
        <f t="shared" si="14"/>
        <v>100</v>
      </c>
      <c r="X44" s="1556"/>
      <c r="Y44" s="3442"/>
      <c r="Z44" s="1145">
        <f t="shared" si="15"/>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7"/>
      <c r="M45" s="2119"/>
      <c r="N45" s="2119"/>
      <c r="O45" s="2126"/>
      <c r="P45" s="3442"/>
      <c r="Q45" s="1558">
        <f t="shared" si="11"/>
        <v>111</v>
      </c>
      <c r="R45" s="1559" t="s">
        <v>11</v>
      </c>
      <c r="S45" s="1560">
        <f t="shared" si="12"/>
        <v>100</v>
      </c>
      <c r="T45" s="1559" t="s">
        <v>11</v>
      </c>
      <c r="U45" s="1560">
        <f t="shared" si="13"/>
        <v>100</v>
      </c>
      <c r="V45" s="1559" t="s">
        <v>11</v>
      </c>
      <c r="W45" s="1560">
        <f t="shared" si="14"/>
        <v>100</v>
      </c>
      <c r="X45" s="1553"/>
      <c r="Y45" s="3442"/>
      <c r="Z45" s="1561">
        <f t="shared" si="15"/>
        <v>111</v>
      </c>
      <c r="AA45" s="1562">
        <f t="shared" si="3"/>
        <v>1</v>
      </c>
      <c r="AB45" s="1562">
        <f t="shared" si="4"/>
        <v>1</v>
      </c>
      <c r="AC45" s="1562">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7"/>
      <c r="M46" s="2119"/>
      <c r="N46" s="2119"/>
      <c r="O46" s="2126"/>
      <c r="P46" s="3533"/>
      <c r="Q46" s="1558">
        <f t="shared" si="11"/>
        <v>111</v>
      </c>
      <c r="R46" s="1559" t="s">
        <v>10</v>
      </c>
      <c r="S46" s="1560">
        <f t="shared" si="12"/>
        <v>100</v>
      </c>
      <c r="T46" s="1559" t="s">
        <v>10</v>
      </c>
      <c r="U46" s="1560">
        <f t="shared" si="13"/>
        <v>100</v>
      </c>
      <c r="V46" s="1559" t="s">
        <v>10</v>
      </c>
      <c r="W46" s="1560">
        <f t="shared" si="14"/>
        <v>100</v>
      </c>
      <c r="X46" s="1553"/>
      <c r="Y46" s="3533"/>
      <c r="Z46" s="1561">
        <f t="shared" si="15"/>
        <v>111</v>
      </c>
      <c r="AA46" s="1562">
        <f t="shared" si="3"/>
        <v>1</v>
      </c>
      <c r="AB46" s="1562">
        <f t="shared" si="4"/>
        <v>1</v>
      </c>
      <c r="AC46" s="1562">
        <f t="shared" si="5"/>
        <v>1</v>
      </c>
    </row>
    <row r="47" spans="1:29" ht="15">
      <c r="A47" s="607" t="s">
        <v>736</v>
      </c>
      <c r="B47" s="886"/>
      <c r="C47" s="2591" t="s">
        <v>9</v>
      </c>
      <c r="D47" s="2592"/>
      <c r="E47" s="2593"/>
      <c r="F47" s="2594"/>
      <c r="G47" s="2595"/>
      <c r="H47" s="2596"/>
      <c r="I47" s="2593"/>
      <c r="J47" s="2596"/>
      <c r="K47" s="1591"/>
      <c r="L47" s="2129"/>
      <c r="M47" s="2130"/>
      <c r="N47" s="2119"/>
      <c r="O47" s="2130"/>
      <c r="P47" s="3437" t="str">
        <f>A47</f>
        <v>成交单价（元/平方米）</v>
      </c>
      <c r="Q47" s="3437"/>
      <c r="R47" s="3532">
        <f>E47</f>
        <v>0</v>
      </c>
      <c r="S47" s="3532"/>
      <c r="T47" s="3532">
        <f>G47</f>
        <v>0</v>
      </c>
      <c r="U47" s="3532"/>
      <c r="V47" s="3532">
        <f>I47</f>
        <v>0</v>
      </c>
      <c r="W47" s="3532"/>
      <c r="X47" s="1545"/>
      <c r="Y47" s="1567"/>
      <c r="Z47" s="1545"/>
      <c r="AA47" s="1545"/>
      <c r="AB47" s="1545"/>
      <c r="AC47" s="1545"/>
    </row>
    <row r="48" spans="1:29" ht="15.75" thickBot="1">
      <c r="A48" s="615" t="s">
        <v>2760</v>
      </c>
      <c r="B48" s="887"/>
      <c r="C48" s="2597" t="e">
        <f>R49</f>
        <v>#DIV/0!</v>
      </c>
      <c r="D48" s="2598"/>
      <c r="E48" s="2599" t="e">
        <f>R48</f>
        <v>#DIV/0!</v>
      </c>
      <c r="F48" s="2599"/>
      <c r="G48" s="2597" t="e">
        <f>T48</f>
        <v>#DIV/0!</v>
      </c>
      <c r="H48" s="2598"/>
      <c r="I48" s="2599" t="e">
        <f>V48</f>
        <v>#DIV/0!</v>
      </c>
      <c r="J48" s="2598"/>
      <c r="K48" s="1592"/>
      <c r="L48" s="2129"/>
      <c r="M48" s="2130"/>
      <c r="N48" s="2130"/>
      <c r="O48" s="2130"/>
      <c r="P48" s="3437" t="str">
        <f>A48</f>
        <v>比较价格（元/平方米）</v>
      </c>
      <c r="Q48" s="3437"/>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45"/>
      <c r="Y48" s="1545"/>
      <c r="Z48" s="1545"/>
      <c r="AA48" s="1545"/>
      <c r="AB48" s="1545"/>
      <c r="AC48" s="1545"/>
    </row>
    <row r="49" spans="1:29" ht="15.75" thickBot="1">
      <c r="A49" s="621" t="s">
        <v>2936</v>
      </c>
      <c r="B49" s="622"/>
      <c r="C49" s="2600" t="e">
        <f>R49</f>
        <v>#DIV/0!</v>
      </c>
      <c r="D49" s="2600"/>
      <c r="E49" s="2600"/>
      <c r="F49" s="2600"/>
      <c r="G49" s="2600"/>
      <c r="H49" s="2600"/>
      <c r="I49" s="2600"/>
      <c r="J49" s="2600"/>
      <c r="K49" s="1593"/>
      <c r="L49" s="2129"/>
      <c r="M49" s="2130"/>
      <c r="N49" s="2130"/>
      <c r="O49" s="2130"/>
      <c r="P49" s="3458" t="str">
        <f>A49</f>
        <v>估价对象XX用房的比较价格（楼面单价，元/平方米）</v>
      </c>
      <c r="Q49" s="3459"/>
      <c r="R49" s="3531" t="e">
        <f>IF(F1="售价",ROUND(AVERAGE(R48:V48),0),ROUND(AVERAGE(R48:V48),1))</f>
        <v>#DIV/0!</v>
      </c>
      <c r="S49" s="3531"/>
      <c r="T49" s="3531"/>
      <c r="U49" s="3531"/>
      <c r="V49" s="3531"/>
      <c r="W49" s="3531"/>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2257</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43" t="s">
        <v>522</v>
      </c>
      <c r="D4" s="3444"/>
      <c r="E4" s="3467" t="s">
        <v>523</v>
      </c>
      <c r="F4" s="3468"/>
      <c r="G4" s="3443" t="s">
        <v>524</v>
      </c>
      <c r="H4" s="3444"/>
      <c r="I4" s="3443" t="s">
        <v>525</v>
      </c>
      <c r="J4" s="3444"/>
      <c r="K4" s="514" t="s">
        <v>526</v>
      </c>
      <c r="L4" s="2118"/>
      <c r="M4" s="2119"/>
      <c r="N4" s="2119"/>
      <c r="O4" s="2119"/>
      <c r="P4" s="3445" t="s">
        <v>527</v>
      </c>
      <c r="Q4" s="3446"/>
      <c r="R4" s="3431" t="s">
        <v>523</v>
      </c>
      <c r="S4" s="3432"/>
      <c r="T4" s="3431" t="s">
        <v>524</v>
      </c>
      <c r="U4" s="3432"/>
      <c r="V4" s="3451" t="s">
        <v>525</v>
      </c>
      <c r="W4" s="3451"/>
      <c r="X4" s="1553"/>
      <c r="Y4" s="3431" t="s">
        <v>527</v>
      </c>
      <c r="Z4" s="3432"/>
      <c r="AA4" s="3426" t="s">
        <v>523</v>
      </c>
      <c r="AB4" s="3451" t="s">
        <v>524</v>
      </c>
      <c r="AC4" s="3426" t="s">
        <v>525</v>
      </c>
    </row>
    <row r="5" spans="1:29" ht="15">
      <c r="A5" s="515"/>
      <c r="B5" s="516"/>
      <c r="C5" s="3454" t="s">
        <v>2930</v>
      </c>
      <c r="D5" s="3455"/>
      <c r="E5" s="3469" t="s">
        <v>2931</v>
      </c>
      <c r="F5" s="3470"/>
      <c r="G5" s="3454" t="s">
        <v>2932</v>
      </c>
      <c r="H5" s="3455"/>
      <c r="I5" s="3454" t="s">
        <v>2933</v>
      </c>
      <c r="J5" s="3455"/>
      <c r="K5" s="514"/>
      <c r="L5" s="2118"/>
      <c r="M5" s="2119"/>
      <c r="N5" s="2119"/>
      <c r="O5" s="2119"/>
      <c r="P5" s="3447"/>
      <c r="Q5" s="3448"/>
      <c r="R5" s="3433"/>
      <c r="S5" s="3434"/>
      <c r="T5" s="3433"/>
      <c r="U5" s="3434"/>
      <c r="V5" s="3451"/>
      <c r="W5" s="3451"/>
      <c r="X5" s="1553"/>
      <c r="Y5" s="3433"/>
      <c r="Z5" s="3434"/>
      <c r="AA5" s="3427"/>
      <c r="AB5" s="3451"/>
      <c r="AC5" s="3427"/>
    </row>
    <row r="6" spans="1:29" ht="15.75" thickBot="1">
      <c r="A6" s="517"/>
      <c r="B6" s="518"/>
      <c r="C6" s="3452" t="s">
        <v>2934</v>
      </c>
      <c r="D6" s="3453"/>
      <c r="E6" s="3471" t="s">
        <v>2934</v>
      </c>
      <c r="F6" s="3472"/>
      <c r="G6" s="3452" t="s">
        <v>2934</v>
      </c>
      <c r="H6" s="3453"/>
      <c r="I6" s="3452" t="s">
        <v>2934</v>
      </c>
      <c r="J6" s="3453"/>
      <c r="K6" s="514" t="s">
        <v>528</v>
      </c>
      <c r="L6" s="2118"/>
      <c r="M6" s="2119"/>
      <c r="N6" s="2119"/>
      <c r="O6" s="2119"/>
      <c r="P6" s="3449"/>
      <c r="Q6" s="3450"/>
      <c r="R6" s="3433"/>
      <c r="S6" s="3434"/>
      <c r="T6" s="3435"/>
      <c r="U6" s="3436"/>
      <c r="V6" s="3451"/>
      <c r="W6" s="3451"/>
      <c r="X6" s="1553"/>
      <c r="Y6" s="3435"/>
      <c r="Z6" s="3436"/>
      <c r="AA6" s="3428"/>
      <c r="AB6" s="3451"/>
      <c r="AC6" s="3428"/>
    </row>
    <row r="7" spans="1:29" s="1215" customFormat="1" ht="15.75" thickBot="1">
      <c r="A7" s="2867"/>
      <c r="B7" s="2874" t="s">
        <v>529</v>
      </c>
      <c r="C7" s="519">
        <f>'数据-取费表'!B2</f>
        <v>43646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29" t="s">
        <v>530</v>
      </c>
      <c r="Q7" s="3438"/>
      <c r="R7" s="1554" t="s">
        <v>8</v>
      </c>
      <c r="S7" s="1555">
        <f t="shared" ref="S7:S15" si="0">F7</f>
        <v>0</v>
      </c>
      <c r="T7" s="1554" t="s">
        <v>8</v>
      </c>
      <c r="U7" s="1555">
        <f t="shared" ref="U7:U15" si="1">H7</f>
        <v>0</v>
      </c>
      <c r="V7" s="1554" t="s">
        <v>8</v>
      </c>
      <c r="W7" s="1555">
        <f t="shared" ref="W7:W15" si="2">J7</f>
        <v>0</v>
      </c>
      <c r="X7" s="1556"/>
      <c r="Y7" s="3429" t="s">
        <v>530</v>
      </c>
      <c r="Z7" s="3430"/>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29" t="s">
        <v>533</v>
      </c>
      <c r="Q8" s="3430"/>
      <c r="R8" s="1554" t="s">
        <v>8</v>
      </c>
      <c r="S8" s="1555">
        <f t="shared" si="0"/>
        <v>0</v>
      </c>
      <c r="T8" s="1554" t="s">
        <v>8</v>
      </c>
      <c r="U8" s="1555">
        <f t="shared" si="1"/>
        <v>0</v>
      </c>
      <c r="V8" s="1554" t="s">
        <v>8</v>
      </c>
      <c r="W8" s="1555">
        <f t="shared" si="2"/>
        <v>0</v>
      </c>
      <c r="X8" s="1556"/>
      <c r="Y8" s="3429" t="s">
        <v>533</v>
      </c>
      <c r="Z8" s="3430"/>
      <c r="AA8" s="1557" t="e">
        <f t="shared" ref="AA8:AA46" si="3">D8/F8</f>
        <v>#DIV/0!</v>
      </c>
      <c r="AB8" s="1557" t="e">
        <f t="shared" ref="AB8:AB46" si="4">D8/H8</f>
        <v>#DIV/0!</v>
      </c>
      <c r="AC8" s="1557" t="e">
        <f t="shared" ref="AC8:AC46" si="5">D8/J8</f>
        <v>#DIV/0!</v>
      </c>
    </row>
    <row r="9" spans="1:29" s="1215" customFormat="1" ht="15">
      <c r="A9" s="2869"/>
      <c r="B9" s="2876" t="s">
        <v>2756</v>
      </c>
      <c r="C9" s="856"/>
      <c r="D9" s="254">
        <v>100</v>
      </c>
      <c r="E9" s="859"/>
      <c r="F9" s="254">
        <f>SUMIF(63:63,E9,64:64)-SUMIF(63:63,C9,64:64)+100</f>
        <v>100</v>
      </c>
      <c r="G9" s="857"/>
      <c r="H9" s="254">
        <f>SUMIF(63:63,G9,64:64)-SUMIF(63:63,C9,64:64)+100</f>
        <v>100</v>
      </c>
      <c r="I9" s="857"/>
      <c r="J9" s="254">
        <f>SUMIF(63:63,I9,64:64)-SUMIF(63:63,C9,64:64)+100</f>
        <v>100</v>
      </c>
      <c r="K9" s="524"/>
      <c r="L9" s="2120"/>
      <c r="M9" s="2121"/>
      <c r="N9" s="2121"/>
      <c r="O9" s="2122"/>
      <c r="P9" s="3437" t="s">
        <v>535</v>
      </c>
      <c r="Q9" s="1146" t="str">
        <f t="shared" ref="Q9:Q15" si="6">B9</f>
        <v>用途</v>
      </c>
      <c r="R9" s="1554" t="s">
        <v>8</v>
      </c>
      <c r="S9" s="1555">
        <f t="shared" si="0"/>
        <v>100</v>
      </c>
      <c r="T9" s="1554" t="s">
        <v>8</v>
      </c>
      <c r="U9" s="1555">
        <f t="shared" si="1"/>
        <v>100</v>
      </c>
      <c r="V9" s="1554" t="s">
        <v>8</v>
      </c>
      <c r="W9" s="1555">
        <f t="shared" si="2"/>
        <v>100</v>
      </c>
      <c r="X9" s="1556"/>
      <c r="Y9" s="3394" t="s">
        <v>536</v>
      </c>
      <c r="Z9" s="1145" t="str">
        <f t="shared" ref="Z9:Z15" si="7">Q9</f>
        <v>用途</v>
      </c>
      <c r="AA9" s="1557">
        <f t="shared" si="3"/>
        <v>1</v>
      </c>
      <c r="AB9" s="1557">
        <f t="shared" si="4"/>
        <v>1</v>
      </c>
      <c r="AC9" s="1557">
        <f t="shared" si="5"/>
        <v>1</v>
      </c>
    </row>
    <row r="10" spans="1:29" s="1333" customFormat="1" ht="27">
      <c r="A10" s="2870"/>
      <c r="B10" s="2875" t="s">
        <v>2757</v>
      </c>
      <c r="C10" s="860"/>
      <c r="D10" s="255">
        <v>100</v>
      </c>
      <c r="E10" s="860"/>
      <c r="F10" s="255">
        <f>SUMIF(65:65,E10,66:66)-SUMIF(65:65,C10,66:66)+100</f>
        <v>100</v>
      </c>
      <c r="G10" s="861"/>
      <c r="H10" s="255">
        <f>SUMIF(65:65,G10,66:66)-SUMIF(65:65,C10,66:66)+100</f>
        <v>100</v>
      </c>
      <c r="I10" s="860"/>
      <c r="J10" s="255">
        <f>SUMIF(65:65,I10,66:66)-SUMIF(65:65,C10,66:66)+100</f>
        <v>100</v>
      </c>
      <c r="K10" s="584"/>
      <c r="L10" s="2123"/>
      <c r="M10" s="2163"/>
      <c r="N10" s="2163"/>
      <c r="O10" s="2124"/>
      <c r="P10" s="3437"/>
      <c r="Q10" s="1146" t="str">
        <f t="shared" si="6"/>
        <v>土地使用年限（年）</v>
      </c>
      <c r="R10" s="1554" t="s">
        <v>8</v>
      </c>
      <c r="S10" s="1555">
        <f t="shared" si="0"/>
        <v>100</v>
      </c>
      <c r="T10" s="1554" t="s">
        <v>8</v>
      </c>
      <c r="U10" s="1555">
        <f t="shared" si="1"/>
        <v>100</v>
      </c>
      <c r="V10" s="1554" t="s">
        <v>8</v>
      </c>
      <c r="W10" s="1555">
        <f t="shared" si="2"/>
        <v>100</v>
      </c>
      <c r="X10" s="1556"/>
      <c r="Y10" s="3394"/>
      <c r="Z10" s="1145"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37"/>
      <c r="Q11" s="1146" t="str">
        <f t="shared" si="6"/>
        <v>容积率</v>
      </c>
      <c r="R11" s="1554" t="s">
        <v>8</v>
      </c>
      <c r="S11" s="1555" t="e">
        <f t="shared" si="0"/>
        <v>#N/A</v>
      </c>
      <c r="T11" s="1554" t="s">
        <v>8</v>
      </c>
      <c r="U11" s="1555" t="e">
        <f t="shared" si="1"/>
        <v>#N/A</v>
      </c>
      <c r="V11" s="1554" t="s">
        <v>8</v>
      </c>
      <c r="W11" s="1555" t="e">
        <f t="shared" si="2"/>
        <v>#N/A</v>
      </c>
      <c r="X11" s="1556"/>
      <c r="Y11" s="339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37"/>
      <c r="Q12" s="1146">
        <f t="shared" si="6"/>
        <v>111</v>
      </c>
      <c r="R12" s="1554" t="s">
        <v>8</v>
      </c>
      <c r="S12" s="1555">
        <f t="shared" si="0"/>
        <v>100</v>
      </c>
      <c r="T12" s="1554" t="s">
        <v>8</v>
      </c>
      <c r="U12" s="1555">
        <f t="shared" si="1"/>
        <v>100</v>
      </c>
      <c r="V12" s="1554" t="s">
        <v>8</v>
      </c>
      <c r="W12" s="1555">
        <f t="shared" si="2"/>
        <v>100</v>
      </c>
      <c r="X12" s="1556"/>
      <c r="Y12" s="3394"/>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37"/>
      <c r="Q13" s="1146">
        <f t="shared" si="6"/>
        <v>111</v>
      </c>
      <c r="R13" s="1554" t="s">
        <v>8</v>
      </c>
      <c r="S13" s="1555">
        <f t="shared" si="0"/>
        <v>100</v>
      </c>
      <c r="T13" s="1554" t="s">
        <v>8</v>
      </c>
      <c r="U13" s="1555">
        <f t="shared" si="1"/>
        <v>100</v>
      </c>
      <c r="V13" s="1554" t="s">
        <v>8</v>
      </c>
      <c r="W13" s="1555">
        <f t="shared" si="2"/>
        <v>100</v>
      </c>
      <c r="X13" s="1556"/>
      <c r="Y13" s="3394"/>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37"/>
      <c r="Q14" s="1146">
        <f t="shared" si="6"/>
        <v>111</v>
      </c>
      <c r="R14" s="1554" t="s">
        <v>8</v>
      </c>
      <c r="S14" s="1555">
        <f t="shared" si="0"/>
        <v>100</v>
      </c>
      <c r="T14" s="1554" t="s">
        <v>8</v>
      </c>
      <c r="U14" s="1555">
        <f t="shared" si="1"/>
        <v>100</v>
      </c>
      <c r="V14" s="1554" t="s">
        <v>8</v>
      </c>
      <c r="W14" s="1555">
        <f t="shared" si="2"/>
        <v>100</v>
      </c>
      <c r="X14" s="1556"/>
      <c r="Y14" s="3394"/>
      <c r="Z14" s="1145">
        <f t="shared" si="7"/>
        <v>111</v>
      </c>
      <c r="AA14" s="1557">
        <f t="shared" si="3"/>
        <v>1</v>
      </c>
      <c r="AB14" s="1557">
        <f t="shared" si="4"/>
        <v>1</v>
      </c>
      <c r="AC14" s="1557">
        <f t="shared" si="5"/>
        <v>1</v>
      </c>
    </row>
    <row r="15" spans="1:29" ht="71.25">
      <c r="A15" s="2865" t="s">
        <v>2754</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39" t="s">
        <v>540</v>
      </c>
      <c r="Q15" s="1558" t="str">
        <f t="shared" si="6"/>
        <v>商业繁华度</v>
      </c>
      <c r="R15" s="1559" t="s">
        <v>8</v>
      </c>
      <c r="S15" s="1560">
        <f t="shared" si="0"/>
        <v>100</v>
      </c>
      <c r="T15" s="1559" t="s">
        <v>8</v>
      </c>
      <c r="U15" s="1560">
        <f t="shared" si="1"/>
        <v>100</v>
      </c>
      <c r="V15" s="1559" t="s">
        <v>8</v>
      </c>
      <c r="W15" s="1560">
        <f t="shared" si="2"/>
        <v>100</v>
      </c>
      <c r="X15" s="1553"/>
      <c r="Y15" s="3439" t="s">
        <v>540</v>
      </c>
      <c r="Z15" s="1561" t="str">
        <f t="shared" si="7"/>
        <v>商业繁华度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440"/>
      <c r="Q16" s="1558"/>
      <c r="R16" s="1559"/>
      <c r="S16" s="1560"/>
      <c r="T16" s="1559"/>
      <c r="U16" s="1560"/>
      <c r="V16" s="1559"/>
      <c r="W16" s="1560"/>
      <c r="X16" s="1553"/>
      <c r="Y16" s="3440"/>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40"/>
      <c r="Q17" s="1558" t="str">
        <f>B17</f>
        <v>交通便捷度</v>
      </c>
      <c r="R17" s="1559" t="s">
        <v>8</v>
      </c>
      <c r="S17" s="1560">
        <f>F17</f>
        <v>100</v>
      </c>
      <c r="T17" s="1559" t="s">
        <v>8</v>
      </c>
      <c r="U17" s="1560">
        <f>H17</f>
        <v>100</v>
      </c>
      <c r="V17" s="1559" t="s">
        <v>8</v>
      </c>
      <c r="W17" s="1560">
        <f>J17</f>
        <v>100</v>
      </c>
      <c r="X17" s="1553"/>
      <c r="Y17" s="3440"/>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440"/>
      <c r="Q18" s="1558"/>
      <c r="R18" s="1559"/>
      <c r="S18" s="1560"/>
      <c r="T18" s="1559"/>
      <c r="U18" s="1560"/>
      <c r="V18" s="1559"/>
      <c r="W18" s="1560"/>
      <c r="X18" s="1553"/>
      <c r="Y18" s="3440"/>
      <c r="Z18" s="1561"/>
      <c r="AA18" s="1562">
        <v>1</v>
      </c>
      <c r="AB18" s="1562">
        <v>1</v>
      </c>
      <c r="AC18" s="1562">
        <v>1</v>
      </c>
    </row>
    <row r="19" spans="1:29" ht="42.75">
      <c r="A19" s="532"/>
      <c r="B19" s="2564" t="s">
        <v>2546</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40"/>
      <c r="Q19" s="1558" t="str">
        <f>B19</f>
        <v>公共配套设施</v>
      </c>
      <c r="R19" s="1559" t="s">
        <v>8</v>
      </c>
      <c r="S19" s="1560">
        <f>F19</f>
        <v>100</v>
      </c>
      <c r="T19" s="1559" t="s">
        <v>8</v>
      </c>
      <c r="U19" s="1560">
        <f>H19</f>
        <v>100</v>
      </c>
      <c r="V19" s="1559" t="s">
        <v>8</v>
      </c>
      <c r="W19" s="1560">
        <f>J19</f>
        <v>100</v>
      </c>
      <c r="X19" s="1553"/>
      <c r="Y19" s="344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40"/>
      <c r="Q20" s="1558"/>
      <c r="R20" s="1559"/>
      <c r="S20" s="1560"/>
      <c r="T20" s="1559"/>
      <c r="U20" s="1560"/>
      <c r="V20" s="1559"/>
      <c r="W20" s="1560"/>
      <c r="X20" s="1553"/>
      <c r="Y20" s="3440"/>
      <c r="Z20" s="1561"/>
      <c r="AA20" s="1562">
        <v>1</v>
      </c>
      <c r="AB20" s="1562">
        <v>1</v>
      </c>
      <c r="AC20" s="1562">
        <v>1</v>
      </c>
    </row>
    <row r="21" spans="1:29" ht="28.5">
      <c r="A21" s="532"/>
      <c r="B21" s="2557" t="s">
        <v>2558</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40"/>
      <c r="Q21" s="2543" t="str">
        <f>B21</f>
        <v>基础设施水平</v>
      </c>
      <c r="R21" s="1559" t="s">
        <v>8</v>
      </c>
      <c r="S21" s="1560">
        <f>F21</f>
        <v>100</v>
      </c>
      <c r="T21" s="1559" t="s">
        <v>8</v>
      </c>
      <c r="U21" s="1560">
        <f>H21</f>
        <v>100</v>
      </c>
      <c r="V21" s="1559" t="s">
        <v>8</v>
      </c>
      <c r="W21" s="1560">
        <f>J21</f>
        <v>100</v>
      </c>
      <c r="X21" s="2545"/>
      <c r="Y21" s="3440"/>
      <c r="Z21" s="2544" t="str">
        <f>Q21</f>
        <v>基础设施水平</v>
      </c>
      <c r="AA21" s="1562">
        <f t="shared" ref="AA21" si="8">D21/F21</f>
        <v>1</v>
      </c>
      <c r="AB21" s="1562">
        <f t="shared" ref="AB21" si="9">D21/H21</f>
        <v>1</v>
      </c>
      <c r="AC21" s="1562">
        <f t="shared" ref="AC21" si="10">D21/J21</f>
        <v>1</v>
      </c>
    </row>
    <row r="22" spans="1:29" ht="15">
      <c r="A22" s="532"/>
      <c r="B22" s="921"/>
      <c r="C22" s="872"/>
      <c r="D22" s="555"/>
      <c r="E22" s="576"/>
      <c r="F22" s="557"/>
      <c r="G22" s="576"/>
      <c r="H22" s="555"/>
      <c r="I22" s="576"/>
      <c r="J22" s="555"/>
      <c r="K22" s="2566"/>
      <c r="L22" s="2127"/>
      <c r="M22" s="2119"/>
      <c r="N22" s="2119"/>
      <c r="O22" s="2126"/>
      <c r="P22" s="3440"/>
      <c r="Q22" s="2543"/>
      <c r="R22" s="1559"/>
      <c r="S22" s="1560"/>
      <c r="T22" s="1559"/>
      <c r="U22" s="1560"/>
      <c r="V22" s="1559"/>
      <c r="W22" s="1560"/>
      <c r="X22" s="2545"/>
      <c r="Y22" s="3440"/>
      <c r="Z22" s="2544"/>
      <c r="AA22" s="1562">
        <v>1</v>
      </c>
      <c r="AB22" s="1562">
        <v>1</v>
      </c>
      <c r="AC22" s="1562">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40"/>
      <c r="Q23" s="1558" t="str">
        <f>B23</f>
        <v>自然及人文环境</v>
      </c>
      <c r="R23" s="1559" t="s">
        <v>8</v>
      </c>
      <c r="S23" s="1560">
        <f>F23</f>
        <v>100</v>
      </c>
      <c r="T23" s="1559" t="s">
        <v>8</v>
      </c>
      <c r="U23" s="1560">
        <f>H23</f>
        <v>100</v>
      </c>
      <c r="V23" s="1559" t="s">
        <v>8</v>
      </c>
      <c r="W23" s="1560">
        <f>J23</f>
        <v>100</v>
      </c>
      <c r="X23" s="1553"/>
      <c r="Y23" s="344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40"/>
      <c r="Q24" s="1558"/>
      <c r="R24" s="1559"/>
      <c r="S24" s="1560"/>
      <c r="T24" s="1559"/>
      <c r="U24" s="1560"/>
      <c r="V24" s="1559"/>
      <c r="W24" s="1560"/>
      <c r="X24" s="1553"/>
      <c r="Y24" s="3440"/>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40"/>
      <c r="Q25" s="1558" t="str">
        <f t="shared" ref="Q25:Q46" si="11">B25</f>
        <v>临街状况</v>
      </c>
      <c r="R25" s="1559" t="s">
        <v>8</v>
      </c>
      <c r="S25" s="1560">
        <f>F25</f>
        <v>100</v>
      </c>
      <c r="T25" s="1559" t="s">
        <v>8</v>
      </c>
      <c r="U25" s="1560">
        <f>H25</f>
        <v>100</v>
      </c>
      <c r="V25" s="1559" t="s">
        <v>8</v>
      </c>
      <c r="W25" s="1560">
        <f>J25</f>
        <v>100</v>
      </c>
      <c r="X25" s="1553"/>
      <c r="Y25" s="3440"/>
      <c r="Z25" s="1561" t="str">
        <f>Q25</f>
        <v>临街状况</v>
      </c>
      <c r="AA25" s="1562">
        <f t="shared" si="3"/>
        <v>1</v>
      </c>
      <c r="AB25" s="1562">
        <f t="shared" si="4"/>
        <v>1</v>
      </c>
      <c r="AC25" s="1562">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40"/>
      <c r="Q26" s="1558" t="str">
        <f t="shared" si="11"/>
        <v>平面位置/可视性</v>
      </c>
      <c r="R26" s="1559" t="s">
        <v>8</v>
      </c>
      <c r="S26" s="1560">
        <f>F26</f>
        <v>100</v>
      </c>
      <c r="T26" s="1559" t="s">
        <v>8</v>
      </c>
      <c r="U26" s="1560">
        <f>H26</f>
        <v>100</v>
      </c>
      <c r="V26" s="1559" t="s">
        <v>8</v>
      </c>
      <c r="W26" s="1560">
        <f>J26</f>
        <v>100</v>
      </c>
      <c r="X26" s="1553"/>
      <c r="Y26" s="3440"/>
      <c r="Z26" s="1561" t="str">
        <f>Q26</f>
        <v>平面位置/可视性</v>
      </c>
      <c r="AA26" s="1562">
        <f t="shared" si="3"/>
        <v>1</v>
      </c>
      <c r="AB26" s="1562">
        <f t="shared" si="4"/>
        <v>1</v>
      </c>
      <c r="AC26" s="1562">
        <f t="shared" si="5"/>
        <v>1</v>
      </c>
    </row>
    <row r="27" spans="1:29" s="1215"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20"/>
      <c r="M27" s="2121"/>
      <c r="N27" s="2121"/>
      <c r="O27" s="2122"/>
      <c r="P27" s="3440"/>
      <c r="Q27" s="1146" t="str">
        <f t="shared" si="11"/>
        <v>人流量</v>
      </c>
      <c r="R27" s="1554" t="s">
        <v>8</v>
      </c>
      <c r="S27" s="1555">
        <f>F27</f>
        <v>100</v>
      </c>
      <c r="T27" s="1554" t="s">
        <v>8</v>
      </c>
      <c r="U27" s="1555">
        <f>H27</f>
        <v>100</v>
      </c>
      <c r="V27" s="1554" t="s">
        <v>8</v>
      </c>
      <c r="W27" s="1555">
        <f>J27</f>
        <v>100</v>
      </c>
      <c r="X27" s="1556"/>
      <c r="Y27" s="3440"/>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40"/>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40"/>
      <c r="Z28" s="1561" t="str">
        <f t="shared" ref="Z28:Z46" si="15">Q28</f>
        <v>楼层</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40"/>
      <c r="Q29" s="1558">
        <f t="shared" si="11"/>
        <v>111</v>
      </c>
      <c r="R29" s="1559" t="s">
        <v>8</v>
      </c>
      <c r="S29" s="1560">
        <f t="shared" si="12"/>
        <v>100</v>
      </c>
      <c r="T29" s="1559" t="s">
        <v>8</v>
      </c>
      <c r="U29" s="1560">
        <f t="shared" si="13"/>
        <v>100</v>
      </c>
      <c r="V29" s="1559" t="s">
        <v>8</v>
      </c>
      <c r="W29" s="1560">
        <f t="shared" si="14"/>
        <v>100</v>
      </c>
      <c r="X29" s="1553"/>
      <c r="Y29" s="3440"/>
      <c r="Z29" s="1561">
        <f t="shared" si="15"/>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40"/>
      <c r="Q30" s="1558">
        <f t="shared" si="11"/>
        <v>111</v>
      </c>
      <c r="R30" s="1559" t="s">
        <v>8</v>
      </c>
      <c r="S30" s="1560">
        <f t="shared" si="12"/>
        <v>100</v>
      </c>
      <c r="T30" s="1559" t="s">
        <v>8</v>
      </c>
      <c r="U30" s="1560">
        <f t="shared" si="13"/>
        <v>100</v>
      </c>
      <c r="V30" s="1559" t="s">
        <v>8</v>
      </c>
      <c r="W30" s="1560">
        <f t="shared" si="14"/>
        <v>100</v>
      </c>
      <c r="X30" s="1553"/>
      <c r="Y30" s="3440"/>
      <c r="Z30" s="1561">
        <f t="shared" si="15"/>
        <v>111</v>
      </c>
      <c r="AA30" s="1562">
        <f t="shared" si="3"/>
        <v>1</v>
      </c>
      <c r="AB30" s="1562">
        <f t="shared" si="4"/>
        <v>1</v>
      </c>
      <c r="AC30" s="1562">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7"/>
      <c r="M31" s="2119"/>
      <c r="N31" s="2119"/>
      <c r="O31" s="2126"/>
      <c r="P31" s="3440"/>
      <c r="Q31" s="1558">
        <f t="shared" si="11"/>
        <v>111</v>
      </c>
      <c r="R31" s="1559" t="s">
        <v>8</v>
      </c>
      <c r="S31" s="1560">
        <f t="shared" si="12"/>
        <v>100</v>
      </c>
      <c r="T31" s="1559" t="s">
        <v>8</v>
      </c>
      <c r="U31" s="1560">
        <f t="shared" si="13"/>
        <v>100</v>
      </c>
      <c r="V31" s="1559" t="s">
        <v>8</v>
      </c>
      <c r="W31" s="1560">
        <f t="shared" si="14"/>
        <v>100</v>
      </c>
      <c r="X31" s="1553"/>
      <c r="Y31" s="3440"/>
      <c r="Z31" s="1561">
        <f t="shared" si="15"/>
        <v>111</v>
      </c>
      <c r="AA31" s="1562">
        <f t="shared" si="3"/>
        <v>1</v>
      </c>
      <c r="AB31" s="1562">
        <f t="shared" si="4"/>
        <v>1</v>
      </c>
      <c r="AC31" s="1562">
        <f t="shared" si="5"/>
        <v>1</v>
      </c>
    </row>
    <row r="32" spans="1:29" ht="15">
      <c r="A32" s="2862" t="s">
        <v>2755</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7"/>
      <c r="M32" s="2119"/>
      <c r="N32" s="2119"/>
      <c r="O32" s="2126"/>
      <c r="P32" s="3441" t="s">
        <v>550</v>
      </c>
      <c r="Q32" s="1558" t="str">
        <f t="shared" si="11"/>
        <v>商业类型</v>
      </c>
      <c r="R32" s="1559" t="s">
        <v>8</v>
      </c>
      <c r="S32" s="1560">
        <f t="shared" si="12"/>
        <v>100</v>
      </c>
      <c r="T32" s="1559" t="s">
        <v>8</v>
      </c>
      <c r="U32" s="1560">
        <f t="shared" si="13"/>
        <v>100</v>
      </c>
      <c r="V32" s="1559" t="s">
        <v>8</v>
      </c>
      <c r="W32" s="1560">
        <f t="shared" si="14"/>
        <v>100</v>
      </c>
      <c r="X32" s="1553"/>
      <c r="Y32" s="3442"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42"/>
      <c r="Q33" s="1590" t="str">
        <f t="shared" si="11"/>
        <v>项目建筑规模</v>
      </c>
      <c r="R33" s="1563" t="s">
        <v>8</v>
      </c>
      <c r="S33" s="1564" t="e">
        <f t="shared" si="12"/>
        <v>#N/A</v>
      </c>
      <c r="T33" s="1563" t="s">
        <v>8</v>
      </c>
      <c r="U33" s="1564" t="e">
        <f t="shared" si="13"/>
        <v>#N/A</v>
      </c>
      <c r="V33" s="1563" t="s">
        <v>8</v>
      </c>
      <c r="W33" s="1564" t="e">
        <f t="shared" si="14"/>
        <v>#N/A</v>
      </c>
      <c r="X33" s="1565"/>
      <c r="Y33" s="3442"/>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42"/>
      <c r="Q34" s="1558" t="str">
        <f t="shared" si="11"/>
        <v>建筑结构</v>
      </c>
      <c r="R34" s="1559" t="s">
        <v>8</v>
      </c>
      <c r="S34" s="1560">
        <f t="shared" si="12"/>
        <v>100</v>
      </c>
      <c r="T34" s="1559" t="s">
        <v>8</v>
      </c>
      <c r="U34" s="1560">
        <f t="shared" si="13"/>
        <v>100</v>
      </c>
      <c r="V34" s="1559" t="s">
        <v>8</v>
      </c>
      <c r="W34" s="1560">
        <f t="shared" si="14"/>
        <v>100</v>
      </c>
      <c r="X34" s="1553"/>
      <c r="Y34" s="3442"/>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42"/>
      <c r="Q35" s="1558" t="str">
        <f t="shared" si="11"/>
        <v>公共部分装修</v>
      </c>
      <c r="R35" s="1559" t="s">
        <v>8</v>
      </c>
      <c r="S35" s="1560">
        <f t="shared" si="12"/>
        <v>100</v>
      </c>
      <c r="T35" s="1559" t="s">
        <v>8</v>
      </c>
      <c r="U35" s="1560">
        <f t="shared" si="13"/>
        <v>100</v>
      </c>
      <c r="V35" s="1559" t="s">
        <v>8</v>
      </c>
      <c r="W35" s="1560">
        <f t="shared" si="14"/>
        <v>100</v>
      </c>
      <c r="X35" s="1553"/>
      <c r="Y35" s="3442"/>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42"/>
      <c r="Q36" s="1558" t="str">
        <f t="shared" si="11"/>
        <v>成新度</v>
      </c>
      <c r="R36" s="1559" t="s">
        <v>8</v>
      </c>
      <c r="S36" s="1560" t="e">
        <f t="shared" si="12"/>
        <v>#N/A</v>
      </c>
      <c r="T36" s="1559" t="s">
        <v>8</v>
      </c>
      <c r="U36" s="1560" t="e">
        <f t="shared" si="13"/>
        <v>#N/A</v>
      </c>
      <c r="V36" s="1559" t="s">
        <v>8</v>
      </c>
      <c r="W36" s="1560" t="e">
        <f t="shared" si="14"/>
        <v>#N/A</v>
      </c>
      <c r="X36" s="1553"/>
      <c r="Y36" s="3442"/>
      <c r="Z36" s="1561" t="str">
        <f t="shared" si="15"/>
        <v>成新度</v>
      </c>
      <c r="AA36" s="1562" t="e">
        <f t="shared" si="3"/>
        <v>#N/A</v>
      </c>
      <c r="AB36" s="1562" t="e">
        <f t="shared" si="4"/>
        <v>#N/A</v>
      </c>
      <c r="AC36" s="1562" t="e">
        <f t="shared" si="5"/>
        <v>#N/A</v>
      </c>
    </row>
    <row r="37" spans="1:29" s="1215"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42"/>
      <c r="Q37" s="1146" t="str">
        <f t="shared" si="11"/>
        <v>市政基础设施</v>
      </c>
      <c r="R37" s="1554" t="s">
        <v>8</v>
      </c>
      <c r="S37" s="1555">
        <f t="shared" si="12"/>
        <v>100</v>
      </c>
      <c r="T37" s="1554" t="s">
        <v>8</v>
      </c>
      <c r="U37" s="1555">
        <f t="shared" si="13"/>
        <v>100</v>
      </c>
      <c r="V37" s="1554" t="s">
        <v>8</v>
      </c>
      <c r="W37" s="1555">
        <f t="shared" si="14"/>
        <v>100</v>
      </c>
      <c r="X37" s="1556"/>
      <c r="Y37" s="3442"/>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42" t="s">
        <v>766</v>
      </c>
      <c r="Q38" s="1558" t="str">
        <f t="shared" si="11"/>
        <v>业态</v>
      </c>
      <c r="R38" s="1559" t="s">
        <v>8</v>
      </c>
      <c r="S38" s="1560">
        <f t="shared" si="12"/>
        <v>100</v>
      </c>
      <c r="T38" s="1559" t="s">
        <v>8</v>
      </c>
      <c r="U38" s="1560">
        <f t="shared" si="13"/>
        <v>100</v>
      </c>
      <c r="V38" s="1559" t="s">
        <v>8</v>
      </c>
      <c r="W38" s="1560">
        <f t="shared" si="14"/>
        <v>100</v>
      </c>
      <c r="X38" s="1553"/>
      <c r="Y38" s="3442"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42"/>
      <c r="Q39" s="1558" t="str">
        <f t="shared" si="11"/>
        <v>层高</v>
      </c>
      <c r="R39" s="1559" t="s">
        <v>8</v>
      </c>
      <c r="S39" s="1560">
        <f t="shared" si="12"/>
        <v>100</v>
      </c>
      <c r="T39" s="1559" t="s">
        <v>8</v>
      </c>
      <c r="U39" s="1560">
        <f t="shared" si="13"/>
        <v>100</v>
      </c>
      <c r="V39" s="1559" t="s">
        <v>8</v>
      </c>
      <c r="W39" s="1560">
        <f t="shared" si="14"/>
        <v>100</v>
      </c>
      <c r="X39" s="1553"/>
      <c r="Y39" s="3442"/>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42"/>
      <c r="Q40" s="1558" t="str">
        <f t="shared" si="11"/>
        <v>单套建筑面积</v>
      </c>
      <c r="R40" s="1559" t="s">
        <v>8</v>
      </c>
      <c r="S40" s="1560">
        <f t="shared" si="12"/>
        <v>100</v>
      </c>
      <c r="T40" s="1559" t="s">
        <v>8</v>
      </c>
      <c r="U40" s="1560">
        <f t="shared" si="13"/>
        <v>100</v>
      </c>
      <c r="V40" s="1559" t="s">
        <v>8</v>
      </c>
      <c r="W40" s="1560">
        <f t="shared" si="14"/>
        <v>100</v>
      </c>
      <c r="X40" s="1553"/>
      <c r="Y40" s="3442"/>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42"/>
      <c r="Q41" s="1590" t="str">
        <f t="shared" si="11"/>
        <v>进深比</v>
      </c>
      <c r="R41" s="1563" t="s">
        <v>8</v>
      </c>
      <c r="S41" s="1564">
        <f t="shared" si="12"/>
        <v>100</v>
      </c>
      <c r="T41" s="1563" t="s">
        <v>8</v>
      </c>
      <c r="U41" s="1564">
        <f t="shared" si="13"/>
        <v>100</v>
      </c>
      <c r="V41" s="1563" t="s">
        <v>8</v>
      </c>
      <c r="W41" s="1564">
        <f t="shared" si="14"/>
        <v>100</v>
      </c>
      <c r="X41" s="1565"/>
      <c r="Y41" s="3442"/>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42"/>
      <c r="Q42" s="1558" t="str">
        <f t="shared" si="11"/>
        <v>内部装修</v>
      </c>
      <c r="R42" s="1559" t="s">
        <v>8</v>
      </c>
      <c r="S42" s="1560">
        <f t="shared" si="12"/>
        <v>100</v>
      </c>
      <c r="T42" s="1559" t="s">
        <v>8</v>
      </c>
      <c r="U42" s="1560">
        <f t="shared" si="13"/>
        <v>100</v>
      </c>
      <c r="V42" s="1559" t="s">
        <v>8</v>
      </c>
      <c r="W42" s="1560">
        <f t="shared" si="14"/>
        <v>100</v>
      </c>
      <c r="X42" s="1553"/>
      <c r="Y42" s="3442"/>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42"/>
      <c r="Q43" s="1558" t="str">
        <f t="shared" si="11"/>
        <v>内部装修维护情况</v>
      </c>
      <c r="R43" s="1559" t="s">
        <v>8</v>
      </c>
      <c r="S43" s="1560">
        <f t="shared" si="12"/>
        <v>100</v>
      </c>
      <c r="T43" s="1559" t="s">
        <v>8</v>
      </c>
      <c r="U43" s="1560">
        <f t="shared" si="13"/>
        <v>100</v>
      </c>
      <c r="V43" s="1559" t="s">
        <v>8</v>
      </c>
      <c r="W43" s="1560">
        <f t="shared" si="14"/>
        <v>100</v>
      </c>
      <c r="X43" s="1553"/>
      <c r="Y43" s="3442"/>
      <c r="Z43" s="1561" t="str">
        <f t="shared" si="15"/>
        <v>内部装修维护情况</v>
      </c>
      <c r="AA43" s="1562">
        <f t="shared" si="3"/>
        <v>1</v>
      </c>
      <c r="AB43" s="1562">
        <f t="shared" si="4"/>
        <v>1</v>
      </c>
      <c r="AC43" s="1562">
        <f t="shared" si="5"/>
        <v>1</v>
      </c>
    </row>
    <row r="44" spans="1:29" s="1215"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42"/>
      <c r="Q44" s="1146">
        <f t="shared" si="11"/>
        <v>111</v>
      </c>
      <c r="R44" s="1554" t="s">
        <v>8</v>
      </c>
      <c r="S44" s="1555">
        <f t="shared" si="12"/>
        <v>100</v>
      </c>
      <c r="T44" s="1554" t="s">
        <v>8</v>
      </c>
      <c r="U44" s="1555">
        <f t="shared" si="13"/>
        <v>100</v>
      </c>
      <c r="V44" s="1554" t="s">
        <v>8</v>
      </c>
      <c r="W44" s="1555">
        <f t="shared" si="14"/>
        <v>100</v>
      </c>
      <c r="X44" s="1556"/>
      <c r="Y44" s="3442"/>
      <c r="Z44" s="1145">
        <f t="shared" si="15"/>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42"/>
      <c r="Q45" s="1558">
        <f t="shared" si="11"/>
        <v>111</v>
      </c>
      <c r="R45" s="1559" t="s">
        <v>8</v>
      </c>
      <c r="S45" s="1560">
        <f t="shared" si="12"/>
        <v>100</v>
      </c>
      <c r="T45" s="1559" t="s">
        <v>8</v>
      </c>
      <c r="U45" s="1560">
        <f t="shared" si="13"/>
        <v>100</v>
      </c>
      <c r="V45" s="1559" t="s">
        <v>8</v>
      </c>
      <c r="W45" s="1560">
        <f t="shared" si="14"/>
        <v>100</v>
      </c>
      <c r="X45" s="1553"/>
      <c r="Y45" s="3442"/>
      <c r="Z45" s="1561">
        <f t="shared" si="15"/>
        <v>111</v>
      </c>
      <c r="AA45" s="1562">
        <f t="shared" si="3"/>
        <v>1</v>
      </c>
      <c r="AB45" s="1562">
        <f t="shared" si="4"/>
        <v>1</v>
      </c>
      <c r="AC45" s="1562">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33"/>
      <c r="Q46" s="1558">
        <f t="shared" si="11"/>
        <v>111</v>
      </c>
      <c r="R46" s="1559" t="s">
        <v>8</v>
      </c>
      <c r="S46" s="1560">
        <f t="shared" si="12"/>
        <v>100</v>
      </c>
      <c r="T46" s="1559" t="s">
        <v>8</v>
      </c>
      <c r="U46" s="1560">
        <f t="shared" si="13"/>
        <v>100</v>
      </c>
      <c r="V46" s="1559" t="s">
        <v>8</v>
      </c>
      <c r="W46" s="1560">
        <f t="shared" si="14"/>
        <v>100</v>
      </c>
      <c r="X46" s="1553"/>
      <c r="Y46" s="3533"/>
      <c r="Z46" s="1561">
        <f t="shared" si="15"/>
        <v>111</v>
      </c>
      <c r="AA46" s="1562">
        <f t="shared" si="3"/>
        <v>1</v>
      </c>
      <c r="AB46" s="1562">
        <f t="shared" si="4"/>
        <v>1</v>
      </c>
      <c r="AC46" s="1562">
        <f t="shared" si="5"/>
        <v>1</v>
      </c>
    </row>
    <row r="47" spans="1:29" ht="15">
      <c r="A47" s="607" t="s">
        <v>736</v>
      </c>
      <c r="B47" s="886"/>
      <c r="C47" s="2591" t="s">
        <v>1</v>
      </c>
      <c r="D47" s="2592"/>
      <c r="E47" s="2593"/>
      <c r="F47" s="2594"/>
      <c r="G47" s="2595"/>
      <c r="H47" s="2596"/>
      <c r="I47" s="2593"/>
      <c r="J47" s="2596"/>
      <c r="K47" s="1596"/>
      <c r="L47" s="2129"/>
      <c r="M47" s="2130"/>
      <c r="N47" s="2119"/>
      <c r="O47" s="2130"/>
      <c r="P47" s="3437" t="str">
        <f>A47</f>
        <v>成交单价（元/平方米）</v>
      </c>
      <c r="Q47" s="3437"/>
      <c r="R47" s="3532">
        <f>E47</f>
        <v>0</v>
      </c>
      <c r="S47" s="3532"/>
      <c r="T47" s="3532">
        <f>G47</f>
        <v>0</v>
      </c>
      <c r="U47" s="3532"/>
      <c r="V47" s="3532">
        <f>I47</f>
        <v>0</v>
      </c>
      <c r="W47" s="3532"/>
      <c r="X47" s="1545"/>
      <c r="Y47" s="1567"/>
      <c r="Z47" s="1545"/>
      <c r="AA47" s="1545"/>
      <c r="AB47" s="1545"/>
      <c r="AC47" s="1545"/>
    </row>
    <row r="48" spans="1:29" ht="15.75" thickBot="1">
      <c r="A48" s="615" t="s">
        <v>2760</v>
      </c>
      <c r="B48" s="887"/>
      <c r="C48" s="2597" t="e">
        <f>R49</f>
        <v>#DIV/0!</v>
      </c>
      <c r="D48" s="2598"/>
      <c r="E48" s="2599" t="e">
        <f>R48</f>
        <v>#DIV/0!</v>
      </c>
      <c r="F48" s="2599"/>
      <c r="G48" s="2597" t="e">
        <f>T48</f>
        <v>#DIV/0!</v>
      </c>
      <c r="H48" s="2598"/>
      <c r="I48" s="2599" t="e">
        <f>V48</f>
        <v>#DIV/0!</v>
      </c>
      <c r="J48" s="2598"/>
      <c r="K48" s="1597"/>
      <c r="L48" s="2129"/>
      <c r="M48" s="2130"/>
      <c r="N48" s="2119"/>
      <c r="O48" s="2130"/>
      <c r="P48" s="3437" t="str">
        <f>A48</f>
        <v>比较价格（元/平方米）</v>
      </c>
      <c r="Q48" s="3437"/>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45"/>
      <c r="Y48" s="1545"/>
      <c r="Z48" s="1545"/>
      <c r="AA48" s="1545"/>
      <c r="AB48" s="1545"/>
      <c r="AC48" s="1545"/>
    </row>
    <row r="49" spans="1:29" ht="15.75" thickBot="1">
      <c r="A49" s="621" t="s">
        <v>2936</v>
      </c>
      <c r="B49" s="622"/>
      <c r="C49" s="2600" t="e">
        <f>R49</f>
        <v>#DIV/0!</v>
      </c>
      <c r="D49" s="2600"/>
      <c r="E49" s="2600"/>
      <c r="F49" s="2600"/>
      <c r="G49" s="2600"/>
      <c r="H49" s="2600"/>
      <c r="I49" s="2600"/>
      <c r="J49" s="2600"/>
      <c r="K49" s="1598"/>
      <c r="L49" s="2129"/>
      <c r="M49" s="2130"/>
      <c r="N49" s="2119"/>
      <c r="O49" s="2130"/>
      <c r="P49" s="3458" t="str">
        <f>A49</f>
        <v>估价对象XX用房的比较价格（楼面单价，元/平方米）</v>
      </c>
      <c r="Q49" s="3459"/>
      <c r="R49" s="3531" t="e">
        <f>IF(F1="售价",ROUND(AVERAGE(R48:V48),0),ROUND(AVERAGE(R48:V48),1))</f>
        <v>#DIV/0!</v>
      </c>
      <c r="S49" s="3531"/>
      <c r="T49" s="3531"/>
      <c r="U49" s="3531"/>
      <c r="V49" s="3531"/>
      <c r="W49" s="3531"/>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8" priority="17" stopIfTrue="1" operator="containsText" text="超过">
      <formula>NOT(ISERROR(SEARCH("超过",F52)))</formula>
    </cfRule>
  </conditionalFormatting>
  <conditionalFormatting sqref="H54">
    <cfRule type="containsText" dxfId="87" priority="15" stopIfTrue="1" operator="containsText" text="超过">
      <formula>NOT(ISERROR(SEARCH("超过",H54)))</formula>
    </cfRule>
  </conditionalFormatting>
  <conditionalFormatting sqref="F54">
    <cfRule type="containsText" dxfId="86" priority="14" stopIfTrue="1" operator="containsText" text="超过">
      <formula>NOT(ISERROR(SEARCH("超过",F54)))</formula>
    </cfRule>
  </conditionalFormatting>
  <conditionalFormatting sqref="F53 H53">
    <cfRule type="containsText" dxfId="85" priority="13" stopIfTrue="1" operator="containsText" text="超过">
      <formula>NOT(ISERROR(SEARCH("超过",F53)))</formula>
    </cfRule>
  </conditionalFormatting>
  <conditionalFormatting sqref="E52">
    <cfRule type="expression" dxfId="84" priority="12"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G54">
    <cfRule type="expression" dxfId="81" priority="9" stopIfTrue="1">
      <formula>$H$54="超过30%"</formula>
    </cfRule>
  </conditionalFormatting>
  <conditionalFormatting sqref="G52">
    <cfRule type="expression" dxfId="80" priority="8" stopIfTrue="1">
      <formula>$H$52="超过30%"</formula>
    </cfRule>
  </conditionalFormatting>
  <conditionalFormatting sqref="G53">
    <cfRule type="expression" dxfId="79" priority="7" stopIfTrue="1">
      <formula>$H$53="超过20%"</formula>
    </cfRule>
  </conditionalFormatting>
  <conditionalFormatting sqref="J52">
    <cfRule type="containsText" dxfId="78" priority="6" stopIfTrue="1" operator="containsText" text="超过">
      <formula>NOT(ISERROR(SEARCH("超过",J52)))</formula>
    </cfRule>
  </conditionalFormatting>
  <conditionalFormatting sqref="J54">
    <cfRule type="containsText" dxfId="77" priority="5" stopIfTrue="1" operator="containsText" text="超过">
      <formula>NOT(ISERROR(SEARCH("超过",J54)))</formula>
    </cfRule>
  </conditionalFormatting>
  <conditionalFormatting sqref="J53">
    <cfRule type="containsText" dxfId="76" priority="4" stopIfTrue="1" operator="containsText" text="超过">
      <formula>NOT(ISERROR(SEARCH("超过",J53)))</formula>
    </cfRule>
  </conditionalFormatting>
  <conditionalFormatting sqref="I52">
    <cfRule type="expression" dxfId="75" priority="3" stopIfTrue="1">
      <formula>$J$52="超过30%"</formula>
    </cfRule>
  </conditionalFormatting>
  <conditionalFormatting sqref="I53">
    <cfRule type="expression" dxfId="74" priority="2" stopIfTrue="1">
      <formula>$J$53="超过20%"</formula>
    </cfRule>
  </conditionalFormatting>
  <conditionalFormatting sqref="I54">
    <cfRule type="expression" dxfId="7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8"/>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43" t="s">
        <v>522</v>
      </c>
      <c r="D4" s="3444"/>
      <c r="E4" s="3467" t="s">
        <v>523</v>
      </c>
      <c r="F4" s="3468"/>
      <c r="G4" s="3443" t="s">
        <v>524</v>
      </c>
      <c r="H4" s="3444"/>
      <c r="I4" s="3443" t="s">
        <v>525</v>
      </c>
      <c r="J4" s="3444"/>
      <c r="K4" s="514" t="s">
        <v>526</v>
      </c>
      <c r="L4" s="2118"/>
      <c r="M4" s="2119"/>
      <c r="N4" s="2119"/>
      <c r="O4" s="2119"/>
      <c r="P4" s="3534" t="s">
        <v>527</v>
      </c>
      <c r="Q4" s="3446"/>
      <c r="R4" s="3431" t="s">
        <v>523</v>
      </c>
      <c r="S4" s="3432"/>
      <c r="T4" s="3431" t="s">
        <v>524</v>
      </c>
      <c r="U4" s="3432"/>
      <c r="V4" s="3451" t="s">
        <v>525</v>
      </c>
      <c r="W4" s="3451"/>
      <c r="X4" s="1553"/>
      <c r="Y4" s="3431" t="s">
        <v>527</v>
      </c>
      <c r="Z4" s="3432"/>
      <c r="AA4" s="3426" t="s">
        <v>523</v>
      </c>
      <c r="AB4" s="3426" t="s">
        <v>524</v>
      </c>
      <c r="AC4" s="3426" t="s">
        <v>525</v>
      </c>
    </row>
    <row r="5" spans="1:29" ht="15">
      <c r="A5" s="515"/>
      <c r="B5" s="516"/>
      <c r="C5" s="3454" t="s">
        <v>2930</v>
      </c>
      <c r="D5" s="3455"/>
      <c r="E5" s="3469" t="s">
        <v>2931</v>
      </c>
      <c r="F5" s="3470"/>
      <c r="G5" s="3454" t="s">
        <v>2932</v>
      </c>
      <c r="H5" s="3455"/>
      <c r="I5" s="3454" t="s">
        <v>2933</v>
      </c>
      <c r="J5" s="3455"/>
      <c r="K5" s="514"/>
      <c r="L5" s="2118"/>
      <c r="M5" s="2119"/>
      <c r="N5" s="2119"/>
      <c r="O5" s="2119"/>
      <c r="P5" s="3535"/>
      <c r="Q5" s="3448"/>
      <c r="R5" s="3433"/>
      <c r="S5" s="3434"/>
      <c r="T5" s="3433"/>
      <c r="U5" s="3434"/>
      <c r="V5" s="3451"/>
      <c r="W5" s="3451"/>
      <c r="X5" s="1553"/>
      <c r="Y5" s="3433"/>
      <c r="Z5" s="3434"/>
      <c r="AA5" s="3427"/>
      <c r="AB5" s="3427"/>
      <c r="AC5" s="3427"/>
    </row>
    <row r="6" spans="1:29" ht="15.75" thickBot="1">
      <c r="A6" s="517"/>
      <c r="B6" s="518"/>
      <c r="C6" s="3452" t="s">
        <v>2934</v>
      </c>
      <c r="D6" s="3453"/>
      <c r="E6" s="3471" t="s">
        <v>2934</v>
      </c>
      <c r="F6" s="3472"/>
      <c r="G6" s="3452" t="s">
        <v>2934</v>
      </c>
      <c r="H6" s="3453"/>
      <c r="I6" s="3452" t="s">
        <v>2934</v>
      </c>
      <c r="J6" s="3453"/>
      <c r="K6" s="514" t="s">
        <v>528</v>
      </c>
      <c r="L6" s="2118"/>
      <c r="M6" s="2119"/>
      <c r="N6" s="2119"/>
      <c r="O6" s="2119"/>
      <c r="P6" s="3536"/>
      <c r="Q6" s="3450"/>
      <c r="R6" s="3433"/>
      <c r="S6" s="3434"/>
      <c r="T6" s="3435"/>
      <c r="U6" s="3436"/>
      <c r="V6" s="3451"/>
      <c r="W6" s="3451"/>
      <c r="X6" s="1553"/>
      <c r="Y6" s="3435"/>
      <c r="Z6" s="3436"/>
      <c r="AA6" s="3428"/>
      <c r="AB6" s="3428"/>
      <c r="AC6" s="3428"/>
    </row>
    <row r="7" spans="1:29" s="1215" customFormat="1" ht="15.75" thickBot="1">
      <c r="A7" s="2867"/>
      <c r="B7" s="2874" t="s">
        <v>529</v>
      </c>
      <c r="C7" s="519">
        <f>'数据-取费表'!B2</f>
        <v>43646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38" t="s">
        <v>530</v>
      </c>
      <c r="Q7" s="3438"/>
      <c r="R7" s="1554" t="s">
        <v>8</v>
      </c>
      <c r="S7" s="1555">
        <f t="shared" ref="S7:S15" si="0">F7</f>
        <v>0</v>
      </c>
      <c r="T7" s="1554" t="s">
        <v>8</v>
      </c>
      <c r="U7" s="1555">
        <f t="shared" ref="U7:U15" si="1">H7</f>
        <v>0</v>
      </c>
      <c r="V7" s="1554" t="s">
        <v>8</v>
      </c>
      <c r="W7" s="1555">
        <f t="shared" ref="W7:W15" si="2">J7</f>
        <v>0</v>
      </c>
      <c r="X7" s="1556"/>
      <c r="Y7" s="3429" t="s">
        <v>530</v>
      </c>
      <c r="Z7" s="3430"/>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38" t="s">
        <v>533</v>
      </c>
      <c r="Q8" s="3430"/>
      <c r="R8" s="1554" t="s">
        <v>8</v>
      </c>
      <c r="S8" s="1555">
        <f t="shared" si="0"/>
        <v>0</v>
      </c>
      <c r="T8" s="1554" t="s">
        <v>8</v>
      </c>
      <c r="U8" s="1555">
        <f t="shared" si="1"/>
        <v>0</v>
      </c>
      <c r="V8" s="1554" t="s">
        <v>8</v>
      </c>
      <c r="W8" s="1555">
        <f t="shared" si="2"/>
        <v>0</v>
      </c>
      <c r="X8" s="1556"/>
      <c r="Y8" s="3429" t="s">
        <v>533</v>
      </c>
      <c r="Z8" s="3430"/>
      <c r="AA8" s="1557" t="e">
        <f t="shared" ref="AA8:AA47" si="3">D8/F8</f>
        <v>#DIV/0!</v>
      </c>
      <c r="AB8" s="1557" t="e">
        <f t="shared" ref="AB8:AB47" si="4">D8/H8</f>
        <v>#DIV/0!</v>
      </c>
      <c r="AC8" s="1557" t="e">
        <f t="shared" ref="AC8:AC47" si="5">D8/J8</f>
        <v>#DIV/0!</v>
      </c>
    </row>
    <row r="9" spans="1:29" s="1215" customFormat="1" ht="15">
      <c r="A9" s="2869"/>
      <c r="B9" s="2876" t="s">
        <v>2756</v>
      </c>
      <c r="C9" s="856"/>
      <c r="D9" s="254">
        <v>100</v>
      </c>
      <c r="E9" s="859"/>
      <c r="F9" s="254">
        <f>SUMIF(64:64,E9,65:65)-SUMIF(64:64,C9,65:65)+100</f>
        <v>100</v>
      </c>
      <c r="G9" s="857"/>
      <c r="H9" s="254">
        <f>SUMIF(64:64,G9,65:65)-SUMIF(64:64,C9,65:65)+100</f>
        <v>100</v>
      </c>
      <c r="I9" s="857"/>
      <c r="J9" s="254">
        <f>SUMIF(64:64,I9,65:65)-SUMIF(64:64,C9,65:65)+100</f>
        <v>100</v>
      </c>
      <c r="K9" s="524"/>
      <c r="L9" s="2120"/>
      <c r="M9" s="2121"/>
      <c r="N9" s="2121"/>
      <c r="O9" s="2121"/>
      <c r="P9" s="3437" t="s">
        <v>535</v>
      </c>
      <c r="Q9" s="1146" t="str">
        <f t="shared" ref="Q9:Q15" si="6">B9</f>
        <v>用途</v>
      </c>
      <c r="R9" s="1554" t="s">
        <v>8</v>
      </c>
      <c r="S9" s="1555">
        <f t="shared" si="0"/>
        <v>100</v>
      </c>
      <c r="T9" s="1554" t="s">
        <v>8</v>
      </c>
      <c r="U9" s="1555">
        <f t="shared" si="1"/>
        <v>100</v>
      </c>
      <c r="V9" s="1554" t="s">
        <v>8</v>
      </c>
      <c r="W9" s="1555">
        <f t="shared" si="2"/>
        <v>100</v>
      </c>
      <c r="X9" s="1556"/>
      <c r="Y9" s="3394" t="s">
        <v>536</v>
      </c>
      <c r="Z9" s="1145" t="str">
        <f t="shared" ref="Z9:Z15" si="7">Q9</f>
        <v>用途</v>
      </c>
      <c r="AA9" s="1557">
        <f t="shared" si="3"/>
        <v>1</v>
      </c>
      <c r="AB9" s="1557">
        <f t="shared" si="4"/>
        <v>1</v>
      </c>
      <c r="AC9" s="1557">
        <f t="shared" si="5"/>
        <v>1</v>
      </c>
    </row>
    <row r="10" spans="1:29" s="1333" customFormat="1" ht="27">
      <c r="A10" s="2870"/>
      <c r="B10" s="2875" t="s">
        <v>2757</v>
      </c>
      <c r="C10" s="860"/>
      <c r="D10" s="255">
        <v>100</v>
      </c>
      <c r="E10" s="860"/>
      <c r="F10" s="255">
        <f>SUMIF(66:66,E10,67:67)-SUMIF(66:66,C10,67:67)+100</f>
        <v>100</v>
      </c>
      <c r="G10" s="861"/>
      <c r="H10" s="255">
        <f>SUMIF(66:66,G10,67:67)-SUMIF(66:66,C10,67:67)+100</f>
        <v>100</v>
      </c>
      <c r="I10" s="860"/>
      <c r="J10" s="255">
        <f>SUMIF(66:66,I10,67:67)-SUMIF(66:66,C10,67:67)+100</f>
        <v>100</v>
      </c>
      <c r="K10" s="584"/>
      <c r="L10" s="2123"/>
      <c r="M10" s="2163"/>
      <c r="N10" s="2163"/>
      <c r="O10" s="2163"/>
      <c r="P10" s="3437"/>
      <c r="Q10" s="1146" t="str">
        <f t="shared" si="6"/>
        <v>土地使用年限（年）</v>
      </c>
      <c r="R10" s="1554" t="s">
        <v>8</v>
      </c>
      <c r="S10" s="1555">
        <f t="shared" si="0"/>
        <v>100</v>
      </c>
      <c r="T10" s="1554" t="s">
        <v>8</v>
      </c>
      <c r="U10" s="1555">
        <f t="shared" si="1"/>
        <v>100</v>
      </c>
      <c r="V10" s="1554" t="s">
        <v>8</v>
      </c>
      <c r="W10" s="1555">
        <f t="shared" si="2"/>
        <v>100</v>
      </c>
      <c r="X10" s="1556"/>
      <c r="Y10" s="3394"/>
      <c r="Z10" s="1145"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37"/>
      <c r="Q11" s="1146" t="str">
        <f t="shared" si="6"/>
        <v>容积率</v>
      </c>
      <c r="R11" s="1554" t="s">
        <v>8</v>
      </c>
      <c r="S11" s="1555" t="e">
        <f t="shared" si="0"/>
        <v>#N/A</v>
      </c>
      <c r="T11" s="1554" t="s">
        <v>8</v>
      </c>
      <c r="U11" s="1555" t="e">
        <f t="shared" si="1"/>
        <v>#N/A</v>
      </c>
      <c r="V11" s="1554" t="s">
        <v>8</v>
      </c>
      <c r="W11" s="1555" t="e">
        <f t="shared" si="2"/>
        <v>#N/A</v>
      </c>
      <c r="X11" s="1556"/>
      <c r="Y11" s="339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37"/>
      <c r="Q12" s="1146">
        <f t="shared" si="6"/>
        <v>111</v>
      </c>
      <c r="R12" s="1554" t="s">
        <v>8</v>
      </c>
      <c r="S12" s="1555">
        <f t="shared" si="0"/>
        <v>100</v>
      </c>
      <c r="T12" s="1554" t="s">
        <v>8</v>
      </c>
      <c r="U12" s="1555">
        <f t="shared" si="1"/>
        <v>100</v>
      </c>
      <c r="V12" s="1554" t="s">
        <v>8</v>
      </c>
      <c r="W12" s="1555">
        <f t="shared" si="2"/>
        <v>100</v>
      </c>
      <c r="X12" s="1556"/>
      <c r="Y12" s="3394"/>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37"/>
      <c r="Q13" s="1146">
        <f t="shared" si="6"/>
        <v>111</v>
      </c>
      <c r="R13" s="1554" t="s">
        <v>8</v>
      </c>
      <c r="S13" s="1555">
        <f t="shared" si="0"/>
        <v>100</v>
      </c>
      <c r="T13" s="1554" t="s">
        <v>8</v>
      </c>
      <c r="U13" s="1555">
        <f t="shared" si="1"/>
        <v>100</v>
      </c>
      <c r="V13" s="1554" t="s">
        <v>8</v>
      </c>
      <c r="W13" s="1555">
        <f t="shared" si="2"/>
        <v>100</v>
      </c>
      <c r="X13" s="1556"/>
      <c r="Y13" s="3394"/>
      <c r="Z13" s="1145">
        <f t="shared" si="7"/>
        <v>111</v>
      </c>
      <c r="AA13" s="1557">
        <f t="shared" si="3"/>
        <v>1</v>
      </c>
      <c r="AB13" s="1557">
        <f t="shared" si="4"/>
        <v>1</v>
      </c>
      <c r="AC13" s="1557">
        <f t="shared" si="5"/>
        <v>1</v>
      </c>
    </row>
    <row r="14" spans="1:29" ht="15.75"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37"/>
      <c r="Q14" s="1146">
        <f t="shared" si="6"/>
        <v>111</v>
      </c>
      <c r="R14" s="1554" t="s">
        <v>8</v>
      </c>
      <c r="S14" s="1555">
        <f t="shared" si="0"/>
        <v>100</v>
      </c>
      <c r="T14" s="1554" t="s">
        <v>8</v>
      </c>
      <c r="U14" s="1555">
        <f t="shared" si="1"/>
        <v>100</v>
      </c>
      <c r="V14" s="1554" t="s">
        <v>8</v>
      </c>
      <c r="W14" s="1555">
        <f t="shared" si="2"/>
        <v>100</v>
      </c>
      <c r="X14" s="1556"/>
      <c r="Y14" s="3394"/>
      <c r="Z14" s="1145">
        <f t="shared" si="7"/>
        <v>111</v>
      </c>
      <c r="AA14" s="1557">
        <f t="shared" si="3"/>
        <v>1</v>
      </c>
      <c r="AB14" s="1557">
        <f t="shared" si="4"/>
        <v>1</v>
      </c>
      <c r="AC14" s="1557">
        <f t="shared" si="5"/>
        <v>1</v>
      </c>
    </row>
    <row r="15" spans="1:29" ht="71.25">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39" t="s">
        <v>540</v>
      </c>
      <c r="Q15" s="1558" t="str">
        <f t="shared" si="6"/>
        <v>办公集聚程度</v>
      </c>
      <c r="R15" s="1559" t="s">
        <v>8</v>
      </c>
      <c r="S15" s="1560">
        <f t="shared" si="0"/>
        <v>100</v>
      </c>
      <c r="T15" s="1559" t="s">
        <v>8</v>
      </c>
      <c r="U15" s="1560">
        <f t="shared" si="1"/>
        <v>100</v>
      </c>
      <c r="V15" s="1559" t="s">
        <v>8</v>
      </c>
      <c r="W15" s="1560">
        <f t="shared" si="2"/>
        <v>100</v>
      </c>
      <c r="X15" s="1553"/>
      <c r="Y15" s="3439"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40"/>
      <c r="Q16" s="1558"/>
      <c r="R16" s="1559"/>
      <c r="S16" s="1560"/>
      <c r="T16" s="1559"/>
      <c r="U16" s="1560"/>
      <c r="V16" s="1559"/>
      <c r="W16" s="1560"/>
      <c r="X16" s="1553"/>
      <c r="Y16" s="3440"/>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40"/>
      <c r="Q17" s="1558" t="str">
        <f>B17</f>
        <v>交通便捷度</v>
      </c>
      <c r="R17" s="1559" t="s">
        <v>8</v>
      </c>
      <c r="S17" s="1560">
        <f>F17</f>
        <v>100</v>
      </c>
      <c r="T17" s="1559" t="s">
        <v>8</v>
      </c>
      <c r="U17" s="1560">
        <f>H17</f>
        <v>100</v>
      </c>
      <c r="V17" s="1559" t="s">
        <v>8</v>
      </c>
      <c r="W17" s="1560">
        <f>J17</f>
        <v>100</v>
      </c>
      <c r="X17" s="1553"/>
      <c r="Y17" s="3440"/>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40"/>
      <c r="Q18" s="1558"/>
      <c r="R18" s="1559"/>
      <c r="S18" s="1560"/>
      <c r="T18" s="1559"/>
      <c r="U18" s="1560"/>
      <c r="V18" s="1559"/>
      <c r="W18" s="1560"/>
      <c r="X18" s="1553"/>
      <c r="Y18" s="3440"/>
      <c r="Z18" s="1561"/>
      <c r="AA18" s="1562">
        <v>1</v>
      </c>
      <c r="AB18" s="1562">
        <v>1</v>
      </c>
      <c r="AC18" s="1562">
        <v>1</v>
      </c>
    </row>
    <row r="19" spans="1:29" ht="42.75">
      <c r="A19" s="532"/>
      <c r="B19" s="2567"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40"/>
      <c r="Q19" s="1558" t="str">
        <f>B19</f>
        <v>公共配套设施</v>
      </c>
      <c r="R19" s="1559" t="s">
        <v>8</v>
      </c>
      <c r="S19" s="1560">
        <f>F19</f>
        <v>100</v>
      </c>
      <c r="T19" s="1559" t="s">
        <v>8</v>
      </c>
      <c r="U19" s="1560">
        <f>H19</f>
        <v>100</v>
      </c>
      <c r="V19" s="1559" t="s">
        <v>8</v>
      </c>
      <c r="W19" s="1560">
        <f>J19</f>
        <v>100</v>
      </c>
      <c r="X19" s="1553"/>
      <c r="Y19" s="3440"/>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40"/>
      <c r="Q20" s="1558"/>
      <c r="R20" s="1559"/>
      <c r="S20" s="1560"/>
      <c r="T20" s="1559"/>
      <c r="U20" s="1560"/>
      <c r="V20" s="1559"/>
      <c r="W20" s="1560"/>
      <c r="X20" s="1553"/>
      <c r="Y20" s="3440"/>
      <c r="Z20" s="1561"/>
      <c r="AA20" s="1562">
        <v>1</v>
      </c>
      <c r="AB20" s="1562">
        <v>1</v>
      </c>
      <c r="AC20" s="1562">
        <v>1</v>
      </c>
    </row>
    <row r="21" spans="1:29" ht="28.5">
      <c r="A21" s="532"/>
      <c r="B21" s="2555"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40"/>
      <c r="Q21" s="2543" t="str">
        <f>B21</f>
        <v>基础设施水平</v>
      </c>
      <c r="R21" s="1559" t="s">
        <v>8</v>
      </c>
      <c r="S21" s="1560">
        <f>F21</f>
        <v>100</v>
      </c>
      <c r="T21" s="1559" t="s">
        <v>8</v>
      </c>
      <c r="U21" s="1560">
        <f>H21</f>
        <v>100</v>
      </c>
      <c r="V21" s="1559" t="s">
        <v>8</v>
      </c>
      <c r="W21" s="1560">
        <f>J21</f>
        <v>100</v>
      </c>
      <c r="X21" s="2545"/>
      <c r="Y21" s="3440"/>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40"/>
      <c r="Q22" s="2543"/>
      <c r="R22" s="1559"/>
      <c r="S22" s="1560"/>
      <c r="T22" s="1559"/>
      <c r="U22" s="1560"/>
      <c r="V22" s="1559"/>
      <c r="W22" s="1560"/>
      <c r="X22" s="2545"/>
      <c r="Y22" s="3440"/>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40"/>
      <c r="Q23" s="1558" t="str">
        <f>B23</f>
        <v>环境质量</v>
      </c>
      <c r="R23" s="1559" t="s">
        <v>8</v>
      </c>
      <c r="S23" s="1560">
        <f>F23</f>
        <v>100</v>
      </c>
      <c r="T23" s="1559" t="s">
        <v>8</v>
      </c>
      <c r="U23" s="1560">
        <f>H23</f>
        <v>100</v>
      </c>
      <c r="V23" s="1559" t="s">
        <v>8</v>
      </c>
      <c r="W23" s="1560">
        <f>J23</f>
        <v>100</v>
      </c>
      <c r="X23" s="1553"/>
      <c r="Y23" s="3440"/>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40"/>
      <c r="Q24" s="1558"/>
      <c r="R24" s="1559"/>
      <c r="S24" s="1560"/>
      <c r="T24" s="1559"/>
      <c r="U24" s="1560"/>
      <c r="V24" s="1559"/>
      <c r="W24" s="1560"/>
      <c r="X24" s="1553"/>
      <c r="Y24" s="3440"/>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40"/>
      <c r="Q25" s="1558" t="str">
        <f>B25</f>
        <v>毗邻道路的类型与等级</v>
      </c>
      <c r="R25" s="1559" t="s">
        <v>8</v>
      </c>
      <c r="S25" s="1560">
        <f>F25</f>
        <v>100</v>
      </c>
      <c r="T25" s="1559" t="s">
        <v>8</v>
      </c>
      <c r="U25" s="1560">
        <f>H25</f>
        <v>100</v>
      </c>
      <c r="V25" s="1559" t="s">
        <v>8</v>
      </c>
      <c r="W25" s="1560">
        <f>J25</f>
        <v>100</v>
      </c>
      <c r="X25" s="1553"/>
      <c r="Y25" s="3440"/>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40"/>
      <c r="Q26" s="1558"/>
      <c r="R26" s="1559"/>
      <c r="S26" s="1560"/>
      <c r="T26" s="1559"/>
      <c r="U26" s="1560"/>
      <c r="V26" s="1559"/>
      <c r="W26" s="1560"/>
      <c r="X26" s="1553"/>
      <c r="Y26" s="3440"/>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40"/>
      <c r="Q27" s="1558" t="str">
        <f t="shared" ref="Q27:Q47" si="11">B27</f>
        <v>楼层</v>
      </c>
      <c r="R27" s="1559" t="s">
        <v>8</v>
      </c>
      <c r="S27" s="1560">
        <f>F27</f>
        <v>100</v>
      </c>
      <c r="T27" s="1559" t="s">
        <v>8</v>
      </c>
      <c r="U27" s="1560">
        <f>H27</f>
        <v>100</v>
      </c>
      <c r="V27" s="1559" t="s">
        <v>8</v>
      </c>
      <c r="W27" s="1560">
        <f>J27</f>
        <v>100</v>
      </c>
      <c r="X27" s="1553"/>
      <c r="Y27" s="3440"/>
      <c r="Z27" s="1561" t="str">
        <f>Q27</f>
        <v>楼层</v>
      </c>
      <c r="AA27" s="1562">
        <f t="shared" si="3"/>
        <v>1</v>
      </c>
      <c r="AB27" s="1562">
        <f t="shared" si="4"/>
        <v>1</v>
      </c>
      <c r="AC27" s="1562">
        <f t="shared" si="5"/>
        <v>1</v>
      </c>
    </row>
    <row r="28" spans="1:29" s="1215"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20"/>
      <c r="M28" s="2121"/>
      <c r="N28" s="2121"/>
      <c r="O28" s="2121"/>
      <c r="P28" s="3440"/>
      <c r="Q28" s="1146" t="str">
        <f t="shared" si="11"/>
        <v>朝向</v>
      </c>
      <c r="R28" s="1554" t="s">
        <v>8</v>
      </c>
      <c r="S28" s="1555">
        <f>F28</f>
        <v>100</v>
      </c>
      <c r="T28" s="1554" t="s">
        <v>8</v>
      </c>
      <c r="U28" s="1555">
        <f>H28</f>
        <v>100</v>
      </c>
      <c r="V28" s="1554" t="s">
        <v>8</v>
      </c>
      <c r="W28" s="1555">
        <f>J28</f>
        <v>100</v>
      </c>
      <c r="X28" s="1556"/>
      <c r="Y28" s="3440"/>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40"/>
      <c r="Q29" s="1558">
        <f t="shared" si="11"/>
        <v>111</v>
      </c>
      <c r="R29" s="1559" t="s">
        <v>8</v>
      </c>
      <c r="S29" s="1560">
        <f t="shared" ref="S29:S47" si="12">F29</f>
        <v>100</v>
      </c>
      <c r="T29" s="1559" t="s">
        <v>8</v>
      </c>
      <c r="U29" s="1560">
        <f t="shared" ref="U29:U47" si="13">H29</f>
        <v>100</v>
      </c>
      <c r="V29" s="1559" t="s">
        <v>8</v>
      </c>
      <c r="W29" s="1560">
        <f t="shared" ref="W29:W47" si="14">J29</f>
        <v>100</v>
      </c>
      <c r="X29" s="1553"/>
      <c r="Y29" s="3440"/>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40"/>
      <c r="Q30" s="1558">
        <f t="shared" si="11"/>
        <v>111</v>
      </c>
      <c r="R30" s="1559" t="s">
        <v>8</v>
      </c>
      <c r="S30" s="1560">
        <f t="shared" si="12"/>
        <v>100</v>
      </c>
      <c r="T30" s="1559" t="s">
        <v>8</v>
      </c>
      <c r="U30" s="1560">
        <f t="shared" si="13"/>
        <v>100</v>
      </c>
      <c r="V30" s="1559" t="s">
        <v>8</v>
      </c>
      <c r="W30" s="1560">
        <f t="shared" si="14"/>
        <v>100</v>
      </c>
      <c r="X30" s="1553"/>
      <c r="Y30" s="3440"/>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40"/>
      <c r="Q31" s="1558">
        <f t="shared" si="11"/>
        <v>111</v>
      </c>
      <c r="R31" s="1559" t="s">
        <v>8</v>
      </c>
      <c r="S31" s="1560">
        <f t="shared" si="12"/>
        <v>100</v>
      </c>
      <c r="T31" s="1559" t="s">
        <v>8</v>
      </c>
      <c r="U31" s="1560">
        <f t="shared" si="13"/>
        <v>100</v>
      </c>
      <c r="V31" s="1559" t="s">
        <v>8</v>
      </c>
      <c r="W31" s="1560">
        <f t="shared" si="14"/>
        <v>100</v>
      </c>
      <c r="X31" s="1553"/>
      <c r="Y31" s="3440"/>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40"/>
      <c r="Q32" s="1558">
        <f t="shared" si="11"/>
        <v>111</v>
      </c>
      <c r="R32" s="1559" t="s">
        <v>8</v>
      </c>
      <c r="S32" s="1560">
        <f t="shared" si="12"/>
        <v>100</v>
      </c>
      <c r="T32" s="1559" t="s">
        <v>8</v>
      </c>
      <c r="U32" s="1560">
        <f t="shared" si="13"/>
        <v>100</v>
      </c>
      <c r="V32" s="1559" t="s">
        <v>8</v>
      </c>
      <c r="W32" s="1560">
        <f t="shared" si="14"/>
        <v>100</v>
      </c>
      <c r="X32" s="1553"/>
      <c r="Y32" s="3440"/>
      <c r="Z32" s="1561">
        <f t="shared" si="15"/>
        <v>111</v>
      </c>
      <c r="AA32" s="1562">
        <f t="shared" si="3"/>
        <v>1</v>
      </c>
      <c r="AB32" s="1562">
        <f t="shared" si="4"/>
        <v>1</v>
      </c>
      <c r="AC32" s="1562">
        <f t="shared" si="5"/>
        <v>1</v>
      </c>
    </row>
    <row r="33" spans="1:29" ht="15">
      <c r="A33" s="2862" t="s">
        <v>2755</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41" t="s">
        <v>550</v>
      </c>
      <c r="Q33" s="1558" t="str">
        <f t="shared" si="11"/>
        <v>建筑类型</v>
      </c>
      <c r="R33" s="1559" t="s">
        <v>8</v>
      </c>
      <c r="S33" s="1560">
        <f t="shared" si="12"/>
        <v>100</v>
      </c>
      <c r="T33" s="1559" t="s">
        <v>8</v>
      </c>
      <c r="U33" s="1560">
        <f t="shared" si="13"/>
        <v>100</v>
      </c>
      <c r="V33" s="1559" t="s">
        <v>8</v>
      </c>
      <c r="W33" s="1560">
        <f t="shared" si="14"/>
        <v>100</v>
      </c>
      <c r="X33" s="1553"/>
      <c r="Y33" s="3442"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42"/>
      <c r="Q34" s="1590" t="str">
        <f t="shared" si="11"/>
        <v>项目建筑规模</v>
      </c>
      <c r="R34" s="1563" t="s">
        <v>8</v>
      </c>
      <c r="S34" s="1564" t="e">
        <f t="shared" si="12"/>
        <v>#N/A</v>
      </c>
      <c r="T34" s="1563" t="s">
        <v>8</v>
      </c>
      <c r="U34" s="1564" t="e">
        <f t="shared" si="13"/>
        <v>#N/A</v>
      </c>
      <c r="V34" s="1563" t="s">
        <v>8</v>
      </c>
      <c r="W34" s="1564" t="e">
        <f t="shared" si="14"/>
        <v>#N/A</v>
      </c>
      <c r="X34" s="1565"/>
      <c r="Y34" s="3442"/>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42"/>
      <c r="Q35" s="1558" t="str">
        <f t="shared" si="11"/>
        <v>建筑结构</v>
      </c>
      <c r="R35" s="1559" t="s">
        <v>8</v>
      </c>
      <c r="S35" s="1560">
        <f t="shared" si="12"/>
        <v>100</v>
      </c>
      <c r="T35" s="1559" t="s">
        <v>8</v>
      </c>
      <c r="U35" s="1560">
        <f t="shared" si="13"/>
        <v>100</v>
      </c>
      <c r="V35" s="1559" t="s">
        <v>8</v>
      </c>
      <c r="W35" s="1560">
        <f t="shared" si="14"/>
        <v>100</v>
      </c>
      <c r="X35" s="1553"/>
      <c r="Y35" s="3442"/>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42"/>
      <c r="Q36" s="1558" t="str">
        <f t="shared" si="11"/>
        <v>公共部分装修</v>
      </c>
      <c r="R36" s="1559" t="s">
        <v>8</v>
      </c>
      <c r="S36" s="1560">
        <f t="shared" si="12"/>
        <v>100</v>
      </c>
      <c r="T36" s="1559" t="s">
        <v>8</v>
      </c>
      <c r="U36" s="1560">
        <f t="shared" si="13"/>
        <v>100</v>
      </c>
      <c r="V36" s="1559" t="s">
        <v>8</v>
      </c>
      <c r="W36" s="1560">
        <f t="shared" si="14"/>
        <v>100</v>
      </c>
      <c r="X36" s="1553"/>
      <c r="Y36" s="3442"/>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42"/>
      <c r="Q37" s="1558" t="str">
        <f t="shared" si="11"/>
        <v>成新度</v>
      </c>
      <c r="R37" s="1559" t="s">
        <v>8</v>
      </c>
      <c r="S37" s="1560" t="e">
        <f t="shared" si="12"/>
        <v>#N/A</v>
      </c>
      <c r="T37" s="1559" t="s">
        <v>8</v>
      </c>
      <c r="U37" s="1560" t="e">
        <f t="shared" si="13"/>
        <v>#N/A</v>
      </c>
      <c r="V37" s="1559" t="s">
        <v>8</v>
      </c>
      <c r="W37" s="1560" t="e">
        <f t="shared" si="14"/>
        <v>#N/A</v>
      </c>
      <c r="X37" s="1553"/>
      <c r="Y37" s="3442"/>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42"/>
      <c r="Q38" s="1146" t="str">
        <f t="shared" si="11"/>
        <v>写字楼等级</v>
      </c>
      <c r="R38" s="1554" t="s">
        <v>8</v>
      </c>
      <c r="S38" s="1555">
        <f t="shared" si="12"/>
        <v>100</v>
      </c>
      <c r="T38" s="1554" t="s">
        <v>8</v>
      </c>
      <c r="U38" s="1555">
        <f t="shared" si="13"/>
        <v>100</v>
      </c>
      <c r="V38" s="1554" t="s">
        <v>8</v>
      </c>
      <c r="W38" s="1555">
        <f t="shared" si="14"/>
        <v>100</v>
      </c>
      <c r="X38" s="1556"/>
      <c r="Y38" s="3442"/>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42" t="s">
        <v>550</v>
      </c>
      <c r="Q39" s="1558" t="str">
        <f t="shared" si="11"/>
        <v>物业管理</v>
      </c>
      <c r="R39" s="1559" t="s">
        <v>8</v>
      </c>
      <c r="S39" s="1560">
        <f t="shared" si="12"/>
        <v>100</v>
      </c>
      <c r="T39" s="1559" t="s">
        <v>8</v>
      </c>
      <c r="U39" s="1560">
        <f t="shared" si="13"/>
        <v>100</v>
      </c>
      <c r="V39" s="1559" t="s">
        <v>8</v>
      </c>
      <c r="W39" s="1560">
        <f t="shared" si="14"/>
        <v>100</v>
      </c>
      <c r="X39" s="1553"/>
      <c r="Y39" s="3442"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42"/>
      <c r="Q40" s="1558" t="str">
        <f t="shared" si="11"/>
        <v>市政基础设施</v>
      </c>
      <c r="R40" s="1559" t="s">
        <v>8</v>
      </c>
      <c r="S40" s="1560">
        <f t="shared" si="12"/>
        <v>100</v>
      </c>
      <c r="T40" s="1559" t="s">
        <v>8</v>
      </c>
      <c r="U40" s="1560">
        <f t="shared" si="13"/>
        <v>100</v>
      </c>
      <c r="V40" s="1559" t="s">
        <v>8</v>
      </c>
      <c r="W40" s="1560">
        <f t="shared" si="14"/>
        <v>100</v>
      </c>
      <c r="X40" s="1553"/>
      <c r="Y40" s="3442"/>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42"/>
      <c r="Q41" s="1558" t="str">
        <f t="shared" si="11"/>
        <v>层高</v>
      </c>
      <c r="R41" s="1559" t="s">
        <v>8</v>
      </c>
      <c r="S41" s="1560">
        <f t="shared" si="12"/>
        <v>100</v>
      </c>
      <c r="T41" s="1559" t="s">
        <v>8</v>
      </c>
      <c r="U41" s="1560">
        <f t="shared" si="13"/>
        <v>100</v>
      </c>
      <c r="V41" s="1559" t="s">
        <v>8</v>
      </c>
      <c r="W41" s="1560">
        <f t="shared" si="14"/>
        <v>100</v>
      </c>
      <c r="X41" s="1553"/>
      <c r="Y41" s="3442"/>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42"/>
      <c r="Q42" s="1590" t="str">
        <f t="shared" si="11"/>
        <v>单套建筑面积</v>
      </c>
      <c r="R42" s="1563" t="s">
        <v>8</v>
      </c>
      <c r="S42" s="1564">
        <f t="shared" si="12"/>
        <v>100</v>
      </c>
      <c r="T42" s="1563" t="s">
        <v>8</v>
      </c>
      <c r="U42" s="1564">
        <f t="shared" si="13"/>
        <v>100</v>
      </c>
      <c r="V42" s="1563" t="s">
        <v>8</v>
      </c>
      <c r="W42" s="1564">
        <f t="shared" si="14"/>
        <v>100</v>
      </c>
      <c r="X42" s="1565"/>
      <c r="Y42" s="3442"/>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42"/>
      <c r="Q43" s="1558" t="str">
        <f t="shared" si="11"/>
        <v>内部装修</v>
      </c>
      <c r="R43" s="1559" t="s">
        <v>8</v>
      </c>
      <c r="S43" s="1560">
        <f t="shared" si="12"/>
        <v>100</v>
      </c>
      <c r="T43" s="1559" t="s">
        <v>8</v>
      </c>
      <c r="U43" s="1560">
        <f t="shared" si="13"/>
        <v>100</v>
      </c>
      <c r="V43" s="1559" t="s">
        <v>8</v>
      </c>
      <c r="W43" s="1560">
        <f t="shared" si="14"/>
        <v>100</v>
      </c>
      <c r="X43" s="1553"/>
      <c r="Y43" s="3442"/>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42"/>
      <c r="Q44" s="1558" t="str">
        <f t="shared" si="11"/>
        <v>内部装修维护情况</v>
      </c>
      <c r="R44" s="1559" t="s">
        <v>8</v>
      </c>
      <c r="S44" s="1560">
        <f t="shared" si="12"/>
        <v>100</v>
      </c>
      <c r="T44" s="1559" t="s">
        <v>8</v>
      </c>
      <c r="U44" s="1560">
        <f t="shared" si="13"/>
        <v>100</v>
      </c>
      <c r="V44" s="1559" t="s">
        <v>8</v>
      </c>
      <c r="W44" s="1560">
        <f t="shared" si="14"/>
        <v>100</v>
      </c>
      <c r="X44" s="1553"/>
      <c r="Y44" s="3442"/>
      <c r="Z44" s="1561" t="str">
        <f t="shared" si="15"/>
        <v>内部装修维护情况</v>
      </c>
      <c r="AA44" s="1562">
        <f t="shared" si="3"/>
        <v>1</v>
      </c>
      <c r="AB44" s="1562">
        <f t="shared" si="4"/>
        <v>1</v>
      </c>
      <c r="AC44" s="1562">
        <f t="shared" si="5"/>
        <v>1</v>
      </c>
    </row>
    <row r="45" spans="1:29" s="1215"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42"/>
      <c r="Q45" s="1146">
        <f t="shared" si="11"/>
        <v>111</v>
      </c>
      <c r="R45" s="1554" t="s">
        <v>8</v>
      </c>
      <c r="S45" s="1555">
        <f t="shared" si="12"/>
        <v>100</v>
      </c>
      <c r="T45" s="1554" t="s">
        <v>8</v>
      </c>
      <c r="U45" s="1555">
        <f t="shared" si="13"/>
        <v>100</v>
      </c>
      <c r="V45" s="1554" t="s">
        <v>8</v>
      </c>
      <c r="W45" s="1555">
        <f t="shared" si="14"/>
        <v>100</v>
      </c>
      <c r="X45" s="1556"/>
      <c r="Y45" s="3442"/>
      <c r="Z45" s="1145">
        <f t="shared" si="15"/>
        <v>111</v>
      </c>
      <c r="AA45" s="1557">
        <f t="shared" si="3"/>
        <v>1</v>
      </c>
      <c r="AB45" s="1557">
        <f t="shared" si="4"/>
        <v>1</v>
      </c>
      <c r="AC45" s="1557">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42"/>
      <c r="Q46" s="1558">
        <f t="shared" si="11"/>
        <v>111</v>
      </c>
      <c r="R46" s="1559" t="s">
        <v>8</v>
      </c>
      <c r="S46" s="1560">
        <f t="shared" si="12"/>
        <v>100</v>
      </c>
      <c r="T46" s="1559" t="s">
        <v>8</v>
      </c>
      <c r="U46" s="1560">
        <f t="shared" si="13"/>
        <v>100</v>
      </c>
      <c r="V46" s="1559" t="s">
        <v>8</v>
      </c>
      <c r="W46" s="1560">
        <f t="shared" si="14"/>
        <v>100</v>
      </c>
      <c r="X46" s="1553"/>
      <c r="Y46" s="3442"/>
      <c r="Z46" s="1561">
        <f t="shared" si="15"/>
        <v>111</v>
      </c>
      <c r="AA46" s="1562">
        <f t="shared" si="3"/>
        <v>1</v>
      </c>
      <c r="AB46" s="1562">
        <f t="shared" si="4"/>
        <v>1</v>
      </c>
      <c r="AC46" s="1562">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33"/>
      <c r="Q47" s="1558">
        <f t="shared" si="11"/>
        <v>111</v>
      </c>
      <c r="R47" s="1559" t="s">
        <v>8</v>
      </c>
      <c r="S47" s="1560">
        <f t="shared" si="12"/>
        <v>100</v>
      </c>
      <c r="T47" s="1559" t="s">
        <v>8</v>
      </c>
      <c r="U47" s="1560">
        <f t="shared" si="13"/>
        <v>100</v>
      </c>
      <c r="V47" s="1559" t="s">
        <v>8</v>
      </c>
      <c r="W47" s="1560">
        <f t="shared" si="14"/>
        <v>100</v>
      </c>
      <c r="X47" s="1553"/>
      <c r="Y47" s="3533"/>
      <c r="Z47" s="1561">
        <f t="shared" si="15"/>
        <v>111</v>
      </c>
      <c r="AA47" s="1562">
        <f t="shared" si="3"/>
        <v>1</v>
      </c>
      <c r="AB47" s="1562">
        <f t="shared" si="4"/>
        <v>1</v>
      </c>
      <c r="AC47" s="1562">
        <f t="shared" si="5"/>
        <v>1</v>
      </c>
    </row>
    <row r="48" spans="1:29" ht="15">
      <c r="A48" s="607" t="s">
        <v>736</v>
      </c>
      <c r="B48" s="886"/>
      <c r="C48" s="2591" t="s">
        <v>1</v>
      </c>
      <c r="D48" s="2592"/>
      <c r="E48" s="2593"/>
      <c r="F48" s="2594"/>
      <c r="G48" s="2595"/>
      <c r="H48" s="2596"/>
      <c r="I48" s="2593"/>
      <c r="J48" s="2596"/>
      <c r="K48" s="1596"/>
      <c r="L48" s="2129"/>
      <c r="M48" s="2119"/>
      <c r="N48" s="2119"/>
      <c r="O48" s="2119"/>
      <c r="P48" s="3459" t="str">
        <f>A48</f>
        <v>成交单价（元/平方米）</v>
      </c>
      <c r="Q48" s="3437"/>
      <c r="R48" s="3532">
        <f>E48</f>
        <v>0</v>
      </c>
      <c r="S48" s="3532"/>
      <c r="T48" s="3532">
        <f>G48</f>
        <v>0</v>
      </c>
      <c r="U48" s="3532"/>
      <c r="V48" s="3532">
        <f>I48</f>
        <v>0</v>
      </c>
      <c r="W48" s="3532"/>
      <c r="X48" s="1545"/>
      <c r="Y48" s="1567"/>
      <c r="Z48" s="1545"/>
      <c r="AA48" s="1545"/>
      <c r="AB48" s="1545"/>
      <c r="AC48" s="1545"/>
    </row>
    <row r="49" spans="1:29" ht="15.75" thickBot="1">
      <c r="A49" s="615" t="s">
        <v>2760</v>
      </c>
      <c r="B49" s="887"/>
      <c r="C49" s="2597" t="e">
        <f>R50</f>
        <v>#DIV/0!</v>
      </c>
      <c r="D49" s="2598"/>
      <c r="E49" s="2599" t="e">
        <f>R49</f>
        <v>#DIV/0!</v>
      </c>
      <c r="F49" s="2599"/>
      <c r="G49" s="2597" t="e">
        <f>T49</f>
        <v>#DIV/0!</v>
      </c>
      <c r="H49" s="2598"/>
      <c r="I49" s="2599" t="e">
        <f>V49</f>
        <v>#DIV/0!</v>
      </c>
      <c r="J49" s="2598"/>
      <c r="K49" s="1597"/>
      <c r="L49" s="2129"/>
      <c r="M49" s="2119"/>
      <c r="N49" s="2119"/>
      <c r="O49" s="2119"/>
      <c r="P49" s="3459" t="str">
        <f>A49</f>
        <v>比较价格（元/平方米）</v>
      </c>
      <c r="Q49" s="3437"/>
      <c r="R49" s="3532" t="e">
        <f>IF(F1="售价",ROUND(PRODUCT(R48,AA7:AA47),0),ROUND(PRODUCT(R48,AA7:AA47),1))</f>
        <v>#DIV/0!</v>
      </c>
      <c r="S49" s="3532"/>
      <c r="T49" s="3532" t="e">
        <f>IF(F1="售价",ROUND(PRODUCT(T48,AB7:AB47),0),ROUND(PRODUCT(T48,AB7:AB47),1))</f>
        <v>#DIV/0!</v>
      </c>
      <c r="U49" s="3532"/>
      <c r="V49" s="3532" t="e">
        <f>IF(F1="售价",ROUND(PRODUCT(V48,AC7:AC47),0),ROUND(PRODUCT(V48,AC7:AC47),1))</f>
        <v>#DIV/0!</v>
      </c>
      <c r="W49" s="3532"/>
      <c r="X49" s="1545"/>
      <c r="Y49" s="1545"/>
      <c r="Z49" s="1545"/>
      <c r="AA49" s="1545"/>
      <c r="AB49" s="1545"/>
      <c r="AC49" s="1545"/>
    </row>
    <row r="50" spans="1:29" ht="15.75" thickBot="1">
      <c r="A50" s="621" t="s">
        <v>2936</v>
      </c>
      <c r="B50" s="622"/>
      <c r="C50" s="2600" t="e">
        <f>R50</f>
        <v>#DIV/0!</v>
      </c>
      <c r="D50" s="2600"/>
      <c r="E50" s="2600"/>
      <c r="F50" s="2600"/>
      <c r="G50" s="2600"/>
      <c r="H50" s="2600"/>
      <c r="I50" s="2600"/>
      <c r="J50" s="2600"/>
      <c r="K50" s="1598"/>
      <c r="L50" s="2129"/>
      <c r="M50" s="2119"/>
      <c r="N50" s="2119"/>
      <c r="O50" s="2119"/>
      <c r="P50" s="3537" t="str">
        <f>A50</f>
        <v>估价对象XX用房的比较价格（楼面单价，元/平方米）</v>
      </c>
      <c r="Q50" s="3459"/>
      <c r="R50" s="3531" t="e">
        <f>IF(F1="售价",ROUND(AVERAGE(R49:V49),0),ROUND(AVERAGE(R49:V49),1))</f>
        <v>#DIV/0!</v>
      </c>
      <c r="S50" s="3531"/>
      <c r="T50" s="3531"/>
      <c r="U50" s="3531"/>
      <c r="V50" s="3531"/>
      <c r="W50" s="3531"/>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2019-6</v>
      </c>
      <c r="D59" s="2759">
        <f>EDATE(C59,-1)</f>
        <v>43586</v>
      </c>
      <c r="E59" s="2759">
        <f t="shared" ref="E59:O59" si="16">EDATE(D59,-1)</f>
        <v>43556</v>
      </c>
      <c r="F59" s="2759">
        <f t="shared" si="16"/>
        <v>43525</v>
      </c>
      <c r="G59" s="2759">
        <f t="shared" si="16"/>
        <v>43497</v>
      </c>
      <c r="H59" s="2759">
        <f t="shared" si="16"/>
        <v>43466</v>
      </c>
      <c r="I59" s="2759">
        <f t="shared" si="16"/>
        <v>43435</v>
      </c>
      <c r="J59" s="2759">
        <f t="shared" si="16"/>
        <v>43405</v>
      </c>
      <c r="K59" s="2759">
        <f t="shared" si="16"/>
        <v>43374</v>
      </c>
      <c r="L59" s="2759">
        <f t="shared" si="16"/>
        <v>43344</v>
      </c>
      <c r="M59" s="2759">
        <f t="shared" si="16"/>
        <v>43313</v>
      </c>
      <c r="N59" s="2759">
        <f t="shared" si="16"/>
        <v>43282</v>
      </c>
      <c r="O59" s="2759">
        <f t="shared" si="16"/>
        <v>43252</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2" priority="16" stopIfTrue="1" operator="containsText" text="超过">
      <formula>NOT(ISERROR(SEARCH("超过",F53)))</formula>
    </cfRule>
  </conditionalFormatting>
  <conditionalFormatting sqref="H55">
    <cfRule type="containsText" dxfId="71" priority="15" stopIfTrue="1" operator="containsText" text="超过">
      <formula>NOT(ISERROR(SEARCH("超过",H55)))</formula>
    </cfRule>
  </conditionalFormatting>
  <conditionalFormatting sqref="F55">
    <cfRule type="containsText" dxfId="70" priority="14" stopIfTrue="1" operator="containsText" text="超过">
      <formula>NOT(ISERROR(SEARCH("超过",F55)))</formula>
    </cfRule>
  </conditionalFormatting>
  <conditionalFormatting sqref="F54 H54">
    <cfRule type="containsText" dxfId="69" priority="13" stopIfTrue="1" operator="containsText" text="超过">
      <formula>NOT(ISERROR(SEARCH("超过",F54)))</formula>
    </cfRule>
  </conditionalFormatting>
  <conditionalFormatting sqref="E53">
    <cfRule type="expression" dxfId="68" priority="12" stopIfTrue="1">
      <formula>$F$53="超过30%"</formula>
    </cfRule>
  </conditionalFormatting>
  <conditionalFormatting sqref="E54">
    <cfRule type="expression" dxfId="67" priority="11" stopIfTrue="1">
      <formula>$F$54="超过20%"</formula>
    </cfRule>
  </conditionalFormatting>
  <conditionalFormatting sqref="E55">
    <cfRule type="expression" dxfId="66" priority="10" stopIfTrue="1">
      <formula>$F$55="超过30%"</formula>
    </cfRule>
  </conditionalFormatting>
  <conditionalFormatting sqref="G55">
    <cfRule type="expression" dxfId="65" priority="9" stopIfTrue="1">
      <formula>$H$55="超过30%"</formula>
    </cfRule>
  </conditionalFormatting>
  <conditionalFormatting sqref="G53">
    <cfRule type="expression" dxfId="64" priority="8" stopIfTrue="1">
      <formula>$H$53="超过30%"</formula>
    </cfRule>
  </conditionalFormatting>
  <conditionalFormatting sqref="G54">
    <cfRule type="expression" dxfId="63" priority="7" stopIfTrue="1">
      <formula>$H$54="超过20%"</formula>
    </cfRule>
  </conditionalFormatting>
  <conditionalFormatting sqref="J53">
    <cfRule type="containsText" dxfId="62" priority="6" stopIfTrue="1" operator="containsText" text="超过">
      <formula>NOT(ISERROR(SEARCH("超过",J53)))</formula>
    </cfRule>
  </conditionalFormatting>
  <conditionalFormatting sqref="J55">
    <cfRule type="containsText" dxfId="61" priority="5" stopIfTrue="1" operator="containsText" text="超过">
      <formula>NOT(ISERROR(SEARCH("超过",J55)))</formula>
    </cfRule>
  </conditionalFormatting>
  <conditionalFormatting sqref="J54">
    <cfRule type="containsText" dxfId="60" priority="4" stopIfTrue="1" operator="containsText" text="超过">
      <formula>NOT(ISERROR(SEARCH("超过",J54)))</formula>
    </cfRule>
  </conditionalFormatting>
  <conditionalFormatting sqref="I53">
    <cfRule type="expression" dxfId="59" priority="3" stopIfTrue="1">
      <formula>$J$53="超过30%"</formula>
    </cfRule>
  </conditionalFormatting>
  <conditionalFormatting sqref="I54">
    <cfRule type="expression" dxfId="58" priority="2" stopIfTrue="1">
      <formula>$J$53+$J$54="超过20%"</formula>
    </cfRule>
  </conditionalFormatting>
  <conditionalFormatting sqref="I55">
    <cfRule type="expression" dxfId="5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8"/>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43" t="s">
        <v>522</v>
      </c>
      <c r="D4" s="3444"/>
      <c r="E4" s="3467" t="s">
        <v>523</v>
      </c>
      <c r="F4" s="3468"/>
      <c r="G4" s="3443" t="s">
        <v>524</v>
      </c>
      <c r="H4" s="3444"/>
      <c r="I4" s="3443" t="s">
        <v>525</v>
      </c>
      <c r="J4" s="3444"/>
      <c r="K4" s="514" t="s">
        <v>526</v>
      </c>
      <c r="L4" s="2118"/>
      <c r="M4" s="2119"/>
      <c r="N4" s="2119"/>
      <c r="O4" s="2119"/>
      <c r="P4" s="3445" t="s">
        <v>527</v>
      </c>
      <c r="Q4" s="3446"/>
      <c r="R4" s="3431" t="s">
        <v>523</v>
      </c>
      <c r="S4" s="3432"/>
      <c r="T4" s="3431" t="s">
        <v>524</v>
      </c>
      <c r="U4" s="3432"/>
      <c r="V4" s="3451" t="s">
        <v>525</v>
      </c>
      <c r="W4" s="3451"/>
      <c r="X4" s="1553"/>
      <c r="Y4" s="3431" t="s">
        <v>527</v>
      </c>
      <c r="Z4" s="3432"/>
      <c r="AA4" s="3426" t="s">
        <v>523</v>
      </c>
      <c r="AB4" s="3427" t="s">
        <v>524</v>
      </c>
      <c r="AC4" s="3426" t="s">
        <v>525</v>
      </c>
    </row>
    <row r="5" spans="1:29" ht="15">
      <c r="A5" s="515"/>
      <c r="B5" s="516"/>
      <c r="C5" s="3454" t="s">
        <v>2930</v>
      </c>
      <c r="D5" s="3455"/>
      <c r="E5" s="3469" t="s">
        <v>2931</v>
      </c>
      <c r="F5" s="3470"/>
      <c r="G5" s="3454" t="s">
        <v>2932</v>
      </c>
      <c r="H5" s="3455"/>
      <c r="I5" s="3454" t="s">
        <v>2933</v>
      </c>
      <c r="J5" s="3455"/>
      <c r="K5" s="514"/>
      <c r="L5" s="2118"/>
      <c r="M5" s="2119"/>
      <c r="N5" s="2119"/>
      <c r="O5" s="2119"/>
      <c r="P5" s="3447"/>
      <c r="Q5" s="3448"/>
      <c r="R5" s="3433"/>
      <c r="S5" s="3434"/>
      <c r="T5" s="3433"/>
      <c r="U5" s="3434"/>
      <c r="V5" s="3451"/>
      <c r="W5" s="3451"/>
      <c r="X5" s="1553"/>
      <c r="Y5" s="3433"/>
      <c r="Z5" s="3434"/>
      <c r="AA5" s="3427"/>
      <c r="AB5" s="3427"/>
      <c r="AC5" s="3427"/>
    </row>
    <row r="6" spans="1:29" ht="15.75" thickBot="1">
      <c r="A6" s="517"/>
      <c r="B6" s="518"/>
      <c r="C6" s="3452" t="s">
        <v>2934</v>
      </c>
      <c r="D6" s="3453"/>
      <c r="E6" s="3471" t="s">
        <v>2934</v>
      </c>
      <c r="F6" s="3472"/>
      <c r="G6" s="3452" t="s">
        <v>2934</v>
      </c>
      <c r="H6" s="3453"/>
      <c r="I6" s="3452" t="s">
        <v>2934</v>
      </c>
      <c r="J6" s="3453"/>
      <c r="K6" s="514" t="s">
        <v>528</v>
      </c>
      <c r="L6" s="2118"/>
      <c r="M6" s="2119"/>
      <c r="N6" s="2119"/>
      <c r="O6" s="2119"/>
      <c r="P6" s="3449"/>
      <c r="Q6" s="3450"/>
      <c r="R6" s="3433"/>
      <c r="S6" s="3434"/>
      <c r="T6" s="3435"/>
      <c r="U6" s="3436"/>
      <c r="V6" s="3451"/>
      <c r="W6" s="3451"/>
      <c r="X6" s="1553"/>
      <c r="Y6" s="3435"/>
      <c r="Z6" s="3436"/>
      <c r="AA6" s="3428"/>
      <c r="AB6" s="3428"/>
      <c r="AC6" s="3428"/>
    </row>
    <row r="7" spans="1:29" s="1215" customFormat="1" ht="15.75" thickBot="1">
      <c r="A7" s="2867"/>
      <c r="B7" s="2874" t="s">
        <v>529</v>
      </c>
      <c r="C7" s="519">
        <f>'数据-取费表'!B2</f>
        <v>43646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29" t="s">
        <v>530</v>
      </c>
      <c r="Q7" s="3438"/>
      <c r="R7" s="1554" t="s">
        <v>8</v>
      </c>
      <c r="S7" s="1555">
        <f t="shared" ref="S7:S15" si="0">F7</f>
        <v>0</v>
      </c>
      <c r="T7" s="1554" t="s">
        <v>8</v>
      </c>
      <c r="U7" s="1555">
        <f t="shared" ref="U7:U15" si="1">H7</f>
        <v>0</v>
      </c>
      <c r="V7" s="1554" t="s">
        <v>8</v>
      </c>
      <c r="W7" s="1555">
        <f t="shared" ref="W7:W15" si="2">J7</f>
        <v>0</v>
      </c>
      <c r="X7" s="1556"/>
      <c r="Y7" s="3429" t="s">
        <v>530</v>
      </c>
      <c r="Z7" s="3430"/>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29" t="s">
        <v>533</v>
      </c>
      <c r="Q8" s="3430"/>
      <c r="R8" s="1554" t="s">
        <v>8</v>
      </c>
      <c r="S8" s="1555">
        <f t="shared" si="0"/>
        <v>0</v>
      </c>
      <c r="T8" s="1554" t="s">
        <v>8</v>
      </c>
      <c r="U8" s="1555">
        <f t="shared" si="1"/>
        <v>0</v>
      </c>
      <c r="V8" s="1554" t="s">
        <v>8</v>
      </c>
      <c r="W8" s="1555">
        <f t="shared" si="2"/>
        <v>0</v>
      </c>
      <c r="X8" s="1556"/>
      <c r="Y8" s="3429" t="s">
        <v>533</v>
      </c>
      <c r="Z8" s="3430"/>
      <c r="AA8" s="1557" t="e">
        <f t="shared" ref="AA8:AA40" si="3">D8/F8</f>
        <v>#DIV/0!</v>
      </c>
      <c r="AB8" s="1557" t="e">
        <f t="shared" ref="AB8:AB40" si="4">D8/H8</f>
        <v>#DIV/0!</v>
      </c>
      <c r="AC8" s="1557" t="e">
        <f t="shared" ref="AC8:AC40" si="5">D8/J8</f>
        <v>#DIV/0!</v>
      </c>
    </row>
    <row r="9" spans="1:29" s="1215" customFormat="1" ht="15">
      <c r="A9" s="2869"/>
      <c r="B9" s="2876" t="s">
        <v>2756</v>
      </c>
      <c r="C9" s="856"/>
      <c r="D9" s="254">
        <v>100</v>
      </c>
      <c r="E9" s="859"/>
      <c r="F9" s="254">
        <f>SUMIF(57:57,E9,58:58)-SUMIF(57:57,C9,58:58)+100</f>
        <v>100</v>
      </c>
      <c r="G9" s="857"/>
      <c r="H9" s="254">
        <f>SUMIF(57:57,G9,58:58)-SUMIF(57:57,C9,58:58)+100</f>
        <v>100</v>
      </c>
      <c r="I9" s="857"/>
      <c r="J9" s="254">
        <f>SUMIF(57:57,I9,58:58)-SUMIF(57:57,C9,58:58)+100</f>
        <v>100</v>
      </c>
      <c r="K9" s="524"/>
      <c r="L9" s="2120"/>
      <c r="M9" s="2121"/>
      <c r="N9" s="2121"/>
      <c r="O9" s="2122"/>
      <c r="P9" s="3437" t="s">
        <v>535</v>
      </c>
      <c r="Q9" s="1146" t="str">
        <f t="shared" ref="Q9:Q15" si="6">B9</f>
        <v>用途</v>
      </c>
      <c r="R9" s="1554" t="s">
        <v>8</v>
      </c>
      <c r="S9" s="1555">
        <f t="shared" si="0"/>
        <v>100</v>
      </c>
      <c r="T9" s="1554" t="s">
        <v>8</v>
      </c>
      <c r="U9" s="1555">
        <f t="shared" si="1"/>
        <v>100</v>
      </c>
      <c r="V9" s="1554" t="s">
        <v>8</v>
      </c>
      <c r="W9" s="1555">
        <f t="shared" si="2"/>
        <v>100</v>
      </c>
      <c r="X9" s="1556"/>
      <c r="Y9" s="3394" t="s">
        <v>536</v>
      </c>
      <c r="Z9" s="1145" t="str">
        <f t="shared" ref="Z9:Z15" si="7">Q9</f>
        <v>用途</v>
      </c>
      <c r="AA9" s="1557">
        <f t="shared" si="3"/>
        <v>1</v>
      </c>
      <c r="AB9" s="1557">
        <f t="shared" si="4"/>
        <v>1</v>
      </c>
      <c r="AC9" s="1557">
        <f t="shared" si="5"/>
        <v>1</v>
      </c>
    </row>
    <row r="10" spans="1:29" s="1333" customFormat="1" ht="27">
      <c r="A10" s="2870"/>
      <c r="B10" s="2875" t="s">
        <v>2757</v>
      </c>
      <c r="C10" s="860"/>
      <c r="D10" s="255">
        <v>100</v>
      </c>
      <c r="E10" s="860"/>
      <c r="F10" s="255">
        <f>SUMIF(59:59,E10,60:60)-SUMIF(59:59,C10,60:60)+100</f>
        <v>100</v>
      </c>
      <c r="G10" s="861"/>
      <c r="H10" s="255">
        <f>SUMIF(59:59,G10,60:60)-SUMIF(59:59,C10,60:60)+100</f>
        <v>100</v>
      </c>
      <c r="I10" s="860"/>
      <c r="J10" s="255">
        <f>SUMIF(59:59,I10,60:60)-SUMIF(59:59,C10,60:60)+100</f>
        <v>100</v>
      </c>
      <c r="K10" s="584"/>
      <c r="L10" s="2123"/>
      <c r="M10" s="2163"/>
      <c r="N10" s="2163"/>
      <c r="O10" s="2124"/>
      <c r="P10" s="3437"/>
      <c r="Q10" s="1146" t="str">
        <f t="shared" si="6"/>
        <v>土地使用年限（年）</v>
      </c>
      <c r="R10" s="1554" t="s">
        <v>8</v>
      </c>
      <c r="S10" s="1555">
        <f t="shared" si="0"/>
        <v>100</v>
      </c>
      <c r="T10" s="1554" t="s">
        <v>8</v>
      </c>
      <c r="U10" s="1555">
        <f t="shared" si="1"/>
        <v>100</v>
      </c>
      <c r="V10" s="1554" t="s">
        <v>8</v>
      </c>
      <c r="W10" s="1555">
        <f t="shared" si="2"/>
        <v>100</v>
      </c>
      <c r="X10" s="1556"/>
      <c r="Y10" s="3394"/>
      <c r="Z10" s="1145"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37"/>
      <c r="Q11" s="1146" t="str">
        <f t="shared" si="6"/>
        <v>容积率</v>
      </c>
      <c r="R11" s="1554" t="s">
        <v>8</v>
      </c>
      <c r="S11" s="1555" t="e">
        <f t="shared" si="0"/>
        <v>#N/A</v>
      </c>
      <c r="T11" s="1554" t="s">
        <v>8</v>
      </c>
      <c r="U11" s="1555" t="e">
        <f t="shared" si="1"/>
        <v>#N/A</v>
      </c>
      <c r="V11" s="1554" t="s">
        <v>8</v>
      </c>
      <c r="W11" s="1555" t="e">
        <f t="shared" si="2"/>
        <v>#N/A</v>
      </c>
      <c r="X11" s="1556"/>
      <c r="Y11" s="339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37"/>
      <c r="Q12" s="1146">
        <f t="shared" si="6"/>
        <v>111</v>
      </c>
      <c r="R12" s="1554" t="s">
        <v>8</v>
      </c>
      <c r="S12" s="1555">
        <f t="shared" si="0"/>
        <v>100</v>
      </c>
      <c r="T12" s="1554" t="s">
        <v>8</v>
      </c>
      <c r="U12" s="1555">
        <f t="shared" si="1"/>
        <v>100</v>
      </c>
      <c r="V12" s="1554" t="s">
        <v>8</v>
      </c>
      <c r="W12" s="1555">
        <f t="shared" si="2"/>
        <v>100</v>
      </c>
      <c r="X12" s="1556"/>
      <c r="Y12" s="3394"/>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37"/>
      <c r="Q13" s="1146">
        <f t="shared" si="6"/>
        <v>111</v>
      </c>
      <c r="R13" s="1554" t="s">
        <v>8</v>
      </c>
      <c r="S13" s="1555">
        <f t="shared" si="0"/>
        <v>100</v>
      </c>
      <c r="T13" s="1554" t="s">
        <v>8</v>
      </c>
      <c r="U13" s="1555">
        <f t="shared" si="1"/>
        <v>100</v>
      </c>
      <c r="V13" s="1554" t="s">
        <v>8</v>
      </c>
      <c r="W13" s="1555">
        <f t="shared" si="2"/>
        <v>100</v>
      </c>
      <c r="X13" s="1556"/>
      <c r="Y13" s="3394"/>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37"/>
      <c r="Q14" s="1146">
        <f t="shared" si="6"/>
        <v>111</v>
      </c>
      <c r="R14" s="1554" t="s">
        <v>8</v>
      </c>
      <c r="S14" s="1555">
        <f t="shared" si="0"/>
        <v>100</v>
      </c>
      <c r="T14" s="1554" t="s">
        <v>8</v>
      </c>
      <c r="U14" s="1555">
        <f t="shared" si="1"/>
        <v>100</v>
      </c>
      <c r="V14" s="1554" t="s">
        <v>8</v>
      </c>
      <c r="W14" s="1555">
        <f t="shared" si="2"/>
        <v>100</v>
      </c>
      <c r="X14" s="1556"/>
      <c r="Y14" s="3394"/>
      <c r="Z14" s="1145">
        <f t="shared" si="7"/>
        <v>111</v>
      </c>
      <c r="AA14" s="1557">
        <f t="shared" si="3"/>
        <v>1</v>
      </c>
      <c r="AB14" s="1557">
        <f t="shared" si="4"/>
        <v>1</v>
      </c>
      <c r="AC14" s="1557">
        <f t="shared" si="5"/>
        <v>1</v>
      </c>
    </row>
    <row r="15" spans="1:29" ht="57">
      <c r="A15" s="2865" t="s">
        <v>2754</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39" t="s">
        <v>540</v>
      </c>
      <c r="Q15" s="1558" t="str">
        <f t="shared" si="6"/>
        <v>产业集聚程度</v>
      </c>
      <c r="R15" s="1559" t="s">
        <v>8</v>
      </c>
      <c r="S15" s="1560">
        <f t="shared" si="0"/>
        <v>100</v>
      </c>
      <c r="T15" s="1559" t="s">
        <v>8</v>
      </c>
      <c r="U15" s="1560">
        <f t="shared" si="1"/>
        <v>100</v>
      </c>
      <c r="V15" s="1559" t="s">
        <v>8</v>
      </c>
      <c r="W15" s="1560">
        <f t="shared" si="2"/>
        <v>100</v>
      </c>
      <c r="X15" s="1553"/>
      <c r="Y15" s="3439" t="s">
        <v>540</v>
      </c>
      <c r="Z15" s="1561" t="str">
        <f t="shared" si="7"/>
        <v>产业集聚程度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440"/>
      <c r="Q16" s="1558"/>
      <c r="R16" s="1559"/>
      <c r="S16" s="1560"/>
      <c r="T16" s="1559"/>
      <c r="U16" s="1560"/>
      <c r="V16" s="1559"/>
      <c r="W16" s="1560"/>
      <c r="X16" s="1553"/>
      <c r="Y16" s="3440"/>
      <c r="Z16" s="1561"/>
      <c r="AA16" s="1562">
        <v>1</v>
      </c>
      <c r="AB16" s="1562">
        <v>1</v>
      </c>
      <c r="AC16" s="1562">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40"/>
      <c r="Q17" s="1558" t="str">
        <f>B17</f>
        <v>交通便捷度</v>
      </c>
      <c r="R17" s="1559" t="s">
        <v>8</v>
      </c>
      <c r="S17" s="1560">
        <f>F17</f>
        <v>100</v>
      </c>
      <c r="T17" s="1559" t="s">
        <v>8</v>
      </c>
      <c r="U17" s="1560">
        <f>H17</f>
        <v>100</v>
      </c>
      <c r="V17" s="1559" t="s">
        <v>8</v>
      </c>
      <c r="W17" s="1560">
        <f>J17</f>
        <v>100</v>
      </c>
      <c r="X17" s="1553"/>
      <c r="Y17" s="3440"/>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440"/>
      <c r="Q18" s="1558"/>
      <c r="R18" s="1559"/>
      <c r="S18" s="1560"/>
      <c r="T18" s="1559"/>
      <c r="U18" s="1560"/>
      <c r="V18" s="1559"/>
      <c r="W18" s="1560"/>
      <c r="X18" s="1553"/>
      <c r="Y18" s="3440"/>
      <c r="Z18" s="1561"/>
      <c r="AA18" s="1562">
        <v>1</v>
      </c>
      <c r="AB18" s="1562">
        <v>1</v>
      </c>
      <c r="AC18" s="1562">
        <v>1</v>
      </c>
    </row>
    <row r="19" spans="1:29" ht="42.75">
      <c r="A19" s="532"/>
      <c r="B19" s="2567" t="s">
        <v>2546</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40"/>
      <c r="Q19" s="1558" t="str">
        <f>B19</f>
        <v>公共配套设施</v>
      </c>
      <c r="R19" s="1559" t="s">
        <v>8</v>
      </c>
      <c r="S19" s="1560">
        <f>F19</f>
        <v>100</v>
      </c>
      <c r="T19" s="1559" t="s">
        <v>8</v>
      </c>
      <c r="U19" s="1560">
        <f>H19</f>
        <v>100</v>
      </c>
      <c r="V19" s="1559" t="s">
        <v>8</v>
      </c>
      <c r="W19" s="1560">
        <f>J19</f>
        <v>100</v>
      </c>
      <c r="X19" s="1553"/>
      <c r="Y19" s="3440"/>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40"/>
      <c r="Q20" s="1558"/>
      <c r="R20" s="1559"/>
      <c r="S20" s="1560"/>
      <c r="T20" s="1559"/>
      <c r="U20" s="1560"/>
      <c r="V20" s="1559"/>
      <c r="W20" s="1560"/>
      <c r="X20" s="1553"/>
      <c r="Y20" s="3440"/>
      <c r="Z20" s="1561"/>
      <c r="AA20" s="1562">
        <v>1</v>
      </c>
      <c r="AB20" s="1562">
        <v>1</v>
      </c>
      <c r="AC20" s="1562">
        <v>1</v>
      </c>
    </row>
    <row r="21" spans="1:29" ht="28.5">
      <c r="A21" s="532"/>
      <c r="B21" s="2555" t="s">
        <v>2558</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40"/>
      <c r="Q21" s="2543" t="str">
        <f>B21</f>
        <v>基础设施水平</v>
      </c>
      <c r="R21" s="1559" t="s">
        <v>8</v>
      </c>
      <c r="S21" s="1560">
        <f>F21</f>
        <v>100</v>
      </c>
      <c r="T21" s="1559" t="s">
        <v>8</v>
      </c>
      <c r="U21" s="1560">
        <f>H21</f>
        <v>100</v>
      </c>
      <c r="V21" s="1559" t="s">
        <v>8</v>
      </c>
      <c r="W21" s="1560">
        <f>J21</f>
        <v>100</v>
      </c>
      <c r="X21" s="2545"/>
      <c r="Y21" s="3440"/>
      <c r="Z21" s="2544" t="str">
        <f>Q21</f>
        <v>基础设施水平</v>
      </c>
      <c r="AA21" s="1562">
        <f t="shared" ref="AA21" si="8">D21/F21</f>
        <v>1</v>
      </c>
      <c r="AB21" s="1562">
        <f t="shared" ref="AB21" si="9">D21/H21</f>
        <v>1</v>
      </c>
      <c r="AC21" s="1562">
        <f t="shared" ref="AC21" si="10">D21/J21</f>
        <v>1</v>
      </c>
    </row>
    <row r="22" spans="1:29" ht="15">
      <c r="A22" s="532"/>
      <c r="B22" s="578"/>
      <c r="C22" s="872"/>
      <c r="D22" s="555"/>
      <c r="E22" s="576"/>
      <c r="F22" s="557"/>
      <c r="G22" s="576"/>
      <c r="H22" s="555"/>
      <c r="I22" s="576"/>
      <c r="J22" s="555"/>
      <c r="K22" s="2566"/>
      <c r="L22" s="2127"/>
      <c r="M22" s="2119"/>
      <c r="N22" s="2119"/>
      <c r="O22" s="2126"/>
      <c r="P22" s="3440"/>
      <c r="Q22" s="2543"/>
      <c r="R22" s="1559"/>
      <c r="S22" s="1560"/>
      <c r="T22" s="1559"/>
      <c r="U22" s="1560"/>
      <c r="V22" s="1559"/>
      <c r="W22" s="1560"/>
      <c r="X22" s="2545"/>
      <c r="Y22" s="3440"/>
      <c r="Z22" s="2544"/>
      <c r="AA22" s="1562">
        <v>1</v>
      </c>
      <c r="AB22" s="1562">
        <v>1</v>
      </c>
      <c r="AC22" s="1562">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40"/>
      <c r="Q23" s="1558" t="str">
        <f>B23</f>
        <v>环境质量</v>
      </c>
      <c r="R23" s="1559" t="s">
        <v>8</v>
      </c>
      <c r="S23" s="1560">
        <f>F23</f>
        <v>100</v>
      </c>
      <c r="T23" s="1559" t="s">
        <v>8</v>
      </c>
      <c r="U23" s="1560">
        <f>H23</f>
        <v>100</v>
      </c>
      <c r="V23" s="1559" t="s">
        <v>8</v>
      </c>
      <c r="W23" s="1560">
        <f>J23</f>
        <v>100</v>
      </c>
      <c r="X23" s="1553"/>
      <c r="Y23" s="3440"/>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40"/>
      <c r="Q24" s="1558"/>
      <c r="R24" s="1559"/>
      <c r="S24" s="1560"/>
      <c r="T24" s="1559"/>
      <c r="U24" s="1560"/>
      <c r="V24" s="1559"/>
      <c r="W24" s="1560"/>
      <c r="X24" s="1553"/>
      <c r="Y24" s="3440"/>
      <c r="Z24" s="1561"/>
      <c r="AA24" s="1562">
        <v>1</v>
      </c>
      <c r="AB24" s="1562">
        <v>1</v>
      </c>
      <c r="AC24" s="1562">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40"/>
      <c r="Q25" s="1558">
        <f>B25</f>
        <v>111</v>
      </c>
      <c r="R25" s="1559" t="s">
        <v>8</v>
      </c>
      <c r="S25" s="1560">
        <f>F25</f>
        <v>100</v>
      </c>
      <c r="T25" s="1559" t="s">
        <v>8</v>
      </c>
      <c r="U25" s="1560">
        <f>H25</f>
        <v>100</v>
      </c>
      <c r="V25" s="1559" t="s">
        <v>8</v>
      </c>
      <c r="W25" s="1560">
        <f>J25</f>
        <v>100</v>
      </c>
      <c r="X25" s="1553"/>
      <c r="Y25" s="3440"/>
      <c r="Z25" s="1561">
        <f>Q25</f>
        <v>111</v>
      </c>
      <c r="AA25" s="1562">
        <f t="shared" si="3"/>
        <v>1</v>
      </c>
      <c r="AB25" s="1562">
        <f t="shared" si="4"/>
        <v>1</v>
      </c>
      <c r="AC25" s="1562">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40"/>
      <c r="Q26" s="1558">
        <f t="shared" ref="Q26:Q40" si="11">B26</f>
        <v>111</v>
      </c>
      <c r="R26" s="1559" t="s">
        <v>8</v>
      </c>
      <c r="S26" s="1560">
        <f>F26</f>
        <v>100</v>
      </c>
      <c r="T26" s="1559" t="s">
        <v>8</v>
      </c>
      <c r="U26" s="1560">
        <f>H26</f>
        <v>100</v>
      </c>
      <c r="V26" s="1559" t="s">
        <v>8</v>
      </c>
      <c r="W26" s="1560">
        <f>J26</f>
        <v>100</v>
      </c>
      <c r="X26" s="1553"/>
      <c r="Y26" s="3440"/>
      <c r="Z26" s="1561">
        <f>Q26</f>
        <v>111</v>
      </c>
      <c r="AA26" s="1562">
        <f t="shared" si="3"/>
        <v>1</v>
      </c>
      <c r="AB26" s="1562">
        <f t="shared" si="4"/>
        <v>1</v>
      </c>
      <c r="AC26" s="1562">
        <f t="shared" si="5"/>
        <v>1</v>
      </c>
    </row>
    <row r="27" spans="1:29" s="1215"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20"/>
      <c r="M27" s="2121"/>
      <c r="N27" s="2121"/>
      <c r="O27" s="2122"/>
      <c r="P27" s="3440"/>
      <c r="Q27" s="1146">
        <f t="shared" si="11"/>
        <v>111</v>
      </c>
      <c r="R27" s="1554" t="s">
        <v>8</v>
      </c>
      <c r="S27" s="1555">
        <f>F27</f>
        <v>100</v>
      </c>
      <c r="T27" s="1554" t="s">
        <v>8</v>
      </c>
      <c r="U27" s="1555">
        <f>H27</f>
        <v>100</v>
      </c>
      <c r="V27" s="1554" t="s">
        <v>8</v>
      </c>
      <c r="W27" s="1555">
        <f>J27</f>
        <v>100</v>
      </c>
      <c r="X27" s="1556"/>
      <c r="Y27" s="3440"/>
      <c r="Z27" s="1145">
        <f>Q27</f>
        <v>111</v>
      </c>
      <c r="AA27" s="1562">
        <f>D27/F27</f>
        <v>1</v>
      </c>
      <c r="AB27" s="1562">
        <f>D27/H27</f>
        <v>1</v>
      </c>
      <c r="AC27" s="1562">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7"/>
      <c r="M28" s="2119"/>
      <c r="N28" s="2119"/>
      <c r="O28" s="2126"/>
      <c r="P28" s="3440"/>
      <c r="Q28" s="1558">
        <f t="shared" si="11"/>
        <v>111</v>
      </c>
      <c r="R28" s="1559" t="s">
        <v>8</v>
      </c>
      <c r="S28" s="1560">
        <f t="shared" ref="S28:S40" si="12">F28</f>
        <v>100</v>
      </c>
      <c r="T28" s="1559" t="s">
        <v>8</v>
      </c>
      <c r="U28" s="1560">
        <f t="shared" ref="U28:U40" si="13">H28</f>
        <v>100</v>
      </c>
      <c r="V28" s="1559" t="s">
        <v>8</v>
      </c>
      <c r="W28" s="1560">
        <f t="shared" ref="W28:W40" si="14">J28</f>
        <v>100</v>
      </c>
      <c r="X28" s="1553"/>
      <c r="Y28" s="3440"/>
      <c r="Z28" s="1561">
        <f t="shared" ref="Z28:Z40" si="15">Q28</f>
        <v>111</v>
      </c>
      <c r="AA28" s="1562">
        <f t="shared" si="3"/>
        <v>1</v>
      </c>
      <c r="AB28" s="1562">
        <f t="shared" si="4"/>
        <v>1</v>
      </c>
      <c r="AC28" s="1562">
        <f t="shared" si="5"/>
        <v>1</v>
      </c>
    </row>
    <row r="29" spans="1:29" ht="15">
      <c r="A29" s="2862" t="s">
        <v>2755</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41" t="s">
        <v>550</v>
      </c>
      <c r="Q29" s="1558" t="str">
        <f t="shared" si="11"/>
        <v>建筑类型</v>
      </c>
      <c r="R29" s="1559" t="s">
        <v>8</v>
      </c>
      <c r="S29" s="1560">
        <f t="shared" si="12"/>
        <v>100</v>
      </c>
      <c r="T29" s="1559" t="s">
        <v>8</v>
      </c>
      <c r="U29" s="1560">
        <f t="shared" si="13"/>
        <v>100</v>
      </c>
      <c r="V29" s="1559" t="s">
        <v>8</v>
      </c>
      <c r="W29" s="1560">
        <f t="shared" si="14"/>
        <v>100</v>
      </c>
      <c r="X29" s="1553"/>
      <c r="Y29" s="3442"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5"/>
      <c r="M30" s="2156"/>
      <c r="N30" s="2156"/>
      <c r="O30" s="2128"/>
      <c r="P30" s="3442"/>
      <c r="Q30" s="1590" t="str">
        <f t="shared" si="11"/>
        <v>项目建筑规模</v>
      </c>
      <c r="R30" s="1563" t="s">
        <v>8</v>
      </c>
      <c r="S30" s="1564" t="e">
        <f t="shared" si="12"/>
        <v>#N/A</v>
      </c>
      <c r="T30" s="1563" t="s">
        <v>8</v>
      </c>
      <c r="U30" s="1564" t="e">
        <f t="shared" si="13"/>
        <v>#N/A</v>
      </c>
      <c r="V30" s="1563" t="s">
        <v>8</v>
      </c>
      <c r="W30" s="1564" t="e">
        <f t="shared" si="14"/>
        <v>#N/A</v>
      </c>
      <c r="X30" s="1565"/>
      <c r="Y30" s="3442"/>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42"/>
      <c r="Q31" s="1558" t="str">
        <f t="shared" si="11"/>
        <v>建筑结构</v>
      </c>
      <c r="R31" s="1559" t="s">
        <v>8</v>
      </c>
      <c r="S31" s="1560">
        <f t="shared" si="12"/>
        <v>100</v>
      </c>
      <c r="T31" s="1559" t="s">
        <v>8</v>
      </c>
      <c r="U31" s="1560">
        <f t="shared" si="13"/>
        <v>100</v>
      </c>
      <c r="V31" s="1559" t="s">
        <v>8</v>
      </c>
      <c r="W31" s="1560">
        <f t="shared" si="14"/>
        <v>100</v>
      </c>
      <c r="X31" s="1553"/>
      <c r="Y31" s="3442"/>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42"/>
      <c r="Q32" s="1558" t="str">
        <f t="shared" si="11"/>
        <v>公共部分装修</v>
      </c>
      <c r="R32" s="1559" t="s">
        <v>8</v>
      </c>
      <c r="S32" s="1560">
        <f t="shared" si="12"/>
        <v>100</v>
      </c>
      <c r="T32" s="1559" t="s">
        <v>8</v>
      </c>
      <c r="U32" s="1560">
        <f t="shared" si="13"/>
        <v>100</v>
      </c>
      <c r="V32" s="1559" t="s">
        <v>8</v>
      </c>
      <c r="W32" s="1560">
        <f t="shared" si="14"/>
        <v>100</v>
      </c>
      <c r="X32" s="1553"/>
      <c r="Y32" s="3442"/>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42"/>
      <c r="Q33" s="1558" t="str">
        <f t="shared" si="11"/>
        <v>成新度</v>
      </c>
      <c r="R33" s="1559" t="s">
        <v>8</v>
      </c>
      <c r="S33" s="1560" t="e">
        <f t="shared" si="12"/>
        <v>#N/A</v>
      </c>
      <c r="T33" s="1559" t="s">
        <v>8</v>
      </c>
      <c r="U33" s="1560" t="e">
        <f t="shared" si="13"/>
        <v>#N/A</v>
      </c>
      <c r="V33" s="1559" t="s">
        <v>8</v>
      </c>
      <c r="W33" s="1560" t="e">
        <f t="shared" si="14"/>
        <v>#N/A</v>
      </c>
      <c r="X33" s="1553"/>
      <c r="Y33" s="3442"/>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42"/>
      <c r="Q34" s="1146" t="str">
        <f t="shared" si="11"/>
        <v>物业管理</v>
      </c>
      <c r="R34" s="1554" t="s">
        <v>8</v>
      </c>
      <c r="S34" s="1555">
        <f t="shared" si="12"/>
        <v>100</v>
      </c>
      <c r="T34" s="1554" t="s">
        <v>8</v>
      </c>
      <c r="U34" s="1555">
        <f t="shared" si="13"/>
        <v>100</v>
      </c>
      <c r="V34" s="1554" t="s">
        <v>8</v>
      </c>
      <c r="W34" s="1555">
        <f t="shared" si="14"/>
        <v>100</v>
      </c>
      <c r="X34" s="1556"/>
      <c r="Y34" s="3442"/>
      <c r="Z34" s="1145"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42" t="s">
        <v>550</v>
      </c>
      <c r="Q35" s="1558" t="str">
        <f t="shared" si="11"/>
        <v>市政基础设施</v>
      </c>
      <c r="R35" s="1559" t="s">
        <v>8</v>
      </c>
      <c r="S35" s="1560">
        <f t="shared" si="12"/>
        <v>100</v>
      </c>
      <c r="T35" s="1559" t="s">
        <v>8</v>
      </c>
      <c r="U35" s="1560">
        <f t="shared" si="13"/>
        <v>100</v>
      </c>
      <c r="V35" s="1559" t="s">
        <v>8</v>
      </c>
      <c r="W35" s="1560">
        <f t="shared" si="14"/>
        <v>100</v>
      </c>
      <c r="X35" s="1553"/>
      <c r="Y35" s="3442"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42"/>
      <c r="Q36" s="1558" t="str">
        <f t="shared" si="11"/>
        <v>内部装修</v>
      </c>
      <c r="R36" s="1559" t="s">
        <v>8</v>
      </c>
      <c r="S36" s="1560">
        <f t="shared" si="12"/>
        <v>100</v>
      </c>
      <c r="T36" s="1559" t="s">
        <v>8</v>
      </c>
      <c r="U36" s="1560">
        <f t="shared" si="13"/>
        <v>100</v>
      </c>
      <c r="V36" s="1559" t="s">
        <v>8</v>
      </c>
      <c r="W36" s="1560">
        <f t="shared" si="14"/>
        <v>100</v>
      </c>
      <c r="X36" s="1553"/>
      <c r="Y36" s="3442"/>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42"/>
      <c r="Q37" s="1558" t="str">
        <f t="shared" si="11"/>
        <v>内部装修状况</v>
      </c>
      <c r="R37" s="1559" t="s">
        <v>8</v>
      </c>
      <c r="S37" s="1560">
        <f t="shared" si="12"/>
        <v>100</v>
      </c>
      <c r="T37" s="1559" t="s">
        <v>8</v>
      </c>
      <c r="U37" s="1560">
        <f t="shared" si="13"/>
        <v>100</v>
      </c>
      <c r="V37" s="1559" t="s">
        <v>8</v>
      </c>
      <c r="W37" s="1560">
        <f t="shared" si="14"/>
        <v>100</v>
      </c>
      <c r="X37" s="1553"/>
      <c r="Y37" s="3442"/>
      <c r="Z37" s="1561" t="str">
        <f t="shared" si="15"/>
        <v>内部装修状况</v>
      </c>
      <c r="AA37" s="1562">
        <f t="shared" si="3"/>
        <v>1</v>
      </c>
      <c r="AB37" s="1562">
        <f t="shared" si="4"/>
        <v>1</v>
      </c>
      <c r="AC37" s="1562">
        <f t="shared" si="5"/>
        <v>1</v>
      </c>
    </row>
    <row r="38" spans="1:29" s="1334"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42"/>
      <c r="Q38" s="1590">
        <f t="shared" si="11"/>
        <v>111</v>
      </c>
      <c r="R38" s="1563" t="s">
        <v>8</v>
      </c>
      <c r="S38" s="1564">
        <f t="shared" si="12"/>
        <v>100</v>
      </c>
      <c r="T38" s="1563" t="s">
        <v>8</v>
      </c>
      <c r="U38" s="1564">
        <f t="shared" si="13"/>
        <v>100</v>
      </c>
      <c r="V38" s="1563" t="s">
        <v>8</v>
      </c>
      <c r="W38" s="1564">
        <f t="shared" si="14"/>
        <v>100</v>
      </c>
      <c r="X38" s="1565"/>
      <c r="Y38" s="3442"/>
      <c r="Z38" s="1566">
        <f t="shared" si="15"/>
        <v>111</v>
      </c>
      <c r="AA38" s="1562">
        <f t="shared" si="3"/>
        <v>1</v>
      </c>
      <c r="AB38" s="1562">
        <f t="shared" si="4"/>
        <v>1</v>
      </c>
      <c r="AC38" s="1562">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42"/>
      <c r="Q39" s="1558">
        <f t="shared" si="11"/>
        <v>111</v>
      </c>
      <c r="R39" s="1559" t="s">
        <v>8</v>
      </c>
      <c r="S39" s="1560">
        <f t="shared" si="12"/>
        <v>100</v>
      </c>
      <c r="T39" s="1559" t="s">
        <v>8</v>
      </c>
      <c r="U39" s="1560">
        <f t="shared" si="13"/>
        <v>100</v>
      </c>
      <c r="V39" s="1559" t="s">
        <v>8</v>
      </c>
      <c r="W39" s="1560">
        <f t="shared" si="14"/>
        <v>100</v>
      </c>
      <c r="X39" s="1553"/>
      <c r="Y39" s="3442"/>
      <c r="Z39" s="1561">
        <f t="shared" si="15"/>
        <v>111</v>
      </c>
      <c r="AA39" s="1562">
        <f t="shared" si="3"/>
        <v>1</v>
      </c>
      <c r="AB39" s="1562">
        <f t="shared" si="4"/>
        <v>1</v>
      </c>
      <c r="AC39" s="1562">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33"/>
      <c r="Q40" s="1558">
        <f t="shared" si="11"/>
        <v>111</v>
      </c>
      <c r="R40" s="1559" t="s">
        <v>8</v>
      </c>
      <c r="S40" s="1560">
        <f t="shared" si="12"/>
        <v>100</v>
      </c>
      <c r="T40" s="1559" t="s">
        <v>8</v>
      </c>
      <c r="U40" s="1560">
        <f t="shared" si="13"/>
        <v>100</v>
      </c>
      <c r="V40" s="1559" t="s">
        <v>8</v>
      </c>
      <c r="W40" s="1560">
        <f t="shared" si="14"/>
        <v>100</v>
      </c>
      <c r="X40" s="1553"/>
      <c r="Y40" s="3533"/>
      <c r="Z40" s="1561">
        <f t="shared" si="15"/>
        <v>111</v>
      </c>
      <c r="AA40" s="1562">
        <f t="shared" si="3"/>
        <v>1</v>
      </c>
      <c r="AB40" s="1562">
        <f t="shared" si="4"/>
        <v>1</v>
      </c>
      <c r="AC40" s="1562">
        <f t="shared" si="5"/>
        <v>1</v>
      </c>
    </row>
    <row r="41" spans="1:29" ht="15">
      <c r="A41" s="607" t="s">
        <v>736</v>
      </c>
      <c r="B41" s="886"/>
      <c r="C41" s="2591" t="s">
        <v>1</v>
      </c>
      <c r="D41" s="2592"/>
      <c r="E41" s="2593"/>
      <c r="F41" s="2594"/>
      <c r="G41" s="2595"/>
      <c r="H41" s="2596"/>
      <c r="I41" s="2593"/>
      <c r="J41" s="2596"/>
      <c r="K41" s="1596"/>
      <c r="L41" s="2129"/>
      <c r="M41" s="2130"/>
      <c r="N41" s="2119"/>
      <c r="O41" s="2130"/>
      <c r="P41" s="3437" t="str">
        <f>A41</f>
        <v>成交单价（元/平方米）</v>
      </c>
      <c r="Q41" s="3437"/>
      <c r="R41" s="3532">
        <f>E41</f>
        <v>0</v>
      </c>
      <c r="S41" s="3532"/>
      <c r="T41" s="3532">
        <f>G41</f>
        <v>0</v>
      </c>
      <c r="U41" s="3532"/>
      <c r="V41" s="3532">
        <f>I41</f>
        <v>0</v>
      </c>
      <c r="W41" s="3532"/>
      <c r="X41" s="1545"/>
      <c r="Y41" s="1567"/>
      <c r="Z41" s="1545"/>
      <c r="AA41" s="1545"/>
      <c r="AB41" s="1545"/>
      <c r="AC41" s="1545"/>
    </row>
    <row r="42" spans="1:29" ht="15.75" thickBot="1">
      <c r="A42" s="615" t="s">
        <v>2760</v>
      </c>
      <c r="B42" s="887"/>
      <c r="C42" s="2597" t="e">
        <f>R43</f>
        <v>#DIV/0!</v>
      </c>
      <c r="D42" s="2598"/>
      <c r="E42" s="2599" t="e">
        <f>R42</f>
        <v>#DIV/0!</v>
      </c>
      <c r="F42" s="2599"/>
      <c r="G42" s="2597" t="e">
        <f>T42</f>
        <v>#DIV/0!</v>
      </c>
      <c r="H42" s="2598"/>
      <c r="I42" s="2599" t="e">
        <f>V42</f>
        <v>#DIV/0!</v>
      </c>
      <c r="J42" s="2598"/>
      <c r="K42" s="1597"/>
      <c r="L42" s="2129"/>
      <c r="M42" s="2130"/>
      <c r="N42" s="2119"/>
      <c r="O42" s="2130"/>
      <c r="P42" s="3437" t="str">
        <f>A42</f>
        <v>比较价格（元/平方米）</v>
      </c>
      <c r="Q42" s="3437"/>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1545"/>
      <c r="Y42" s="1545"/>
      <c r="Z42" s="1545"/>
      <c r="AA42" s="1545"/>
      <c r="AB42" s="1545"/>
      <c r="AC42" s="1545"/>
    </row>
    <row r="43" spans="1:29" ht="15.75" thickBot="1">
      <c r="A43" s="621" t="s">
        <v>2936</v>
      </c>
      <c r="B43" s="622"/>
      <c r="C43" s="2600" t="e">
        <f>R43</f>
        <v>#DIV/0!</v>
      </c>
      <c r="D43" s="2600"/>
      <c r="E43" s="2600"/>
      <c r="F43" s="2600"/>
      <c r="G43" s="2600"/>
      <c r="H43" s="2600"/>
      <c r="I43" s="2600"/>
      <c r="J43" s="2600"/>
      <c r="K43" s="1598"/>
      <c r="L43" s="2129"/>
      <c r="M43" s="2130"/>
      <c r="N43" s="2130"/>
      <c r="O43" s="2130"/>
      <c r="P43" s="3458" t="str">
        <f>A43</f>
        <v>估价对象XX用房的比较价格（楼面单价，元/平方米）</v>
      </c>
      <c r="Q43" s="3459"/>
      <c r="R43" s="3531" t="e">
        <f>IF(F1="售价",ROUND(AVERAGE(R42:V42),0),ROUND(AVERAGE(R42:V42),1))</f>
        <v>#DIV/0!</v>
      </c>
      <c r="S43" s="3531"/>
      <c r="T43" s="3531"/>
      <c r="U43" s="3531"/>
      <c r="V43" s="3531"/>
      <c r="W43" s="3531"/>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2019-6</v>
      </c>
      <c r="D52" s="2759">
        <f>EDATE(C52,-1)</f>
        <v>43586</v>
      </c>
      <c r="E52" s="2759">
        <f t="shared" ref="E52:O52" si="16">EDATE(D52,-1)</f>
        <v>43556</v>
      </c>
      <c r="F52" s="2759">
        <f t="shared" si="16"/>
        <v>43525</v>
      </c>
      <c r="G52" s="2759">
        <f t="shared" si="16"/>
        <v>43497</v>
      </c>
      <c r="H52" s="2759">
        <f t="shared" si="16"/>
        <v>43466</v>
      </c>
      <c r="I52" s="2759">
        <f t="shared" si="16"/>
        <v>43435</v>
      </c>
      <c r="J52" s="2759">
        <f t="shared" si="16"/>
        <v>43405</v>
      </c>
      <c r="K52" s="2759">
        <f t="shared" si="16"/>
        <v>43374</v>
      </c>
      <c r="L52" s="2759">
        <f t="shared" si="16"/>
        <v>43344</v>
      </c>
      <c r="M52" s="2759">
        <f t="shared" si="16"/>
        <v>43313</v>
      </c>
      <c r="N52" s="2759">
        <f t="shared" si="16"/>
        <v>43282</v>
      </c>
      <c r="O52" s="2759">
        <f t="shared" si="16"/>
        <v>43252</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2558</v>
      </c>
      <c r="C76" s="2562" t="s">
        <v>2559</v>
      </c>
      <c r="D76" s="2562" t="s">
        <v>2560</v>
      </c>
      <c r="E76" s="2562" t="s">
        <v>2561</v>
      </c>
      <c r="F76" s="2562" t="s">
        <v>2562</v>
      </c>
      <c r="G76" s="2562" t="s">
        <v>2563</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6" priority="16" stopIfTrue="1" operator="containsText" text="超过">
      <formula>NOT(ISERROR(SEARCH("超过",F46)))</formula>
    </cfRule>
  </conditionalFormatting>
  <conditionalFormatting sqref="H48">
    <cfRule type="containsText" dxfId="55" priority="15" stopIfTrue="1" operator="containsText" text="超过">
      <formula>NOT(ISERROR(SEARCH("超过",H48)))</formula>
    </cfRule>
  </conditionalFormatting>
  <conditionalFormatting sqref="F48">
    <cfRule type="containsText" dxfId="54" priority="14" stopIfTrue="1" operator="containsText" text="超过">
      <formula>NOT(ISERROR(SEARCH("超过",F48)))</formula>
    </cfRule>
  </conditionalFormatting>
  <conditionalFormatting sqref="F47 H47">
    <cfRule type="containsText" dxfId="53" priority="13" stopIfTrue="1" operator="containsText" text="超过">
      <formula>NOT(ISERROR(SEARCH("超过",F47)))</formula>
    </cfRule>
  </conditionalFormatting>
  <conditionalFormatting sqref="E46">
    <cfRule type="expression" dxfId="52" priority="12" stopIfTrue="1">
      <formula>$F$46="超过30%"</formula>
    </cfRule>
  </conditionalFormatting>
  <conditionalFormatting sqref="E47">
    <cfRule type="expression" dxfId="51" priority="11" stopIfTrue="1">
      <formula>$F$47="超过20%"</formula>
    </cfRule>
  </conditionalFormatting>
  <conditionalFormatting sqref="E48">
    <cfRule type="expression" dxfId="50" priority="10" stopIfTrue="1">
      <formula>$F$48="超过30%"</formula>
    </cfRule>
  </conditionalFormatting>
  <conditionalFormatting sqref="G48">
    <cfRule type="expression" dxfId="49" priority="9" stopIfTrue="1">
      <formula>$H$48="超过30%"</formula>
    </cfRule>
  </conditionalFormatting>
  <conditionalFormatting sqref="G46">
    <cfRule type="expression" dxfId="48" priority="8" stopIfTrue="1">
      <formula>$H$46="超过30%"</formula>
    </cfRule>
  </conditionalFormatting>
  <conditionalFormatting sqref="G47">
    <cfRule type="expression" dxfId="47" priority="7" stopIfTrue="1">
      <formula>$H$47="超过20%"</formula>
    </cfRule>
  </conditionalFormatting>
  <conditionalFormatting sqref="J46">
    <cfRule type="containsText" dxfId="46" priority="6" stopIfTrue="1" operator="containsText" text="超过">
      <formula>NOT(ISERROR(SEARCH("超过",J46)))</formula>
    </cfRule>
  </conditionalFormatting>
  <conditionalFormatting sqref="J48">
    <cfRule type="containsText" dxfId="45" priority="5" stopIfTrue="1" operator="containsText" text="超过">
      <formula>NOT(ISERROR(SEARCH("超过",J48)))</formula>
    </cfRule>
  </conditionalFormatting>
  <conditionalFormatting sqref="J47">
    <cfRule type="containsText" dxfId="44" priority="4" stopIfTrue="1" operator="containsText" text="超过">
      <formula>NOT(ISERROR(SEARCH("超过",J47)))</formula>
    </cfRule>
  </conditionalFormatting>
  <conditionalFormatting sqref="I46">
    <cfRule type="expression" dxfId="43" priority="3" stopIfTrue="1">
      <formula>$J$46="超过30%"</formula>
    </cfRule>
  </conditionalFormatting>
  <conditionalFormatting sqref="I47">
    <cfRule type="expression" dxfId="42" priority="2" stopIfTrue="1">
      <formula>$J$47="超过20%"</formula>
    </cfRule>
  </conditionalFormatting>
  <conditionalFormatting sqref="I48">
    <cfRule type="expression" dxfId="4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1" t="s">
        <v>796</v>
      </c>
      <c r="D3" s="850">
        <f>SUMIF('数据-汇总表'!$C19:$C33,D1,'数据-汇总表'!$E19:$E33)</f>
        <v>0</v>
      </c>
      <c r="E3" s="1833" t="s">
        <v>2076</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43" t="s">
        <v>798</v>
      </c>
      <c r="D4" s="3444"/>
      <c r="E4" s="3443" t="s">
        <v>799</v>
      </c>
      <c r="F4" s="3444"/>
      <c r="G4" s="3443" t="s">
        <v>800</v>
      </c>
      <c r="H4" s="3444"/>
      <c r="I4" s="3443" t="s">
        <v>801</v>
      </c>
      <c r="J4" s="3444"/>
      <c r="K4" s="514" t="s">
        <v>802</v>
      </c>
      <c r="L4" s="2118"/>
      <c r="M4" s="2119"/>
      <c r="N4" s="2119"/>
      <c r="O4" s="2119"/>
      <c r="P4" s="3445" t="s">
        <v>803</v>
      </c>
      <c r="Q4" s="3446"/>
      <c r="R4" s="3431" t="s">
        <v>799</v>
      </c>
      <c r="S4" s="3432"/>
      <c r="T4" s="3431" t="s">
        <v>800</v>
      </c>
      <c r="U4" s="3432"/>
      <c r="V4" s="3451" t="s">
        <v>801</v>
      </c>
      <c r="W4" s="3451"/>
      <c r="X4" s="1553"/>
      <c r="Y4" s="3431" t="s">
        <v>803</v>
      </c>
      <c r="Z4" s="3432"/>
      <c r="AA4" s="3426" t="s">
        <v>799</v>
      </c>
      <c r="AB4" s="3427" t="s">
        <v>800</v>
      </c>
      <c r="AC4" s="3426" t="s">
        <v>801</v>
      </c>
    </row>
    <row r="5" spans="1:29" ht="15">
      <c r="A5" s="515"/>
      <c r="B5" s="516"/>
      <c r="C5" s="3454" t="s">
        <v>2930</v>
      </c>
      <c r="D5" s="3455"/>
      <c r="E5" s="3454" t="s">
        <v>2931</v>
      </c>
      <c r="F5" s="3455"/>
      <c r="G5" s="3454" t="s">
        <v>2932</v>
      </c>
      <c r="H5" s="3455"/>
      <c r="I5" s="3454" t="s">
        <v>2933</v>
      </c>
      <c r="J5" s="3455"/>
      <c r="K5" s="514"/>
      <c r="L5" s="2118"/>
      <c r="M5" s="2119"/>
      <c r="N5" s="2119"/>
      <c r="O5" s="2119"/>
      <c r="P5" s="3447"/>
      <c r="Q5" s="3448"/>
      <c r="R5" s="3433"/>
      <c r="S5" s="3434"/>
      <c r="T5" s="3433"/>
      <c r="U5" s="3434"/>
      <c r="V5" s="3451"/>
      <c r="W5" s="3451"/>
      <c r="X5" s="1553"/>
      <c r="Y5" s="3433"/>
      <c r="Z5" s="3434"/>
      <c r="AA5" s="3427"/>
      <c r="AB5" s="3427"/>
      <c r="AC5" s="3427"/>
    </row>
    <row r="6" spans="1:29" ht="15.75" thickBot="1">
      <c r="A6" s="517"/>
      <c r="B6" s="518"/>
      <c r="C6" s="3452" t="s">
        <v>2934</v>
      </c>
      <c r="D6" s="3453"/>
      <c r="E6" s="3456" t="s">
        <v>2934</v>
      </c>
      <c r="F6" s="3457"/>
      <c r="G6" s="3452" t="s">
        <v>2934</v>
      </c>
      <c r="H6" s="3453"/>
      <c r="I6" s="3452" t="s">
        <v>2934</v>
      </c>
      <c r="J6" s="3453"/>
      <c r="K6" s="514" t="s">
        <v>528</v>
      </c>
      <c r="L6" s="2118"/>
      <c r="M6" s="2119"/>
      <c r="N6" s="2119"/>
      <c r="O6" s="2119"/>
      <c r="P6" s="3449"/>
      <c r="Q6" s="3450"/>
      <c r="R6" s="3433"/>
      <c r="S6" s="3434"/>
      <c r="T6" s="3435"/>
      <c r="U6" s="3436"/>
      <c r="V6" s="3451"/>
      <c r="W6" s="3451"/>
      <c r="X6" s="1553"/>
      <c r="Y6" s="3435"/>
      <c r="Z6" s="3436"/>
      <c r="AA6" s="3428"/>
      <c r="AB6" s="3428"/>
      <c r="AC6" s="3428"/>
    </row>
    <row r="7" spans="1:29" s="1215" customFormat="1" ht="15.75" thickBot="1">
      <c r="A7" s="2867"/>
      <c r="B7" s="2874" t="s">
        <v>529</v>
      </c>
      <c r="C7" s="519">
        <f>'数据-取费表'!B2</f>
        <v>43646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29" t="s">
        <v>530</v>
      </c>
      <c r="Q7" s="3438"/>
      <c r="R7" s="1554" t="s">
        <v>8</v>
      </c>
      <c r="S7" s="1555">
        <f t="shared" ref="S7:S14" si="0">F7</f>
        <v>0</v>
      </c>
      <c r="T7" s="1554" t="s">
        <v>8</v>
      </c>
      <c r="U7" s="1555">
        <f t="shared" ref="U7:U14" si="1">H7</f>
        <v>0</v>
      </c>
      <c r="V7" s="1554" t="s">
        <v>8</v>
      </c>
      <c r="W7" s="1555">
        <f t="shared" ref="W7:W14" si="2">J7</f>
        <v>0</v>
      </c>
      <c r="X7" s="1556"/>
      <c r="Y7" s="3429" t="s">
        <v>530</v>
      </c>
      <c r="Z7" s="3430"/>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29" t="s">
        <v>533</v>
      </c>
      <c r="Q8" s="3430"/>
      <c r="R8" s="1554" t="s">
        <v>8</v>
      </c>
      <c r="S8" s="1555">
        <f t="shared" si="0"/>
        <v>0</v>
      </c>
      <c r="T8" s="1554" t="s">
        <v>8</v>
      </c>
      <c r="U8" s="1555">
        <f t="shared" si="1"/>
        <v>0</v>
      </c>
      <c r="V8" s="1554" t="s">
        <v>8</v>
      </c>
      <c r="W8" s="1555">
        <f t="shared" si="2"/>
        <v>0</v>
      </c>
      <c r="X8" s="1556"/>
      <c r="Y8" s="3429" t="s">
        <v>533</v>
      </c>
      <c r="Z8" s="3430"/>
      <c r="AA8" s="1557" t="e">
        <f t="shared" ref="AA8:AA36" si="3">D8/F8</f>
        <v>#DIV/0!</v>
      </c>
      <c r="AB8" s="1557" t="e">
        <f t="shared" ref="AB8:AB36" si="4">D8/H8</f>
        <v>#DIV/0!</v>
      </c>
      <c r="AC8" s="1557" t="e">
        <f t="shared" ref="AC8:AC36" si="5">D8/J8</f>
        <v>#DIV/0!</v>
      </c>
    </row>
    <row r="9" spans="1:29" s="1215" customFormat="1" ht="15">
      <c r="A9" s="2869"/>
      <c r="B9" s="2876" t="s">
        <v>2756</v>
      </c>
      <c r="C9" s="856"/>
      <c r="D9" s="254">
        <v>100</v>
      </c>
      <c r="E9" s="859"/>
      <c r="F9" s="254">
        <f>SUMIF(53:53,E9,54:54)-SUMIF(53:53,C9,54:54)+100</f>
        <v>100</v>
      </c>
      <c r="G9" s="857"/>
      <c r="H9" s="254">
        <f>SUMIF(53:53,G9,54:54)-SUMIF(53:53,C9,54:54)+100</f>
        <v>100</v>
      </c>
      <c r="I9" s="857"/>
      <c r="J9" s="254">
        <f>SUMIF(53:53,I9,54:54)-SUMIF(53:53,C9,54:54)+100</f>
        <v>100</v>
      </c>
      <c r="K9" s="524"/>
      <c r="L9" s="2120"/>
      <c r="M9" s="2121"/>
      <c r="N9" s="2121"/>
      <c r="O9" s="2122"/>
      <c r="P9" s="3437" t="s">
        <v>535</v>
      </c>
      <c r="Q9" s="1146" t="str">
        <f t="shared" ref="Q9:Q14" si="6">B9</f>
        <v>用途</v>
      </c>
      <c r="R9" s="1554" t="s">
        <v>8</v>
      </c>
      <c r="S9" s="1555">
        <f t="shared" si="0"/>
        <v>100</v>
      </c>
      <c r="T9" s="1554" t="s">
        <v>8</v>
      </c>
      <c r="U9" s="1555">
        <f t="shared" si="1"/>
        <v>100</v>
      </c>
      <c r="V9" s="1554" t="s">
        <v>8</v>
      </c>
      <c r="W9" s="1555">
        <f t="shared" si="2"/>
        <v>100</v>
      </c>
      <c r="X9" s="1556"/>
      <c r="Y9" s="3394" t="s">
        <v>536</v>
      </c>
      <c r="Z9" s="1145" t="str">
        <f t="shared" ref="Z9:Z14" si="7">Q9</f>
        <v>用途</v>
      </c>
      <c r="AA9" s="1557">
        <f t="shared" si="3"/>
        <v>1</v>
      </c>
      <c r="AB9" s="1557">
        <f t="shared" si="4"/>
        <v>1</v>
      </c>
      <c r="AC9" s="1557">
        <f t="shared" si="5"/>
        <v>1</v>
      </c>
    </row>
    <row r="10" spans="1:29" s="1333" customFormat="1" ht="27">
      <c r="A10" s="2870"/>
      <c r="B10" s="2875" t="s">
        <v>2757</v>
      </c>
      <c r="C10" s="860"/>
      <c r="D10" s="255">
        <v>100</v>
      </c>
      <c r="E10" s="860"/>
      <c r="F10" s="255">
        <f>SUMIF(55:55,E10,56:56)-SUMIF(55:55,C10,56:56)+100</f>
        <v>100</v>
      </c>
      <c r="G10" s="861"/>
      <c r="H10" s="255">
        <f>SUMIF(55:55,G10,56:56)-SUMIF(55:55,C10,56:56)+100</f>
        <v>100</v>
      </c>
      <c r="I10" s="860"/>
      <c r="J10" s="255">
        <f>SUMIF(55:55,I10,56:56)-SUMIF(55:55,C10,56:56)+100</f>
        <v>100</v>
      </c>
      <c r="K10" s="584"/>
      <c r="L10" s="2123"/>
      <c r="M10" s="2163"/>
      <c r="N10" s="2163"/>
      <c r="O10" s="2124"/>
      <c r="P10" s="3437"/>
      <c r="Q10" s="1146" t="str">
        <f t="shared" si="6"/>
        <v>土地使用年限（年）</v>
      </c>
      <c r="R10" s="1554" t="s">
        <v>8</v>
      </c>
      <c r="S10" s="1555">
        <f t="shared" si="0"/>
        <v>100</v>
      </c>
      <c r="T10" s="1554" t="s">
        <v>8</v>
      </c>
      <c r="U10" s="1555">
        <f t="shared" si="1"/>
        <v>100</v>
      </c>
      <c r="V10" s="1554" t="s">
        <v>8</v>
      </c>
      <c r="W10" s="1555">
        <f t="shared" si="2"/>
        <v>100</v>
      </c>
      <c r="X10" s="1556"/>
      <c r="Y10" s="3394"/>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37"/>
      <c r="Q11" s="1146">
        <f t="shared" si="6"/>
        <v>111</v>
      </c>
      <c r="R11" s="1554" t="s">
        <v>8</v>
      </c>
      <c r="S11" s="1555">
        <f t="shared" si="0"/>
        <v>100</v>
      </c>
      <c r="T11" s="1554" t="s">
        <v>8</v>
      </c>
      <c r="U11" s="1555">
        <f t="shared" si="1"/>
        <v>100</v>
      </c>
      <c r="V11" s="1554" t="s">
        <v>8</v>
      </c>
      <c r="W11" s="1555">
        <f t="shared" si="2"/>
        <v>100</v>
      </c>
      <c r="X11" s="1556"/>
      <c r="Y11" s="3394"/>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37"/>
      <c r="Q12" s="1146">
        <f t="shared" si="6"/>
        <v>111</v>
      </c>
      <c r="R12" s="1554" t="s">
        <v>8</v>
      </c>
      <c r="S12" s="1555">
        <f t="shared" si="0"/>
        <v>100</v>
      </c>
      <c r="T12" s="1554" t="s">
        <v>8</v>
      </c>
      <c r="U12" s="1555">
        <f t="shared" si="1"/>
        <v>100</v>
      </c>
      <c r="V12" s="1554" t="s">
        <v>8</v>
      </c>
      <c r="W12" s="1555">
        <f t="shared" si="2"/>
        <v>100</v>
      </c>
      <c r="X12" s="1556"/>
      <c r="Y12" s="3394"/>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37"/>
      <c r="Q13" s="1146">
        <f t="shared" si="6"/>
        <v>111</v>
      </c>
      <c r="R13" s="1554" t="s">
        <v>8</v>
      </c>
      <c r="S13" s="1555">
        <f t="shared" si="0"/>
        <v>100</v>
      </c>
      <c r="T13" s="1554" t="s">
        <v>8</v>
      </c>
      <c r="U13" s="1555">
        <f t="shared" si="1"/>
        <v>100</v>
      </c>
      <c r="V13" s="1554" t="s">
        <v>8</v>
      </c>
      <c r="W13" s="1555">
        <f t="shared" si="2"/>
        <v>100</v>
      </c>
      <c r="X13" s="1556"/>
      <c r="Y13" s="3394"/>
      <c r="Z13" s="1145">
        <f t="shared" si="7"/>
        <v>111</v>
      </c>
      <c r="AA13" s="1557">
        <f t="shared" si="3"/>
        <v>1</v>
      </c>
      <c r="AB13" s="1557">
        <f t="shared" si="4"/>
        <v>1</v>
      </c>
      <c r="AC13" s="1557">
        <f t="shared" si="5"/>
        <v>1</v>
      </c>
    </row>
    <row r="14" spans="1:29" ht="85.5">
      <c r="A14" s="2865" t="s">
        <v>2754</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39" t="s">
        <v>540</v>
      </c>
      <c r="Q14" s="1558" t="str">
        <f t="shared" si="6"/>
        <v>交通便捷度</v>
      </c>
      <c r="R14" s="1559" t="s">
        <v>8</v>
      </c>
      <c r="S14" s="1560">
        <f t="shared" si="0"/>
        <v>100</v>
      </c>
      <c r="T14" s="1559" t="s">
        <v>8</v>
      </c>
      <c r="U14" s="1560">
        <f t="shared" si="1"/>
        <v>100</v>
      </c>
      <c r="V14" s="1559" t="s">
        <v>8</v>
      </c>
      <c r="W14" s="1560">
        <f t="shared" si="2"/>
        <v>100</v>
      </c>
      <c r="X14" s="1553"/>
      <c r="Y14" s="3439"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40"/>
      <c r="Q15" s="1558"/>
      <c r="R15" s="1559"/>
      <c r="S15" s="1560"/>
      <c r="T15" s="1559"/>
      <c r="U15" s="1560"/>
      <c r="V15" s="1559"/>
      <c r="W15" s="1560"/>
      <c r="X15" s="1553"/>
      <c r="Y15" s="3440"/>
      <c r="Z15" s="1561"/>
      <c r="AA15" s="1562">
        <v>1</v>
      </c>
      <c r="AB15" s="1562">
        <v>1</v>
      </c>
      <c r="AC15" s="1562">
        <v>1</v>
      </c>
    </row>
    <row r="16" spans="1:29" ht="42.75">
      <c r="A16" s="515"/>
      <c r="B16" s="2567" t="s">
        <v>2546</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40"/>
      <c r="Q16" s="1558" t="str">
        <f>B16</f>
        <v>公共配套设施</v>
      </c>
      <c r="R16" s="1559" t="s">
        <v>8</v>
      </c>
      <c r="S16" s="1560">
        <f>F16</f>
        <v>100</v>
      </c>
      <c r="T16" s="1559" t="s">
        <v>8</v>
      </c>
      <c r="U16" s="1560">
        <f>H16</f>
        <v>100</v>
      </c>
      <c r="V16" s="1559" t="s">
        <v>8</v>
      </c>
      <c r="W16" s="1560">
        <f>J16</f>
        <v>100</v>
      </c>
      <c r="X16" s="1553"/>
      <c r="Y16" s="3440"/>
      <c r="Z16" s="1561" t="str">
        <f>Q16</f>
        <v>公共配套设施</v>
      </c>
      <c r="AA16" s="1562">
        <f t="shared" si="3"/>
        <v>1</v>
      </c>
      <c r="AB16" s="1562">
        <f t="shared" si="4"/>
        <v>1</v>
      </c>
      <c r="AC16" s="1562">
        <f t="shared" si="5"/>
        <v>1</v>
      </c>
    </row>
    <row r="17" spans="1:29" ht="15">
      <c r="A17" s="515"/>
      <c r="B17" s="566"/>
      <c r="C17" s="872"/>
      <c r="D17" s="555"/>
      <c r="E17" s="576"/>
      <c r="F17" s="557"/>
      <c r="G17" s="576"/>
      <c r="H17" s="555"/>
      <c r="I17" s="576"/>
      <c r="J17" s="555"/>
      <c r="K17" s="898"/>
      <c r="L17" s="2127"/>
      <c r="M17" s="2119"/>
      <c r="N17" s="2119"/>
      <c r="O17" s="2126"/>
      <c r="P17" s="3440"/>
      <c r="Q17" s="1558"/>
      <c r="R17" s="1559"/>
      <c r="S17" s="1560"/>
      <c r="T17" s="1559"/>
      <c r="U17" s="1560"/>
      <c r="V17" s="1559"/>
      <c r="W17" s="1560"/>
      <c r="X17" s="1553"/>
      <c r="Y17" s="3440"/>
      <c r="Z17" s="1561"/>
      <c r="AA17" s="1562">
        <v>1</v>
      </c>
      <c r="AB17" s="1562">
        <v>1</v>
      </c>
      <c r="AC17" s="1562">
        <v>1</v>
      </c>
    </row>
    <row r="18" spans="1:29" ht="28.5">
      <c r="A18" s="515"/>
      <c r="B18" s="2555" t="s">
        <v>2558</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40"/>
      <c r="Q18" s="2543" t="str">
        <f>B18</f>
        <v>基础设施水平</v>
      </c>
      <c r="R18" s="1559" t="s">
        <v>8</v>
      </c>
      <c r="S18" s="1560">
        <f>F18</f>
        <v>100</v>
      </c>
      <c r="T18" s="1559" t="s">
        <v>8</v>
      </c>
      <c r="U18" s="1560">
        <f>H18</f>
        <v>100</v>
      </c>
      <c r="V18" s="1559" t="s">
        <v>8</v>
      </c>
      <c r="W18" s="1560">
        <f>J18</f>
        <v>100</v>
      </c>
      <c r="X18" s="2545"/>
      <c r="Y18" s="3440"/>
      <c r="Z18" s="2544" t="str">
        <f>Q18</f>
        <v>基础设施水平</v>
      </c>
      <c r="AA18" s="1562">
        <f t="shared" ref="AA18" si="8">D18/F18</f>
        <v>1</v>
      </c>
      <c r="AB18" s="1562">
        <f t="shared" ref="AB18" si="9">D18/H18</f>
        <v>1</v>
      </c>
      <c r="AC18" s="1562">
        <f t="shared" ref="AC18" si="10">D18/J18</f>
        <v>1</v>
      </c>
    </row>
    <row r="19" spans="1:29" ht="15">
      <c r="A19" s="515"/>
      <c r="B19" s="578"/>
      <c r="C19" s="872"/>
      <c r="D19" s="559"/>
      <c r="E19" s="576"/>
      <c r="F19" s="557"/>
      <c r="G19" s="576"/>
      <c r="H19" s="555"/>
      <c r="I19" s="576"/>
      <c r="J19" s="555"/>
      <c r="K19" s="2566"/>
      <c r="L19" s="2127"/>
      <c r="M19" s="2119"/>
      <c r="N19" s="2119"/>
      <c r="O19" s="2126"/>
      <c r="P19" s="3440"/>
      <c r="Q19" s="2543"/>
      <c r="R19" s="1559"/>
      <c r="S19" s="1560"/>
      <c r="T19" s="1559"/>
      <c r="U19" s="1560"/>
      <c r="V19" s="1559"/>
      <c r="W19" s="1560"/>
      <c r="X19" s="2545"/>
      <c r="Y19" s="3440"/>
      <c r="Z19" s="2544"/>
      <c r="AA19" s="1562">
        <v>1</v>
      </c>
      <c r="AB19" s="1562">
        <v>1</v>
      </c>
      <c r="AC19" s="1562">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40"/>
      <c r="Q20" s="1558" t="str">
        <f>B20</f>
        <v>自然及人文环境</v>
      </c>
      <c r="R20" s="1559" t="s">
        <v>8</v>
      </c>
      <c r="S20" s="1560">
        <f>F20</f>
        <v>100</v>
      </c>
      <c r="T20" s="1559" t="s">
        <v>8</v>
      </c>
      <c r="U20" s="1560">
        <f>H20</f>
        <v>100</v>
      </c>
      <c r="V20" s="1559" t="s">
        <v>8</v>
      </c>
      <c r="W20" s="1560">
        <f>J20</f>
        <v>100</v>
      </c>
      <c r="X20" s="1553"/>
      <c r="Y20" s="3440"/>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40"/>
      <c r="Q21" s="1558"/>
      <c r="R21" s="1559"/>
      <c r="S21" s="1560"/>
      <c r="T21" s="1559"/>
      <c r="U21" s="1560"/>
      <c r="V21" s="1559"/>
      <c r="W21" s="1560"/>
      <c r="X21" s="1553"/>
      <c r="Y21" s="3440"/>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40"/>
      <c r="Q22" s="1558" t="str">
        <f>B22</f>
        <v>楼层</v>
      </c>
      <c r="R22" s="1559" t="s">
        <v>8</v>
      </c>
      <c r="S22" s="1560">
        <f>F22</f>
        <v>100</v>
      </c>
      <c r="T22" s="1559" t="s">
        <v>8</v>
      </c>
      <c r="U22" s="1560">
        <f>H22</f>
        <v>100</v>
      </c>
      <c r="V22" s="1559" t="s">
        <v>8</v>
      </c>
      <c r="W22" s="1560">
        <f>J22</f>
        <v>100</v>
      </c>
      <c r="X22" s="1553"/>
      <c r="Y22" s="3440"/>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40"/>
      <c r="Q23" s="1558">
        <f>B23</f>
        <v>111</v>
      </c>
      <c r="R23" s="1559" t="s">
        <v>8</v>
      </c>
      <c r="S23" s="1560">
        <f>F23</f>
        <v>100</v>
      </c>
      <c r="T23" s="1559" t="s">
        <v>8</v>
      </c>
      <c r="U23" s="1560">
        <f>H23</f>
        <v>100</v>
      </c>
      <c r="V23" s="1559" t="s">
        <v>8</v>
      </c>
      <c r="W23" s="1560">
        <f>J23</f>
        <v>100</v>
      </c>
      <c r="X23" s="1553"/>
      <c r="Y23" s="3440"/>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40"/>
      <c r="Q24" s="1558">
        <f t="shared" ref="Q24:Q36" si="11">B24</f>
        <v>111</v>
      </c>
      <c r="R24" s="1559" t="s">
        <v>8</v>
      </c>
      <c r="S24" s="1560">
        <f>F24</f>
        <v>100</v>
      </c>
      <c r="T24" s="1559" t="s">
        <v>8</v>
      </c>
      <c r="U24" s="1560">
        <f>H24</f>
        <v>100</v>
      </c>
      <c r="V24" s="1559" t="s">
        <v>8</v>
      </c>
      <c r="W24" s="1560">
        <f>J24</f>
        <v>100</v>
      </c>
      <c r="X24" s="1553"/>
      <c r="Y24" s="3440"/>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40"/>
      <c r="Q25" s="1146">
        <f t="shared" si="11"/>
        <v>111</v>
      </c>
      <c r="R25" s="1554" t="s">
        <v>8</v>
      </c>
      <c r="S25" s="1555">
        <f>F25</f>
        <v>100</v>
      </c>
      <c r="T25" s="1554" t="s">
        <v>8</v>
      </c>
      <c r="U25" s="1555">
        <f>H25</f>
        <v>100</v>
      </c>
      <c r="V25" s="1554" t="s">
        <v>8</v>
      </c>
      <c r="W25" s="1555">
        <f>J25</f>
        <v>100</v>
      </c>
      <c r="X25" s="1556"/>
      <c r="Y25" s="3440"/>
      <c r="Z25" s="1145">
        <f>Q25</f>
        <v>111</v>
      </c>
      <c r="AA25" s="1562">
        <f>D25/F25</f>
        <v>1</v>
      </c>
      <c r="AB25" s="1562">
        <f>D25/H25</f>
        <v>1</v>
      </c>
      <c r="AC25" s="1562">
        <f>D25/J25</f>
        <v>1</v>
      </c>
    </row>
    <row r="26" spans="1:29" ht="15">
      <c r="A26" s="2862" t="s">
        <v>2755</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41"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42"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42"/>
      <c r="Q27" s="1590" t="str">
        <f t="shared" si="11"/>
        <v>项目停车位配比</v>
      </c>
      <c r="R27" s="1563" t="s">
        <v>8</v>
      </c>
      <c r="S27" s="1564">
        <f t="shared" si="12"/>
        <v>100</v>
      </c>
      <c r="T27" s="1563" t="s">
        <v>8</v>
      </c>
      <c r="U27" s="1564">
        <f t="shared" si="13"/>
        <v>100</v>
      </c>
      <c r="V27" s="1563" t="s">
        <v>8</v>
      </c>
      <c r="W27" s="1564">
        <f t="shared" si="14"/>
        <v>100</v>
      </c>
      <c r="X27" s="1565"/>
      <c r="Y27" s="3442"/>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42"/>
      <c r="Q28" s="1558" t="str">
        <f t="shared" si="11"/>
        <v>公共部分装修</v>
      </c>
      <c r="R28" s="1559" t="s">
        <v>8</v>
      </c>
      <c r="S28" s="1560">
        <f t="shared" si="12"/>
        <v>100</v>
      </c>
      <c r="T28" s="1559" t="s">
        <v>8</v>
      </c>
      <c r="U28" s="1560">
        <f t="shared" si="13"/>
        <v>100</v>
      </c>
      <c r="V28" s="1559" t="s">
        <v>8</v>
      </c>
      <c r="W28" s="1560">
        <f t="shared" si="14"/>
        <v>100</v>
      </c>
      <c r="X28" s="1553"/>
      <c r="Y28" s="3442"/>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42"/>
      <c r="Q29" s="1558" t="str">
        <f t="shared" si="11"/>
        <v>成新率</v>
      </c>
      <c r="R29" s="1559" t="s">
        <v>8</v>
      </c>
      <c r="S29" s="1560" t="e">
        <f t="shared" si="12"/>
        <v>#N/A</v>
      </c>
      <c r="T29" s="1559" t="s">
        <v>8</v>
      </c>
      <c r="U29" s="1560" t="e">
        <f t="shared" si="13"/>
        <v>#N/A</v>
      </c>
      <c r="V29" s="1559" t="s">
        <v>8</v>
      </c>
      <c r="W29" s="1560" t="e">
        <f t="shared" si="14"/>
        <v>#N/A</v>
      </c>
      <c r="X29" s="1553"/>
      <c r="Y29" s="3442"/>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42"/>
      <c r="Q30" s="1558" t="str">
        <f t="shared" si="11"/>
        <v>物业等级</v>
      </c>
      <c r="R30" s="1559" t="s">
        <v>8</v>
      </c>
      <c r="S30" s="1560">
        <f t="shared" si="12"/>
        <v>100</v>
      </c>
      <c r="T30" s="1559" t="s">
        <v>8</v>
      </c>
      <c r="U30" s="1560">
        <f t="shared" si="13"/>
        <v>100</v>
      </c>
      <c r="V30" s="1559" t="s">
        <v>8</v>
      </c>
      <c r="W30" s="1560">
        <f t="shared" si="14"/>
        <v>100</v>
      </c>
      <c r="X30" s="1553"/>
      <c r="Y30" s="3442"/>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42"/>
      <c r="Q31" s="1146" t="str">
        <f t="shared" si="11"/>
        <v>停车位面积</v>
      </c>
      <c r="R31" s="1554" t="s">
        <v>8</v>
      </c>
      <c r="S31" s="1555" t="e">
        <f t="shared" si="12"/>
        <v>#N/A</v>
      </c>
      <c r="T31" s="1554" t="s">
        <v>8</v>
      </c>
      <c r="U31" s="1555" t="e">
        <f t="shared" si="13"/>
        <v>#N/A</v>
      </c>
      <c r="V31" s="1554" t="s">
        <v>8</v>
      </c>
      <c r="W31" s="1555" t="e">
        <f t="shared" si="14"/>
        <v>#N/A</v>
      </c>
      <c r="X31" s="1556"/>
      <c r="Y31" s="3442"/>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42" t="s">
        <v>550</v>
      </c>
      <c r="Q32" s="1558" t="str">
        <f t="shared" si="11"/>
        <v>车位类型</v>
      </c>
      <c r="R32" s="1559" t="s">
        <v>8</v>
      </c>
      <c r="S32" s="1560">
        <f t="shared" si="12"/>
        <v>100</v>
      </c>
      <c r="T32" s="1559" t="s">
        <v>8</v>
      </c>
      <c r="U32" s="1560">
        <f t="shared" si="13"/>
        <v>100</v>
      </c>
      <c r="V32" s="1559" t="s">
        <v>8</v>
      </c>
      <c r="W32" s="1560">
        <f t="shared" si="14"/>
        <v>100</v>
      </c>
      <c r="X32" s="1553"/>
      <c r="Y32" s="3442"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42"/>
      <c r="Q33" s="1558" t="str">
        <f t="shared" si="11"/>
        <v>是否直接入户</v>
      </c>
      <c r="R33" s="1559" t="s">
        <v>8</v>
      </c>
      <c r="S33" s="1560">
        <f t="shared" si="12"/>
        <v>100</v>
      </c>
      <c r="T33" s="1559" t="s">
        <v>8</v>
      </c>
      <c r="U33" s="1560">
        <f t="shared" si="13"/>
        <v>100</v>
      </c>
      <c r="V33" s="1559" t="s">
        <v>8</v>
      </c>
      <c r="W33" s="1560">
        <f t="shared" si="14"/>
        <v>100</v>
      </c>
      <c r="X33" s="1553"/>
      <c r="Y33" s="3442"/>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42"/>
      <c r="Q34" s="1558">
        <f t="shared" si="11"/>
        <v>111</v>
      </c>
      <c r="R34" s="1559" t="s">
        <v>8</v>
      </c>
      <c r="S34" s="1560">
        <f t="shared" si="12"/>
        <v>100</v>
      </c>
      <c r="T34" s="1559" t="s">
        <v>8</v>
      </c>
      <c r="U34" s="1560">
        <f t="shared" si="13"/>
        <v>100</v>
      </c>
      <c r="V34" s="1559" t="s">
        <v>8</v>
      </c>
      <c r="W34" s="1560">
        <f t="shared" si="14"/>
        <v>100</v>
      </c>
      <c r="X34" s="1553"/>
      <c r="Y34" s="3442"/>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42"/>
      <c r="Q35" s="1590">
        <f t="shared" si="11"/>
        <v>111</v>
      </c>
      <c r="R35" s="1563" t="s">
        <v>8</v>
      </c>
      <c r="S35" s="1564">
        <f t="shared" si="12"/>
        <v>100</v>
      </c>
      <c r="T35" s="1563" t="s">
        <v>8</v>
      </c>
      <c r="U35" s="1564">
        <f t="shared" si="13"/>
        <v>100</v>
      </c>
      <c r="V35" s="1563" t="s">
        <v>8</v>
      </c>
      <c r="W35" s="1564">
        <f t="shared" si="14"/>
        <v>100</v>
      </c>
      <c r="X35" s="1565"/>
      <c r="Y35" s="3442"/>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42"/>
      <c r="Q36" s="1558">
        <f t="shared" si="11"/>
        <v>111</v>
      </c>
      <c r="R36" s="1559" t="s">
        <v>8</v>
      </c>
      <c r="S36" s="1560">
        <f t="shared" si="12"/>
        <v>100</v>
      </c>
      <c r="T36" s="1559" t="s">
        <v>8</v>
      </c>
      <c r="U36" s="1560">
        <f t="shared" si="13"/>
        <v>100</v>
      </c>
      <c r="V36" s="1559" t="s">
        <v>8</v>
      </c>
      <c r="W36" s="1560">
        <f t="shared" si="14"/>
        <v>100</v>
      </c>
      <c r="X36" s="1553"/>
      <c r="Y36" s="3442"/>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437" t="str">
        <f>A37</f>
        <v>成交单价</v>
      </c>
      <c r="Q37" s="3437"/>
      <c r="R37" s="3532">
        <f>E37</f>
        <v>0</v>
      </c>
      <c r="S37" s="3532"/>
      <c r="T37" s="3532">
        <f>G37</f>
        <v>0</v>
      </c>
      <c r="U37" s="3532"/>
      <c r="V37" s="3532">
        <f>I37</f>
        <v>0</v>
      </c>
      <c r="W37" s="3532"/>
      <c r="X37" s="1545"/>
      <c r="Y37" s="1567"/>
      <c r="Z37" s="1545"/>
      <c r="AA37" s="1545"/>
      <c r="AB37" s="1545"/>
      <c r="AC37" s="1545"/>
    </row>
    <row r="38" spans="1:29" ht="15.75" thickBot="1">
      <c r="A38" s="615" t="s">
        <v>2760</v>
      </c>
      <c r="B38" s="887"/>
      <c r="C38" s="2597" t="e">
        <f>R39</f>
        <v>#DIV/0!</v>
      </c>
      <c r="D38" s="2598"/>
      <c r="E38" s="2599" t="e">
        <f>R38</f>
        <v>#DIV/0!</v>
      </c>
      <c r="F38" s="2599"/>
      <c r="G38" s="2597" t="e">
        <f>T38</f>
        <v>#DIV/0!</v>
      </c>
      <c r="H38" s="2598"/>
      <c r="I38" s="2599" t="e">
        <f>V38</f>
        <v>#DIV/0!</v>
      </c>
      <c r="J38" s="2598"/>
      <c r="K38" s="1597"/>
      <c r="L38" s="2129"/>
      <c r="M38" s="2130"/>
      <c r="N38" s="2130"/>
      <c r="O38" s="2130"/>
      <c r="P38" s="3437" t="str">
        <f>A38</f>
        <v>比较价格（元/平方米）</v>
      </c>
      <c r="Q38" s="3437"/>
      <c r="R38" s="3532" t="e">
        <f>IF(F1="售价",ROUND(PRODUCT(R37,AA7:AA36),0),ROUND(PRODUCT(R37,AA7:AA36),1))</f>
        <v>#DIV/0!</v>
      </c>
      <c r="S38" s="3532"/>
      <c r="T38" s="3532" t="e">
        <f>IF(F1="售价",ROUND(PRODUCT(T37,AB7:AB36),0),ROUND(PRODUCT(T37,AB7:AB36),1))</f>
        <v>#DIV/0!</v>
      </c>
      <c r="U38" s="3532"/>
      <c r="V38" s="3532" t="e">
        <f>IF(F1="售价",ROUND(PRODUCT(V37,AC7:AC36),0),ROUND(PRODUCT(V37,AC7:AC36),1))</f>
        <v>#DIV/0!</v>
      </c>
      <c r="W38" s="3532"/>
      <c r="X38" s="1545"/>
      <c r="Y38" s="1545"/>
      <c r="Z38" s="1545"/>
      <c r="AA38" s="1545"/>
      <c r="AB38" s="1545"/>
      <c r="AC38" s="1545"/>
    </row>
    <row r="39" spans="1:29" ht="15.75" thickBot="1">
      <c r="A39" s="621" t="s">
        <v>2936</v>
      </c>
      <c r="B39" s="622"/>
      <c r="C39" s="2600" t="e">
        <f>R39</f>
        <v>#DIV/0!</v>
      </c>
      <c r="D39" s="2600"/>
      <c r="E39" s="2600"/>
      <c r="F39" s="2600"/>
      <c r="G39" s="2600"/>
      <c r="H39" s="2600"/>
      <c r="I39" s="2600"/>
      <c r="J39" s="2600"/>
      <c r="K39" s="1598"/>
      <c r="L39" s="2129"/>
      <c r="M39" s="2130"/>
      <c r="N39" s="2130"/>
      <c r="O39" s="2130"/>
      <c r="P39" s="3458" t="str">
        <f>A39</f>
        <v>估价对象XX用房的比较价格（楼面单价，元/平方米）</v>
      </c>
      <c r="Q39" s="3459"/>
      <c r="R39" s="3531" t="e">
        <f>IF(F1="售价",ROUND(AVERAGE(R38:V38),0),ROUND(AVERAGE(R38:V38),1))</f>
        <v>#DIV/0!</v>
      </c>
      <c r="S39" s="3531"/>
      <c r="T39" s="3531"/>
      <c r="U39" s="3531"/>
      <c r="V39" s="3531"/>
      <c r="W39" s="3531"/>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2019-6</v>
      </c>
      <c r="D48" s="2759">
        <f>EDATE(C48,-1)</f>
        <v>43586</v>
      </c>
      <c r="E48" s="2759">
        <f t="shared" ref="E48:O48" si="16">EDATE(D48,-1)</f>
        <v>43556</v>
      </c>
      <c r="F48" s="2759">
        <f t="shared" si="16"/>
        <v>43525</v>
      </c>
      <c r="G48" s="2759">
        <f t="shared" si="16"/>
        <v>43497</v>
      </c>
      <c r="H48" s="2759">
        <f t="shared" si="16"/>
        <v>43466</v>
      </c>
      <c r="I48" s="2759">
        <f t="shared" si="16"/>
        <v>43435</v>
      </c>
      <c r="J48" s="2759">
        <f t="shared" si="16"/>
        <v>43405</v>
      </c>
      <c r="K48" s="2759">
        <f t="shared" si="16"/>
        <v>43374</v>
      </c>
      <c r="L48" s="2759">
        <f t="shared" si="16"/>
        <v>43344</v>
      </c>
      <c r="M48" s="2759">
        <f t="shared" si="16"/>
        <v>43313</v>
      </c>
      <c r="N48" s="2759">
        <f t="shared" si="16"/>
        <v>43282</v>
      </c>
      <c r="O48" s="2759">
        <f t="shared" si="16"/>
        <v>43252</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40" priority="14" stopIfTrue="1" operator="containsText" text="超过">
      <formula>NOT(ISERROR(SEARCH("超过",F42)))</formula>
    </cfRule>
  </conditionalFormatting>
  <conditionalFormatting sqref="J44">
    <cfRule type="containsText" dxfId="39" priority="13" stopIfTrue="1" operator="containsText" text="超过">
      <formula>NOT(ISERROR(SEARCH("超过",J44)))</formula>
    </cfRule>
  </conditionalFormatting>
  <conditionalFormatting sqref="H44">
    <cfRule type="containsText" dxfId="38" priority="12" stopIfTrue="1" operator="containsText" text="超过">
      <formula>NOT(ISERROR(SEARCH("超过",H44)))</formula>
    </cfRule>
  </conditionalFormatting>
  <conditionalFormatting sqref="F44">
    <cfRule type="containsText" dxfId="37" priority="11" stopIfTrue="1" operator="containsText" text="超过">
      <formula>NOT(ISERROR(SEARCH("超过",F44)))</formula>
    </cfRule>
  </conditionalFormatting>
  <conditionalFormatting sqref="F43 H43 J43">
    <cfRule type="containsText" dxfId="36" priority="10" stopIfTrue="1" operator="containsText" text="超过">
      <formula>NOT(ISERROR(SEARCH("超过",F43)))</formula>
    </cfRule>
  </conditionalFormatting>
  <conditionalFormatting sqref="E42">
    <cfRule type="expression" dxfId="35" priority="9" stopIfTrue="1">
      <formula>$F$42="超过30%"</formula>
    </cfRule>
  </conditionalFormatting>
  <conditionalFormatting sqref="G44">
    <cfRule type="expression" dxfId="34" priority="8" stopIfTrue="1">
      <formula>$H$54+$H$44="超过30%"</formula>
    </cfRule>
  </conditionalFormatting>
  <conditionalFormatting sqref="E43">
    <cfRule type="expression" dxfId="33" priority="7" stopIfTrue="1">
      <formula>$F$43="超过20%"</formula>
    </cfRule>
  </conditionalFormatting>
  <conditionalFormatting sqref="E44">
    <cfRule type="expression" dxfId="32" priority="6" stopIfTrue="1">
      <formula>$F$44="超过30%"</formula>
    </cfRule>
  </conditionalFormatting>
  <conditionalFormatting sqref="G42">
    <cfRule type="expression" dxfId="31" priority="5" stopIfTrue="1">
      <formula>$H$52+$H$42="超过30%"</formula>
    </cfRule>
  </conditionalFormatting>
  <conditionalFormatting sqref="G43">
    <cfRule type="expression" dxfId="30" priority="4" stopIfTrue="1">
      <formula>$H$43="超过20%"</formula>
    </cfRule>
  </conditionalFormatting>
  <conditionalFormatting sqref="I42">
    <cfRule type="expression" dxfId="29" priority="3" stopIfTrue="1">
      <formula>$J$52+$J$42="超过30%"</formula>
    </cfRule>
  </conditionalFormatting>
  <conditionalFormatting sqref="I43">
    <cfRule type="expression" dxfId="28" priority="2" stopIfTrue="1">
      <formula>$J$53+$J$43="超过20%"</formula>
    </cfRule>
  </conditionalFormatting>
  <conditionalFormatting sqref="I44">
    <cfRule type="expression" dxfId="2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43" t="s">
        <v>798</v>
      </c>
      <c r="D4" s="3444"/>
      <c r="E4" s="3467" t="s">
        <v>799</v>
      </c>
      <c r="F4" s="3468"/>
      <c r="G4" s="3443" t="s">
        <v>800</v>
      </c>
      <c r="H4" s="3444"/>
      <c r="I4" s="3443" t="s">
        <v>801</v>
      </c>
      <c r="J4" s="3444"/>
      <c r="K4" s="514" t="s">
        <v>802</v>
      </c>
      <c r="L4" s="2118"/>
      <c r="M4" s="2119"/>
      <c r="N4" s="2119"/>
      <c r="O4" s="2119"/>
      <c r="P4" s="3445" t="s">
        <v>803</v>
      </c>
      <c r="Q4" s="3446"/>
      <c r="R4" s="3431" t="s">
        <v>799</v>
      </c>
      <c r="S4" s="3432"/>
      <c r="T4" s="3431" t="s">
        <v>800</v>
      </c>
      <c r="U4" s="3432"/>
      <c r="V4" s="3451" t="s">
        <v>801</v>
      </c>
      <c r="W4" s="3451"/>
      <c r="X4" s="1553"/>
      <c r="Y4" s="3431" t="s">
        <v>803</v>
      </c>
      <c r="Z4" s="3432"/>
      <c r="AA4" s="3426" t="s">
        <v>799</v>
      </c>
      <c r="AB4" s="3427" t="s">
        <v>800</v>
      </c>
      <c r="AC4" s="3426" t="s">
        <v>801</v>
      </c>
    </row>
    <row r="5" spans="1:29" ht="15">
      <c r="A5" s="515"/>
      <c r="B5" s="516"/>
      <c r="C5" s="3454" t="s">
        <v>2930</v>
      </c>
      <c r="D5" s="3455"/>
      <c r="E5" s="3469" t="s">
        <v>2931</v>
      </c>
      <c r="F5" s="3470"/>
      <c r="G5" s="3454" t="s">
        <v>2932</v>
      </c>
      <c r="H5" s="3455"/>
      <c r="I5" s="3454" t="s">
        <v>2933</v>
      </c>
      <c r="J5" s="3455"/>
      <c r="K5" s="514"/>
      <c r="L5" s="2118"/>
      <c r="M5" s="2119"/>
      <c r="N5" s="2119"/>
      <c r="O5" s="2119"/>
      <c r="P5" s="3447"/>
      <c r="Q5" s="3448"/>
      <c r="R5" s="3433"/>
      <c r="S5" s="3434"/>
      <c r="T5" s="3433"/>
      <c r="U5" s="3434"/>
      <c r="V5" s="3451"/>
      <c r="W5" s="3451"/>
      <c r="X5" s="1553"/>
      <c r="Y5" s="3433"/>
      <c r="Z5" s="3434"/>
      <c r="AA5" s="3427"/>
      <c r="AB5" s="3427"/>
      <c r="AC5" s="3427"/>
    </row>
    <row r="6" spans="1:29" ht="15.75" thickBot="1">
      <c r="A6" s="517"/>
      <c r="B6" s="518"/>
      <c r="C6" s="3452" t="s">
        <v>2934</v>
      </c>
      <c r="D6" s="3453"/>
      <c r="E6" s="3471" t="s">
        <v>2934</v>
      </c>
      <c r="F6" s="3472"/>
      <c r="G6" s="3452" t="s">
        <v>2934</v>
      </c>
      <c r="H6" s="3453"/>
      <c r="I6" s="3452" t="s">
        <v>2934</v>
      </c>
      <c r="J6" s="3453"/>
      <c r="K6" s="514" t="s">
        <v>528</v>
      </c>
      <c r="L6" s="2118"/>
      <c r="M6" s="2119"/>
      <c r="N6" s="2119"/>
      <c r="O6" s="2119"/>
      <c r="P6" s="3449"/>
      <c r="Q6" s="3450"/>
      <c r="R6" s="3433"/>
      <c r="S6" s="3434"/>
      <c r="T6" s="3435"/>
      <c r="U6" s="3436"/>
      <c r="V6" s="3451"/>
      <c r="W6" s="3451"/>
      <c r="X6" s="1553"/>
      <c r="Y6" s="3435"/>
      <c r="Z6" s="3436"/>
      <c r="AA6" s="3428"/>
      <c r="AB6" s="3428"/>
      <c r="AC6" s="3428"/>
    </row>
    <row r="7" spans="1:29" s="1215" customFormat="1" ht="15.75" thickBot="1">
      <c r="A7" s="2867"/>
      <c r="B7" s="2874" t="s">
        <v>529</v>
      </c>
      <c r="C7" s="519">
        <f>'数据-取费表'!B2</f>
        <v>43646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29" t="s">
        <v>530</v>
      </c>
      <c r="Q7" s="3438"/>
      <c r="R7" s="1554" t="s">
        <v>8</v>
      </c>
      <c r="S7" s="1555">
        <f t="shared" ref="S7:S14" si="0">F7</f>
        <v>0</v>
      </c>
      <c r="T7" s="1554" t="s">
        <v>8</v>
      </c>
      <c r="U7" s="1555">
        <f t="shared" ref="U7:U14" si="1">H7</f>
        <v>0</v>
      </c>
      <c r="V7" s="1554" t="s">
        <v>8</v>
      </c>
      <c r="W7" s="1555">
        <f t="shared" ref="W7:W14" si="2">J7</f>
        <v>0</v>
      </c>
      <c r="X7" s="1556"/>
      <c r="Y7" s="3429" t="s">
        <v>530</v>
      </c>
      <c r="Z7" s="3430"/>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29" t="s">
        <v>533</v>
      </c>
      <c r="Q8" s="3430"/>
      <c r="R8" s="1554" t="s">
        <v>8</v>
      </c>
      <c r="S8" s="1555">
        <f t="shared" si="0"/>
        <v>0</v>
      </c>
      <c r="T8" s="1554" t="s">
        <v>8</v>
      </c>
      <c r="U8" s="1555">
        <f t="shared" si="1"/>
        <v>0</v>
      </c>
      <c r="V8" s="1554" t="s">
        <v>8</v>
      </c>
      <c r="W8" s="1555">
        <f t="shared" si="2"/>
        <v>0</v>
      </c>
      <c r="X8" s="1556"/>
      <c r="Y8" s="3429" t="s">
        <v>533</v>
      </c>
      <c r="Z8" s="3430"/>
      <c r="AA8" s="1557" t="e">
        <f t="shared" ref="AA8:AA34" si="3">D8/F8</f>
        <v>#DIV/0!</v>
      </c>
      <c r="AB8" s="1557" t="e">
        <f t="shared" ref="AB8:AB34" si="4">D8/H8</f>
        <v>#DIV/0!</v>
      </c>
      <c r="AC8" s="1557" t="e">
        <f t="shared" ref="AC8:AC34" si="5">D8/J8</f>
        <v>#DIV/0!</v>
      </c>
    </row>
    <row r="9" spans="1:29" s="1215" customFormat="1" ht="15">
      <c r="A9" s="2869"/>
      <c r="B9" s="2876" t="s">
        <v>2756</v>
      </c>
      <c r="C9" s="856"/>
      <c r="D9" s="254">
        <v>100</v>
      </c>
      <c r="E9" s="859"/>
      <c r="F9" s="254">
        <f>SUMIF(51:51,E9,52:52)-SUMIF(51:51,C9,52:52)+100</f>
        <v>100</v>
      </c>
      <c r="G9" s="859"/>
      <c r="H9" s="254">
        <f>SUMIF(51:51,G9,52:52)-SUMIF(51:51,C9,52:52)+100</f>
        <v>100</v>
      </c>
      <c r="I9" s="859"/>
      <c r="J9" s="254">
        <f>SUMIF(51:51,I9,52:52)-SUMIF(51:51,C9,52:52)+100</f>
        <v>100</v>
      </c>
      <c r="K9" s="524"/>
      <c r="L9" s="2120"/>
      <c r="M9" s="2121"/>
      <c r="N9" s="2121"/>
      <c r="O9" s="2122"/>
      <c r="P9" s="3437" t="s">
        <v>535</v>
      </c>
      <c r="Q9" s="1146" t="str">
        <f t="shared" ref="Q9:Q14" si="6">B9</f>
        <v>用途</v>
      </c>
      <c r="R9" s="1554" t="s">
        <v>8</v>
      </c>
      <c r="S9" s="1555">
        <f t="shared" si="0"/>
        <v>100</v>
      </c>
      <c r="T9" s="1554" t="s">
        <v>8</v>
      </c>
      <c r="U9" s="1555">
        <f t="shared" si="1"/>
        <v>100</v>
      </c>
      <c r="V9" s="1554" t="s">
        <v>8</v>
      </c>
      <c r="W9" s="1555">
        <f t="shared" si="2"/>
        <v>100</v>
      </c>
      <c r="X9" s="1556"/>
      <c r="Y9" s="3394" t="s">
        <v>536</v>
      </c>
      <c r="Z9" s="1145" t="str">
        <f t="shared" ref="Z9:Z14" si="7">Q9</f>
        <v>用途</v>
      </c>
      <c r="AA9" s="1557">
        <f t="shared" si="3"/>
        <v>1</v>
      </c>
      <c r="AB9" s="1557">
        <f t="shared" si="4"/>
        <v>1</v>
      </c>
      <c r="AC9" s="1557">
        <f t="shared" si="5"/>
        <v>1</v>
      </c>
    </row>
    <row r="10" spans="1:29" s="1333" customFormat="1" ht="27">
      <c r="A10" s="2870"/>
      <c r="B10" s="2875" t="s">
        <v>2757</v>
      </c>
      <c r="C10" s="860"/>
      <c r="D10" s="255">
        <v>100</v>
      </c>
      <c r="E10" s="860"/>
      <c r="F10" s="255">
        <f>SUMIF(53:53,E10,54:54)-SUMIF(53:53,C10,54:54)+100</f>
        <v>100</v>
      </c>
      <c r="G10" s="861"/>
      <c r="H10" s="255">
        <f>SUMIF(53:53,G10,54:54)-SUMIF(53:53,C10,54:54)+100</f>
        <v>100</v>
      </c>
      <c r="I10" s="860"/>
      <c r="J10" s="255">
        <f>SUMIF(53:53,I10,54:54)-SUMIF(53:53,C10,54:54)+100</f>
        <v>100</v>
      </c>
      <c r="K10" s="584"/>
      <c r="L10" s="2123"/>
      <c r="M10" s="2163"/>
      <c r="N10" s="2163"/>
      <c r="O10" s="2124"/>
      <c r="P10" s="3437"/>
      <c r="Q10" s="1146" t="str">
        <f t="shared" si="6"/>
        <v>土地使用年限（年）</v>
      </c>
      <c r="R10" s="1554" t="s">
        <v>8</v>
      </c>
      <c r="S10" s="1555">
        <f t="shared" si="0"/>
        <v>100</v>
      </c>
      <c r="T10" s="1554" t="s">
        <v>8</v>
      </c>
      <c r="U10" s="1555">
        <f t="shared" si="1"/>
        <v>100</v>
      </c>
      <c r="V10" s="1554" t="s">
        <v>8</v>
      </c>
      <c r="W10" s="1555">
        <f t="shared" si="2"/>
        <v>100</v>
      </c>
      <c r="X10" s="1556"/>
      <c r="Y10" s="3394"/>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37"/>
      <c r="Q11" s="1146">
        <f t="shared" si="6"/>
        <v>111</v>
      </c>
      <c r="R11" s="1554" t="s">
        <v>8</v>
      </c>
      <c r="S11" s="1555">
        <f t="shared" si="0"/>
        <v>100</v>
      </c>
      <c r="T11" s="1554" t="s">
        <v>8</v>
      </c>
      <c r="U11" s="1555">
        <f t="shared" si="1"/>
        <v>100</v>
      </c>
      <c r="V11" s="1554" t="s">
        <v>8</v>
      </c>
      <c r="W11" s="1555">
        <f t="shared" si="2"/>
        <v>100</v>
      </c>
      <c r="X11" s="1556"/>
      <c r="Y11" s="3394"/>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37"/>
      <c r="Q12" s="1146">
        <f t="shared" si="6"/>
        <v>111</v>
      </c>
      <c r="R12" s="1554" t="s">
        <v>8</v>
      </c>
      <c r="S12" s="1555">
        <f t="shared" si="0"/>
        <v>100</v>
      </c>
      <c r="T12" s="1554" t="s">
        <v>8</v>
      </c>
      <c r="U12" s="1555">
        <f t="shared" si="1"/>
        <v>100</v>
      </c>
      <c r="V12" s="1554" t="s">
        <v>8</v>
      </c>
      <c r="W12" s="1555">
        <f t="shared" si="2"/>
        <v>100</v>
      </c>
      <c r="X12" s="1556"/>
      <c r="Y12" s="3394"/>
      <c r="Z12" s="1145">
        <f t="shared" si="7"/>
        <v>111</v>
      </c>
      <c r="AA12" s="1557">
        <f>D12/F12</f>
        <v>1</v>
      </c>
      <c r="AB12" s="1557">
        <f>D12/H12</f>
        <v>1</v>
      </c>
      <c r="AC12" s="1557">
        <f>D12/J12</f>
        <v>1</v>
      </c>
    </row>
    <row r="13" spans="1:29" ht="15.75"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37"/>
      <c r="Q13" s="1146">
        <f t="shared" si="6"/>
        <v>111</v>
      </c>
      <c r="R13" s="1554" t="s">
        <v>8</v>
      </c>
      <c r="S13" s="1555">
        <f t="shared" si="0"/>
        <v>100</v>
      </c>
      <c r="T13" s="1554" t="s">
        <v>8</v>
      </c>
      <c r="U13" s="1555">
        <f t="shared" si="1"/>
        <v>100</v>
      </c>
      <c r="V13" s="1554" t="s">
        <v>8</v>
      </c>
      <c r="W13" s="1555">
        <f t="shared" si="2"/>
        <v>100</v>
      </c>
      <c r="X13" s="1556"/>
      <c r="Y13" s="3394"/>
      <c r="Z13" s="1145">
        <f t="shared" si="7"/>
        <v>111</v>
      </c>
      <c r="AA13" s="1557">
        <f t="shared" si="3"/>
        <v>1</v>
      </c>
      <c r="AB13" s="1557">
        <f t="shared" si="4"/>
        <v>1</v>
      </c>
      <c r="AC13" s="1557">
        <f t="shared" si="5"/>
        <v>1</v>
      </c>
    </row>
    <row r="14" spans="1:29" ht="85.5">
      <c r="A14" s="2865" t="s">
        <v>2754</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39" t="s">
        <v>540</v>
      </c>
      <c r="Q14" s="1558" t="str">
        <f t="shared" si="6"/>
        <v>交通便捷度</v>
      </c>
      <c r="R14" s="1559" t="s">
        <v>8</v>
      </c>
      <c r="S14" s="1560">
        <f t="shared" si="0"/>
        <v>100</v>
      </c>
      <c r="T14" s="1559" t="s">
        <v>8</v>
      </c>
      <c r="U14" s="1560">
        <f t="shared" si="1"/>
        <v>100</v>
      </c>
      <c r="V14" s="1559" t="s">
        <v>8</v>
      </c>
      <c r="W14" s="1560">
        <f t="shared" si="2"/>
        <v>100</v>
      </c>
      <c r="X14" s="1553"/>
      <c r="Y14" s="3439" t="s">
        <v>540</v>
      </c>
      <c r="Z14" s="1561" t="str">
        <f t="shared" si="7"/>
        <v>交通便捷度</v>
      </c>
      <c r="AA14" s="1562">
        <f t="shared" si="3"/>
        <v>1</v>
      </c>
      <c r="AB14" s="1562">
        <f t="shared" si="4"/>
        <v>1</v>
      </c>
      <c r="AC14" s="1562">
        <f t="shared" si="5"/>
        <v>1</v>
      </c>
    </row>
    <row r="15" spans="1:29" ht="15">
      <c r="A15" s="532"/>
      <c r="B15" s="868"/>
      <c r="C15" s="576"/>
      <c r="D15" s="555"/>
      <c r="E15" s="576"/>
      <c r="F15" s="557"/>
      <c r="G15" s="576"/>
      <c r="H15" s="559"/>
      <c r="I15" s="576"/>
      <c r="J15" s="555"/>
      <c r="K15" s="898"/>
      <c r="L15" s="2127"/>
      <c r="M15" s="2119"/>
      <c r="N15" s="2119"/>
      <c r="O15" s="2126"/>
      <c r="P15" s="3440"/>
      <c r="Q15" s="1558"/>
      <c r="R15" s="1559"/>
      <c r="S15" s="1560"/>
      <c r="T15" s="1559"/>
      <c r="U15" s="1560"/>
      <c r="V15" s="1559"/>
      <c r="W15" s="1560"/>
      <c r="X15" s="1553"/>
      <c r="Y15" s="3440"/>
      <c r="Z15" s="1561"/>
      <c r="AA15" s="1562">
        <v>1</v>
      </c>
      <c r="AB15" s="1562">
        <v>1</v>
      </c>
      <c r="AC15" s="1562">
        <v>1</v>
      </c>
    </row>
    <row r="16" spans="1:29" ht="42.75">
      <c r="A16" s="532"/>
      <c r="B16" s="2567" t="s">
        <v>2546</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40"/>
      <c r="Q16" s="1558" t="str">
        <f>B16</f>
        <v>公共配套设施</v>
      </c>
      <c r="R16" s="1559" t="s">
        <v>8</v>
      </c>
      <c r="S16" s="1560">
        <f>F16</f>
        <v>100</v>
      </c>
      <c r="T16" s="1559" t="s">
        <v>8</v>
      </c>
      <c r="U16" s="1560">
        <f>H16</f>
        <v>100</v>
      </c>
      <c r="V16" s="1559" t="s">
        <v>8</v>
      </c>
      <c r="W16" s="1560">
        <f>J16</f>
        <v>100</v>
      </c>
      <c r="X16" s="1553"/>
      <c r="Y16" s="3440"/>
      <c r="Z16" s="1561" t="str">
        <f>Q16</f>
        <v>公共配套设施</v>
      </c>
      <c r="AA16" s="1562">
        <f t="shared" si="3"/>
        <v>1</v>
      </c>
      <c r="AB16" s="1562">
        <f t="shared" si="4"/>
        <v>1</v>
      </c>
      <c r="AC16" s="1562">
        <f t="shared" si="5"/>
        <v>1</v>
      </c>
    </row>
    <row r="17" spans="1:29" ht="15">
      <c r="A17" s="532"/>
      <c r="B17" s="566"/>
      <c r="C17" s="872"/>
      <c r="D17" s="555"/>
      <c r="E17" s="576"/>
      <c r="F17" s="557"/>
      <c r="G17" s="576"/>
      <c r="H17" s="555"/>
      <c r="I17" s="576"/>
      <c r="J17" s="555"/>
      <c r="K17" s="898"/>
      <c r="L17" s="2127"/>
      <c r="M17" s="2119"/>
      <c r="N17" s="2119"/>
      <c r="O17" s="2126"/>
      <c r="P17" s="3440"/>
      <c r="Q17" s="1558"/>
      <c r="R17" s="1559"/>
      <c r="S17" s="1560"/>
      <c r="T17" s="1559"/>
      <c r="U17" s="1560"/>
      <c r="V17" s="1559"/>
      <c r="W17" s="1560"/>
      <c r="X17" s="1553"/>
      <c r="Y17" s="3440"/>
      <c r="Z17" s="1561"/>
      <c r="AA17" s="1562">
        <v>1</v>
      </c>
      <c r="AB17" s="1562">
        <v>1</v>
      </c>
      <c r="AC17" s="1562">
        <v>1</v>
      </c>
    </row>
    <row r="18" spans="1:29" ht="28.5">
      <c r="A18" s="532"/>
      <c r="B18" s="2555" t="s">
        <v>2558</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40"/>
      <c r="Q18" s="2543" t="str">
        <f>B18</f>
        <v>基础设施水平</v>
      </c>
      <c r="R18" s="1559" t="s">
        <v>8</v>
      </c>
      <c r="S18" s="1560">
        <f>F18</f>
        <v>100</v>
      </c>
      <c r="T18" s="1559" t="s">
        <v>8</v>
      </c>
      <c r="U18" s="1560">
        <f>H18</f>
        <v>100</v>
      </c>
      <c r="V18" s="1559" t="s">
        <v>8</v>
      </c>
      <c r="W18" s="1560">
        <f>J18</f>
        <v>100</v>
      </c>
      <c r="X18" s="2545"/>
      <c r="Y18" s="3440"/>
      <c r="Z18" s="2544" t="str">
        <f>Q18</f>
        <v>基础设施水平</v>
      </c>
      <c r="AA18" s="1562">
        <f t="shared" ref="AA18" si="8">D18/F18</f>
        <v>1</v>
      </c>
      <c r="AB18" s="1562">
        <f t="shared" ref="AB18" si="9">D18/H18</f>
        <v>1</v>
      </c>
      <c r="AC18" s="1562">
        <f t="shared" ref="AC18" si="10">D18/J18</f>
        <v>1</v>
      </c>
    </row>
    <row r="19" spans="1:29" ht="15">
      <c r="A19" s="532"/>
      <c r="B19" s="578"/>
      <c r="C19" s="872"/>
      <c r="D19" s="559"/>
      <c r="E19" s="872"/>
      <c r="F19" s="563"/>
      <c r="G19" s="872"/>
      <c r="H19" s="555"/>
      <c r="I19" s="576"/>
      <c r="J19" s="555"/>
      <c r="K19" s="2566"/>
      <c r="L19" s="2127"/>
      <c r="M19" s="2119"/>
      <c r="N19" s="2119"/>
      <c r="O19" s="2126"/>
      <c r="P19" s="3440"/>
      <c r="Q19" s="2543"/>
      <c r="R19" s="1559"/>
      <c r="S19" s="1560"/>
      <c r="T19" s="1559"/>
      <c r="U19" s="1560"/>
      <c r="V19" s="1559"/>
      <c r="W19" s="1560"/>
      <c r="X19" s="2545"/>
      <c r="Y19" s="3440"/>
      <c r="Z19" s="2544"/>
      <c r="AA19" s="1562">
        <v>1</v>
      </c>
      <c r="AB19" s="1562">
        <v>1</v>
      </c>
      <c r="AC19" s="1562">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40"/>
      <c r="Q20" s="1558" t="str">
        <f>B20</f>
        <v>自然及人文环境</v>
      </c>
      <c r="R20" s="1559" t="s">
        <v>8</v>
      </c>
      <c r="S20" s="1560">
        <f>F20</f>
        <v>100</v>
      </c>
      <c r="T20" s="1559" t="s">
        <v>8</v>
      </c>
      <c r="U20" s="1560">
        <f>H20</f>
        <v>100</v>
      </c>
      <c r="V20" s="1559" t="s">
        <v>8</v>
      </c>
      <c r="W20" s="1560">
        <f>J20</f>
        <v>100</v>
      </c>
      <c r="X20" s="1553"/>
      <c r="Y20" s="3440"/>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40"/>
      <c r="Q21" s="1558"/>
      <c r="R21" s="1559"/>
      <c r="S21" s="1560"/>
      <c r="T21" s="1559"/>
      <c r="U21" s="1560"/>
      <c r="V21" s="1559"/>
      <c r="W21" s="1560"/>
      <c r="X21" s="1553"/>
      <c r="Y21" s="3440"/>
      <c r="Z21" s="1561"/>
      <c r="AA21" s="1562">
        <v>1</v>
      </c>
      <c r="AB21" s="1562">
        <v>1</v>
      </c>
      <c r="AC21" s="1562">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40"/>
      <c r="Q22" s="1558" t="str">
        <f>B22</f>
        <v>楼层</v>
      </c>
      <c r="R22" s="1559" t="s">
        <v>8</v>
      </c>
      <c r="S22" s="1560">
        <f>F22</f>
        <v>100</v>
      </c>
      <c r="T22" s="1559" t="s">
        <v>8</v>
      </c>
      <c r="U22" s="1560">
        <f>H22</f>
        <v>100</v>
      </c>
      <c r="V22" s="1559" t="s">
        <v>8</v>
      </c>
      <c r="W22" s="1560">
        <f>J22</f>
        <v>100</v>
      </c>
      <c r="X22" s="1553"/>
      <c r="Y22" s="3440"/>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40"/>
      <c r="Q23" s="1558">
        <f>B23</f>
        <v>111</v>
      </c>
      <c r="R23" s="1559" t="s">
        <v>8</v>
      </c>
      <c r="S23" s="1560">
        <f>F23</f>
        <v>100</v>
      </c>
      <c r="T23" s="1559" t="s">
        <v>8</v>
      </c>
      <c r="U23" s="1560">
        <f>H23</f>
        <v>100</v>
      </c>
      <c r="V23" s="1559" t="s">
        <v>8</v>
      </c>
      <c r="W23" s="1560">
        <f>J23</f>
        <v>100</v>
      </c>
      <c r="X23" s="1553"/>
      <c r="Y23" s="3440"/>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40"/>
      <c r="Q24" s="1558">
        <f t="shared" ref="Q24:Q34" si="11">B24</f>
        <v>111</v>
      </c>
      <c r="R24" s="1559" t="s">
        <v>8</v>
      </c>
      <c r="S24" s="1560">
        <f>F24</f>
        <v>100</v>
      </c>
      <c r="T24" s="1559" t="s">
        <v>8</v>
      </c>
      <c r="U24" s="1560">
        <f>H24</f>
        <v>100</v>
      </c>
      <c r="V24" s="1559" t="s">
        <v>8</v>
      </c>
      <c r="W24" s="1560">
        <f>J24</f>
        <v>100</v>
      </c>
      <c r="X24" s="1553"/>
      <c r="Y24" s="3440"/>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40"/>
      <c r="Q25" s="1146">
        <f t="shared" si="11"/>
        <v>111</v>
      </c>
      <c r="R25" s="1554" t="s">
        <v>8</v>
      </c>
      <c r="S25" s="1555">
        <f>F25</f>
        <v>100</v>
      </c>
      <c r="T25" s="1554" t="s">
        <v>8</v>
      </c>
      <c r="U25" s="1555">
        <f>H25</f>
        <v>100</v>
      </c>
      <c r="V25" s="1554" t="s">
        <v>8</v>
      </c>
      <c r="W25" s="1555">
        <f>J25</f>
        <v>100</v>
      </c>
      <c r="X25" s="1556"/>
      <c r="Y25" s="3440"/>
      <c r="Z25" s="1145">
        <f>Q25</f>
        <v>111</v>
      </c>
      <c r="AA25" s="1562">
        <f>D25/F25</f>
        <v>1</v>
      </c>
      <c r="AB25" s="1562">
        <f>D25/H25</f>
        <v>1</v>
      </c>
      <c r="AC25" s="1562">
        <f>D25/J25</f>
        <v>1</v>
      </c>
    </row>
    <row r="26" spans="1:29" ht="15">
      <c r="A26" s="2862" t="s">
        <v>2755</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41"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42"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42"/>
      <c r="Q27" s="1590" t="str">
        <f t="shared" si="11"/>
        <v>成新率</v>
      </c>
      <c r="R27" s="1563" t="s">
        <v>8</v>
      </c>
      <c r="S27" s="1564" t="e">
        <f t="shared" si="12"/>
        <v>#N/A</v>
      </c>
      <c r="T27" s="1563" t="s">
        <v>8</v>
      </c>
      <c r="U27" s="1564" t="e">
        <f t="shared" si="13"/>
        <v>#N/A</v>
      </c>
      <c r="V27" s="1563" t="s">
        <v>8</v>
      </c>
      <c r="W27" s="1564" t="e">
        <f t="shared" si="14"/>
        <v>#N/A</v>
      </c>
      <c r="X27" s="1565"/>
      <c r="Y27" s="3442"/>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42"/>
      <c r="Q28" s="1558" t="str">
        <f t="shared" si="11"/>
        <v>物业等级</v>
      </c>
      <c r="R28" s="1559" t="s">
        <v>8</v>
      </c>
      <c r="S28" s="1560">
        <f t="shared" si="12"/>
        <v>100</v>
      </c>
      <c r="T28" s="1559" t="s">
        <v>8</v>
      </c>
      <c r="U28" s="1560">
        <f t="shared" si="13"/>
        <v>100</v>
      </c>
      <c r="V28" s="1559" t="s">
        <v>8</v>
      </c>
      <c r="W28" s="1560">
        <f t="shared" si="14"/>
        <v>100</v>
      </c>
      <c r="X28" s="1553"/>
      <c r="Y28" s="3442"/>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42"/>
      <c r="Q29" s="1558" t="str">
        <f t="shared" si="11"/>
        <v>有无电梯</v>
      </c>
      <c r="R29" s="1559" t="s">
        <v>8</v>
      </c>
      <c r="S29" s="1560">
        <f t="shared" si="12"/>
        <v>100</v>
      </c>
      <c r="T29" s="1559" t="s">
        <v>8</v>
      </c>
      <c r="U29" s="1560">
        <f t="shared" si="13"/>
        <v>100</v>
      </c>
      <c r="V29" s="1559" t="s">
        <v>8</v>
      </c>
      <c r="W29" s="1560">
        <f t="shared" si="14"/>
        <v>100</v>
      </c>
      <c r="X29" s="1553"/>
      <c r="Y29" s="3442"/>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42"/>
      <c r="Q30" s="1558" t="str">
        <f t="shared" si="11"/>
        <v>建筑面积</v>
      </c>
      <c r="R30" s="1559" t="s">
        <v>8</v>
      </c>
      <c r="S30" s="1560" t="e">
        <f t="shared" si="12"/>
        <v>#N/A</v>
      </c>
      <c r="T30" s="1559" t="s">
        <v>8</v>
      </c>
      <c r="U30" s="1560" t="e">
        <f t="shared" si="13"/>
        <v>#N/A</v>
      </c>
      <c r="V30" s="1559" t="s">
        <v>8</v>
      </c>
      <c r="W30" s="1560" t="e">
        <f t="shared" si="14"/>
        <v>#N/A</v>
      </c>
      <c r="X30" s="1553"/>
      <c r="Y30" s="3442"/>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42"/>
      <c r="Q31" s="1146" t="str">
        <f t="shared" si="11"/>
        <v>是否封闭</v>
      </c>
      <c r="R31" s="1554" t="s">
        <v>8</v>
      </c>
      <c r="S31" s="1555">
        <f t="shared" si="12"/>
        <v>100</v>
      </c>
      <c r="T31" s="1554" t="s">
        <v>8</v>
      </c>
      <c r="U31" s="1555">
        <f t="shared" si="13"/>
        <v>100</v>
      </c>
      <c r="V31" s="1554" t="s">
        <v>8</v>
      </c>
      <c r="W31" s="1555">
        <f t="shared" si="14"/>
        <v>100</v>
      </c>
      <c r="X31" s="1556"/>
      <c r="Y31" s="3442"/>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42" t="s">
        <v>550</v>
      </c>
      <c r="Q32" s="1558">
        <f t="shared" si="11"/>
        <v>111</v>
      </c>
      <c r="R32" s="1559" t="s">
        <v>8</v>
      </c>
      <c r="S32" s="1560">
        <f t="shared" si="12"/>
        <v>100</v>
      </c>
      <c r="T32" s="1559" t="s">
        <v>8</v>
      </c>
      <c r="U32" s="1560">
        <f t="shared" si="13"/>
        <v>100</v>
      </c>
      <c r="V32" s="1559" t="s">
        <v>8</v>
      </c>
      <c r="W32" s="1560">
        <f t="shared" si="14"/>
        <v>100</v>
      </c>
      <c r="X32" s="1553"/>
      <c r="Y32" s="3442"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42"/>
      <c r="Q33" s="1558">
        <f t="shared" si="11"/>
        <v>111</v>
      </c>
      <c r="R33" s="1559" t="s">
        <v>8</v>
      </c>
      <c r="S33" s="1560">
        <f t="shared" si="12"/>
        <v>100</v>
      </c>
      <c r="T33" s="1559" t="s">
        <v>8</v>
      </c>
      <c r="U33" s="1560">
        <f t="shared" si="13"/>
        <v>100</v>
      </c>
      <c r="V33" s="1559" t="s">
        <v>8</v>
      </c>
      <c r="W33" s="1560">
        <f t="shared" si="14"/>
        <v>100</v>
      </c>
      <c r="X33" s="1553"/>
      <c r="Y33" s="3442"/>
      <c r="Z33" s="1561">
        <f t="shared" si="15"/>
        <v>111</v>
      </c>
      <c r="AA33" s="1562">
        <f t="shared" si="3"/>
        <v>1</v>
      </c>
      <c r="AB33" s="1562">
        <f t="shared" si="4"/>
        <v>1</v>
      </c>
      <c r="AC33" s="1562">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7"/>
      <c r="M34" s="2119"/>
      <c r="N34" s="2119"/>
      <c r="O34" s="2126"/>
      <c r="P34" s="3442"/>
      <c r="Q34" s="1558">
        <f t="shared" si="11"/>
        <v>111</v>
      </c>
      <c r="R34" s="1559" t="s">
        <v>8</v>
      </c>
      <c r="S34" s="1560">
        <f t="shared" si="12"/>
        <v>100</v>
      </c>
      <c r="T34" s="1559" t="s">
        <v>8</v>
      </c>
      <c r="U34" s="1560">
        <f t="shared" si="13"/>
        <v>100</v>
      </c>
      <c r="V34" s="1559" t="s">
        <v>8</v>
      </c>
      <c r="W34" s="1560">
        <f t="shared" si="14"/>
        <v>100</v>
      </c>
      <c r="X34" s="1553"/>
      <c r="Y34" s="3442"/>
      <c r="Z34" s="1561">
        <f t="shared" si="15"/>
        <v>111</v>
      </c>
      <c r="AA34" s="1562">
        <f t="shared" si="3"/>
        <v>1</v>
      </c>
      <c r="AB34" s="1562">
        <f t="shared" si="4"/>
        <v>1</v>
      </c>
      <c r="AC34" s="1562">
        <f t="shared" si="5"/>
        <v>1</v>
      </c>
    </row>
    <row r="35" spans="1:29" ht="15">
      <c r="A35" s="607" t="s">
        <v>736</v>
      </c>
      <c r="B35" s="886"/>
      <c r="C35" s="2591" t="s">
        <v>1</v>
      </c>
      <c r="D35" s="2592"/>
      <c r="E35" s="2593"/>
      <c r="F35" s="2594"/>
      <c r="G35" s="2595"/>
      <c r="H35" s="2596"/>
      <c r="I35" s="2593"/>
      <c r="J35" s="2596"/>
      <c r="K35" s="1596"/>
      <c r="L35" s="2129"/>
      <c r="M35" s="2130"/>
      <c r="N35" s="2119"/>
      <c r="O35" s="2130"/>
      <c r="P35" s="3437" t="str">
        <f>A35</f>
        <v>成交单价（元/平方米）</v>
      </c>
      <c r="Q35" s="3437"/>
      <c r="R35" s="3532">
        <f>E35</f>
        <v>0</v>
      </c>
      <c r="S35" s="3532"/>
      <c r="T35" s="3532">
        <f>G35</f>
        <v>0</v>
      </c>
      <c r="U35" s="3532"/>
      <c r="V35" s="3532">
        <f>I35</f>
        <v>0</v>
      </c>
      <c r="W35" s="3532"/>
      <c r="X35" s="1545"/>
      <c r="Y35" s="1567"/>
      <c r="Z35" s="1545"/>
      <c r="AA35" s="1545"/>
      <c r="AB35" s="1545"/>
      <c r="AC35" s="1545"/>
    </row>
    <row r="36" spans="1:29" ht="15.75" thickBot="1">
      <c r="A36" s="615" t="s">
        <v>2760</v>
      </c>
      <c r="B36" s="887"/>
      <c r="C36" s="2597" t="e">
        <f>R37</f>
        <v>#DIV/0!</v>
      </c>
      <c r="D36" s="2598"/>
      <c r="E36" s="2599" t="e">
        <f>R36</f>
        <v>#DIV/0!</v>
      </c>
      <c r="F36" s="2599"/>
      <c r="G36" s="2597" t="e">
        <f>T36</f>
        <v>#DIV/0!</v>
      </c>
      <c r="H36" s="2598"/>
      <c r="I36" s="2599" t="e">
        <f>V36</f>
        <v>#DIV/0!</v>
      </c>
      <c r="J36" s="2598"/>
      <c r="K36" s="1597"/>
      <c r="L36" s="2129"/>
      <c r="M36" s="2130"/>
      <c r="N36" s="2119"/>
      <c r="O36" s="2130"/>
      <c r="P36" s="3437" t="str">
        <f>A36</f>
        <v>比较价格（元/平方米）</v>
      </c>
      <c r="Q36" s="3437"/>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1545"/>
      <c r="Y36" s="1545"/>
      <c r="Z36" s="1545"/>
      <c r="AA36" s="1545"/>
      <c r="AB36" s="1545"/>
      <c r="AC36" s="1545"/>
    </row>
    <row r="37" spans="1:29" ht="15.75" thickBot="1">
      <c r="A37" s="621" t="s">
        <v>2936</v>
      </c>
      <c r="B37" s="622"/>
      <c r="C37" s="2600" t="e">
        <f>R37</f>
        <v>#DIV/0!</v>
      </c>
      <c r="D37" s="2600"/>
      <c r="E37" s="2600"/>
      <c r="F37" s="2600"/>
      <c r="G37" s="2600"/>
      <c r="H37" s="2600"/>
      <c r="I37" s="2600"/>
      <c r="J37" s="2600"/>
      <c r="K37" s="1598"/>
      <c r="L37" s="2129"/>
      <c r="M37" s="2130"/>
      <c r="N37" s="2130"/>
      <c r="O37" s="2130"/>
      <c r="P37" s="3458" t="str">
        <f>A37</f>
        <v>估价对象XX用房的比较价格（楼面单价，元/平方米）</v>
      </c>
      <c r="Q37" s="3459"/>
      <c r="R37" s="3531" t="e">
        <f>IF(F1="售价",ROUND(AVERAGE(R36:V36),0),ROUND(AVERAGE(R36:V36),1))</f>
        <v>#DIV/0!</v>
      </c>
      <c r="S37" s="3531"/>
      <c r="T37" s="3531"/>
      <c r="U37" s="3531"/>
      <c r="V37" s="3531"/>
      <c r="W37" s="3531"/>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2019-6</v>
      </c>
      <c r="D46" s="2759">
        <f>EDATE(C46,-1)</f>
        <v>43586</v>
      </c>
      <c r="E46" s="2759">
        <f t="shared" ref="E46:O46" si="16">EDATE(D46,-1)</f>
        <v>43556</v>
      </c>
      <c r="F46" s="2759">
        <f t="shared" si="16"/>
        <v>43525</v>
      </c>
      <c r="G46" s="2759">
        <f t="shared" si="16"/>
        <v>43497</v>
      </c>
      <c r="H46" s="2759">
        <f t="shared" si="16"/>
        <v>43466</v>
      </c>
      <c r="I46" s="2759">
        <f t="shared" si="16"/>
        <v>43435</v>
      </c>
      <c r="J46" s="2759">
        <f t="shared" si="16"/>
        <v>43405</v>
      </c>
      <c r="K46" s="2759">
        <f t="shared" si="16"/>
        <v>43374</v>
      </c>
      <c r="L46" s="2759">
        <f t="shared" si="16"/>
        <v>43344</v>
      </c>
      <c r="M46" s="2759">
        <f t="shared" si="16"/>
        <v>43313</v>
      </c>
      <c r="N46" s="2759">
        <f t="shared" si="16"/>
        <v>43282</v>
      </c>
      <c r="O46" s="2759">
        <f t="shared" si="16"/>
        <v>43252</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6" priority="14" stopIfTrue="1" operator="containsText" text="超过">
      <formula>NOT(ISERROR(SEARCH("超过",F40)))</formula>
    </cfRule>
  </conditionalFormatting>
  <conditionalFormatting sqref="J42">
    <cfRule type="containsText" dxfId="25" priority="13" stopIfTrue="1" operator="containsText" text="超过">
      <formula>NOT(ISERROR(SEARCH("超过",J42)))</formula>
    </cfRule>
  </conditionalFormatting>
  <conditionalFormatting sqref="H42">
    <cfRule type="containsText" dxfId="24" priority="12" stopIfTrue="1" operator="containsText" text="超过">
      <formula>NOT(ISERROR(SEARCH("超过",H42)))</formula>
    </cfRule>
  </conditionalFormatting>
  <conditionalFormatting sqref="F42">
    <cfRule type="containsText" dxfId="23" priority="11" stopIfTrue="1" operator="containsText" text="超过">
      <formula>NOT(ISERROR(SEARCH("超过",F42)))</formula>
    </cfRule>
  </conditionalFormatting>
  <conditionalFormatting sqref="F41 H41 J41">
    <cfRule type="containsText" dxfId="22" priority="10" stopIfTrue="1" operator="containsText" text="超过">
      <formula>NOT(ISERROR(SEARCH("超过",F41)))</formula>
    </cfRule>
  </conditionalFormatting>
  <conditionalFormatting sqref="E40">
    <cfRule type="expression" dxfId="21" priority="9" stopIfTrue="1">
      <formula>$F$40="超过30%"</formula>
    </cfRule>
  </conditionalFormatting>
  <conditionalFormatting sqref="G42">
    <cfRule type="expression" dxfId="20" priority="8" stopIfTrue="1">
      <formula>$H$54+$H$42="超过30%"</formula>
    </cfRule>
  </conditionalFormatting>
  <conditionalFormatting sqref="E41">
    <cfRule type="expression" dxfId="19" priority="7" stopIfTrue="1">
      <formula>$F$41="超过20%"</formula>
    </cfRule>
  </conditionalFormatting>
  <conditionalFormatting sqref="E42">
    <cfRule type="expression" dxfId="18" priority="6" stopIfTrue="1">
      <formula>$F$42="超过30%"</formula>
    </cfRule>
  </conditionalFormatting>
  <conditionalFormatting sqref="G40">
    <cfRule type="expression" dxfId="17" priority="5" stopIfTrue="1">
      <formula>$H$52+$H$40="超过30%"</formula>
    </cfRule>
  </conditionalFormatting>
  <conditionalFormatting sqref="G41">
    <cfRule type="expression" dxfId="16" priority="4" stopIfTrue="1">
      <formula>$H$53+$H$41="超过20%"</formula>
    </cfRule>
  </conditionalFormatting>
  <conditionalFormatting sqref="I40">
    <cfRule type="expression" dxfId="15" priority="3" stopIfTrue="1">
      <formula>$J$40="超过30%"</formula>
    </cfRule>
  </conditionalFormatting>
  <conditionalFormatting sqref="I41">
    <cfRule type="expression" dxfId="14" priority="2" stopIfTrue="1">
      <formula>$J$41="超过20%"</formula>
    </cfRule>
  </conditionalFormatting>
  <conditionalFormatting sqref="I42">
    <cfRule type="expression" dxfId="1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2303</v>
      </c>
      <c r="C1" s="3541" t="s">
        <v>2304</v>
      </c>
      <c r="D1" s="3542"/>
      <c r="E1" s="3542"/>
      <c r="F1" s="3542"/>
      <c r="G1" s="3542"/>
      <c r="H1" s="3542"/>
      <c r="I1" s="3542"/>
      <c r="J1" s="3542"/>
      <c r="K1" s="3542"/>
      <c r="L1" s="3542"/>
      <c r="M1" s="3542"/>
      <c r="N1" s="3542"/>
      <c r="O1" s="3542"/>
      <c r="P1" s="3542"/>
      <c r="Q1" s="3542"/>
      <c r="R1" s="3542"/>
      <c r="S1" s="3543"/>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2928</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2927</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2940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0</v>
      </c>
      <c r="C22" s="3538" t="s">
        <v>20</v>
      </c>
      <c r="D22" s="3539"/>
      <c r="E22" s="3539"/>
      <c r="F22" s="3539"/>
      <c r="G22" s="3539"/>
      <c r="H22" s="3539"/>
      <c r="I22" s="3539"/>
      <c r="J22" s="3539"/>
      <c r="K22" s="3539"/>
      <c r="L22" s="3539"/>
      <c r="M22" s="3539"/>
      <c r="N22" s="3539"/>
      <c r="O22" s="3539"/>
      <c r="P22" s="3539"/>
      <c r="Q22" s="3540"/>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2787</v>
      </c>
      <c r="C1" s="2959">
        <f>项目基本情况!D3</f>
        <v>43646</v>
      </c>
      <c r="H1" s="2893">
        <f>IF(C1&gt;C13,0,MATCH(C1,C$13:C$100,-1))+IF(SUMIF(C13:C100,C1,D13:D100)=0,13,12)</f>
        <v>13</v>
      </c>
      <c r="I1" s="2893">
        <f ca="1">MATCH(C2,H3:H7,1)+IF(SUMIF(H3:H7,C2,I3:I7)=0,2,1)</f>
        <v>4</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2818</v>
      </c>
      <c r="C2" s="2960">
        <f>'数据-取费表'!B22</f>
        <v>1</v>
      </c>
      <c r="D2" s="2955" t="s">
        <v>2788</v>
      </c>
      <c r="E2" s="2958">
        <f ca="1">INDIRECT("I"&amp;$I$1)/100</f>
        <v>4.3499999999999997E-2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zoomScale="90" zoomScaleNormal="90" workbookViewId="0">
      <selection activeCell="K33" sqref="K33"/>
    </sheetView>
  </sheetViews>
  <sheetFormatPr defaultRowHeight="13.5"/>
  <cols>
    <col min="1" max="2" width="9" style="3184"/>
    <col min="3" max="3" width="11.875" style="3184" customWidth="1"/>
    <col min="4" max="4" width="9" style="3184"/>
    <col min="5" max="5" width="10.75" style="3184" customWidth="1"/>
    <col min="6" max="6" width="9" style="3184"/>
    <col min="7" max="7" width="11.25" style="3184" customWidth="1"/>
    <col min="8" max="8" width="9" style="3184"/>
    <col min="9" max="9" width="12" style="3184" customWidth="1"/>
    <col min="10" max="10" width="9" style="3184"/>
    <col min="11" max="11" width="11.25" style="3184" customWidth="1"/>
    <col min="12" max="12" width="9" style="3184"/>
    <col min="13" max="13" width="12" style="3184" customWidth="1"/>
    <col min="14" max="17" width="9" style="3184"/>
    <col min="18" max="18" width="13.125" style="3184" customWidth="1"/>
    <col min="19" max="20" width="9" style="3184"/>
    <col min="21" max="21" width="9.625" style="3184" bestFit="1" customWidth="1"/>
    <col min="22" max="16384" width="9" style="3184"/>
  </cols>
  <sheetData>
    <row r="1" spans="1:24">
      <c r="A1" s="3556" t="s">
        <v>3011</v>
      </c>
      <c r="B1" s="3556"/>
      <c r="C1" s="3556"/>
      <c r="D1" s="3556"/>
      <c r="E1" s="3556"/>
      <c r="F1" s="3556"/>
      <c r="G1" s="3556"/>
      <c r="H1" s="3556"/>
      <c r="I1" s="3556"/>
      <c r="J1" s="3556"/>
    </row>
    <row r="2" spans="1:24">
      <c r="A2" s="3185"/>
      <c r="B2" s="3185"/>
      <c r="C2" s="3185"/>
      <c r="D2" s="3185"/>
      <c r="E2" s="3185"/>
      <c r="F2" s="3185"/>
      <c r="G2" s="3185"/>
      <c r="H2" s="3185"/>
      <c r="I2" s="3185"/>
      <c r="J2" s="3185"/>
      <c r="K2" s="3185"/>
      <c r="L2" s="3185"/>
      <c r="M2" s="3185"/>
      <c r="N2" s="3185"/>
    </row>
    <row r="3" spans="1:24" ht="15">
      <c r="A3" s="3546" t="s">
        <v>3012</v>
      </c>
      <c r="B3" s="3546"/>
      <c r="C3" s="3545" t="s">
        <v>3013</v>
      </c>
      <c r="D3" s="3545"/>
      <c r="E3" s="3545" t="s">
        <v>3014</v>
      </c>
      <c r="F3" s="3545"/>
      <c r="G3" s="3545" t="s">
        <v>3015</v>
      </c>
      <c r="H3" s="3545"/>
      <c r="I3" s="3545" t="s">
        <v>3016</v>
      </c>
      <c r="J3" s="3545"/>
      <c r="K3" s="3545" t="s">
        <v>3017</v>
      </c>
      <c r="L3" s="3545"/>
      <c r="M3" s="3545" t="s">
        <v>3018</v>
      </c>
      <c r="N3" s="3545"/>
      <c r="P3" s="3186"/>
      <c r="Q3" s="3186"/>
      <c r="R3" s="3186"/>
      <c r="S3" s="3186"/>
      <c r="T3" s="3187"/>
      <c r="U3" s="3188"/>
      <c r="V3" s="3186"/>
    </row>
    <row r="4" spans="1:24" ht="39" customHeight="1">
      <c r="A4" s="3546" t="s">
        <v>3019</v>
      </c>
      <c r="B4" s="3546"/>
      <c r="C4" s="3548"/>
      <c r="D4" s="3549"/>
      <c r="E4" s="3548" t="str">
        <f>[2]土地案例!F10</f>
        <v>顺义区高丽营镇于庄土地一级开发项目03-21、03-31地块</v>
      </c>
      <c r="F4" s="3549"/>
      <c r="G4" s="3548" t="str">
        <f>[2]土地案例!F12</f>
        <v>怀柔区怀柔镇04街区HR00-0004-6001、6002、6003、6004地块F2用地及0050地块供燃气用地</v>
      </c>
      <c r="H4" s="3549"/>
      <c r="I4" s="3548" t="str">
        <f>[2]土地案例!F14</f>
        <v>顺义区国际鲜花港土地一级开发项目A-01地块</v>
      </c>
      <c r="J4" s="3549"/>
      <c r="K4" s="3548" t="str">
        <f>[2]土地案例!F19</f>
        <v>顺义卫星城牛栏山组团东南部土地一级开发项目SY00-0017-6001、1103、1202等地块</v>
      </c>
      <c r="L4" s="3549"/>
      <c r="M4" s="3548" t="str">
        <f>[2]土地案例!F28</f>
        <v>怀柔区雁栖镇陈各庄村土地一级开发项目</v>
      </c>
      <c r="N4" s="3549"/>
      <c r="P4" s="3189" t="s">
        <v>3020</v>
      </c>
      <c r="Q4" s="3186"/>
      <c r="R4" s="3189" t="s">
        <v>3021</v>
      </c>
      <c r="S4" s="3186"/>
      <c r="T4" s="3187"/>
      <c r="U4" s="3188"/>
      <c r="V4" s="3188"/>
    </row>
    <row r="5" spans="1:24" ht="23.25" hidden="1" customHeight="1">
      <c r="A5" s="3546" t="s">
        <v>3022</v>
      </c>
      <c r="B5" s="3546"/>
      <c r="C5" s="3548" t="s">
        <v>3023</v>
      </c>
      <c r="D5" s="3549"/>
      <c r="E5" s="3548">
        <f>[3]橡树湾数据!H7</f>
        <v>109.08</v>
      </c>
      <c r="F5" s="3549"/>
      <c r="G5" s="3548">
        <f>[3]领秀硅谷数据!H6</f>
        <v>101.33</v>
      </c>
      <c r="H5" s="3549"/>
      <c r="I5" s="3548">
        <f>[3]毛纺厂西数据!H6</f>
        <v>110.5</v>
      </c>
      <c r="J5" s="3549"/>
      <c r="K5" s="3548">
        <f>[3]专家国际花园数据!H6</f>
        <v>102</v>
      </c>
      <c r="L5" s="3549"/>
      <c r="M5" s="3548">
        <f>[3]尚品公寓数据!H6</f>
        <v>98.25</v>
      </c>
      <c r="N5" s="3549"/>
      <c r="P5" s="3190">
        <v>42948</v>
      </c>
      <c r="Q5" s="3191" t="e">
        <f>[4]土地案例!#REF!</f>
        <v>#REF!</v>
      </c>
      <c r="R5" s="3192">
        <f>V6</f>
        <v>1.0158</v>
      </c>
      <c r="S5" s="3191" t="e">
        <f>ROUND(Q5*R5*W5,1)</f>
        <v>#REF!</v>
      </c>
      <c r="T5" s="3187" t="s">
        <v>2990</v>
      </c>
      <c r="U5" s="3188">
        <f>[4]地价!W3</f>
        <v>0</v>
      </c>
      <c r="V5" s="3188">
        <f t="shared" ref="V5:V9" si="0">1+U5</f>
        <v>1</v>
      </c>
    </row>
    <row r="6" spans="1:24" ht="15">
      <c r="A6" s="3546" t="s">
        <v>3024</v>
      </c>
      <c r="B6" s="3546"/>
      <c r="C6" s="3193">
        <v>43545</v>
      </c>
      <c r="D6" s="3194">
        <v>100</v>
      </c>
      <c r="E6" s="3195">
        <v>2017.3</v>
      </c>
      <c r="F6" s="3194">
        <v>98.4</v>
      </c>
      <c r="G6" s="3195">
        <v>2017.3</v>
      </c>
      <c r="H6" s="3194">
        <v>98.4</v>
      </c>
      <c r="I6" s="3195" t="s">
        <v>3025</v>
      </c>
      <c r="J6" s="3194">
        <v>98.6</v>
      </c>
      <c r="K6" s="3195" t="s">
        <v>3026</v>
      </c>
      <c r="L6" s="3194">
        <v>98.8</v>
      </c>
      <c r="M6" s="3195" t="s">
        <v>3027</v>
      </c>
      <c r="N6" s="3194">
        <v>99.8</v>
      </c>
      <c r="P6" s="3196" t="s">
        <v>3028</v>
      </c>
      <c r="Q6" s="3191">
        <f>100/R6</f>
        <v>98.444575703878712</v>
      </c>
      <c r="R6" s="3192">
        <f>V6</f>
        <v>1.0158</v>
      </c>
      <c r="S6" s="3191">
        <f>ROUND(Q6*R6*W6,1)</f>
        <v>0</v>
      </c>
      <c r="T6" s="3187" t="s">
        <v>3029</v>
      </c>
      <c r="U6" s="3188">
        <f>[2]地价!Q13</f>
        <v>1.5800000000000002E-2</v>
      </c>
      <c r="V6" s="3188">
        <f t="shared" si="0"/>
        <v>1.0158</v>
      </c>
    </row>
    <row r="7" spans="1:24" ht="15">
      <c r="A7" s="3546" t="s">
        <v>3030</v>
      </c>
      <c r="B7" s="3546"/>
      <c r="C7" s="3197" t="s">
        <v>3031</v>
      </c>
      <c r="D7" s="3197">
        <v>100</v>
      </c>
      <c r="E7" s="3197" t="s">
        <v>3031</v>
      </c>
      <c r="F7" s="3197">
        <v>100</v>
      </c>
      <c r="G7" s="3197" t="s">
        <v>3031</v>
      </c>
      <c r="H7" s="3197">
        <f>IF(G7=C7,100,"请调整")</f>
        <v>100</v>
      </c>
      <c r="I7" s="3197" t="s">
        <v>3031</v>
      </c>
      <c r="J7" s="3197">
        <f>IF(I7=C7,100,"请调整")</f>
        <v>100</v>
      </c>
      <c r="K7" s="3197" t="s">
        <v>3031</v>
      </c>
      <c r="L7" s="3197">
        <f>IF(K7=G7,100,"请调整")</f>
        <v>100</v>
      </c>
      <c r="M7" s="3197" t="s">
        <v>3031</v>
      </c>
      <c r="N7" s="3197">
        <f>IF(M7=G7,100,"请调整")</f>
        <v>100</v>
      </c>
      <c r="P7" s="3196" t="s">
        <v>3032</v>
      </c>
      <c r="Q7" s="3191">
        <f>100/R7</f>
        <v>98.347757671125109</v>
      </c>
      <c r="R7" s="3192">
        <f>V7</f>
        <v>1.0167999999999999</v>
      </c>
      <c r="S7" s="3191">
        <f>ROUND(Q7*R7*W7,1)</f>
        <v>0</v>
      </c>
      <c r="T7" s="3187" t="s">
        <v>3033</v>
      </c>
      <c r="U7" s="3188">
        <f>[2]地价!Q12</f>
        <v>1.6799999999999999E-2</v>
      </c>
      <c r="V7" s="3188">
        <f t="shared" si="0"/>
        <v>1.0167999999999999</v>
      </c>
    </row>
    <row r="8" spans="1:24" ht="24">
      <c r="A8" s="3550" t="s">
        <v>3034</v>
      </c>
      <c r="B8" s="3198" t="s">
        <v>1655</v>
      </c>
      <c r="C8" s="3199" t="s">
        <v>3035</v>
      </c>
      <c r="D8" s="3199">
        <v>100</v>
      </c>
      <c r="E8" s="3199" t="s">
        <v>3036</v>
      </c>
      <c r="F8" s="3199">
        <v>105</v>
      </c>
      <c r="G8" s="3199" t="s">
        <v>3036</v>
      </c>
      <c r="H8" s="3199">
        <v>100</v>
      </c>
      <c r="I8" s="3199" t="s">
        <v>3036</v>
      </c>
      <c r="J8" s="3199">
        <v>105</v>
      </c>
      <c r="K8" s="3199" t="s">
        <v>3036</v>
      </c>
      <c r="L8" s="3199">
        <v>105</v>
      </c>
      <c r="M8" s="3199" t="s">
        <v>3035</v>
      </c>
      <c r="N8" s="3197">
        <v>100</v>
      </c>
      <c r="P8" s="3196" t="s">
        <v>3037</v>
      </c>
      <c r="Q8" s="3191">
        <f>100/R8</f>
        <v>98.309083759339359</v>
      </c>
      <c r="R8" s="3200">
        <f>V8</f>
        <v>1.0172000000000001</v>
      </c>
      <c r="S8" s="3191"/>
      <c r="T8" s="3187" t="s">
        <v>3038</v>
      </c>
      <c r="U8" s="3188">
        <f>[2]地价!Q11</f>
        <v>1.72E-2</v>
      </c>
      <c r="V8" s="3188">
        <f t="shared" si="0"/>
        <v>1.0172000000000001</v>
      </c>
    </row>
    <row r="9" spans="1:24" ht="15">
      <c r="A9" s="3551"/>
      <c r="B9" s="3198" t="s">
        <v>3039</v>
      </c>
      <c r="C9" s="3201" t="s">
        <v>3035</v>
      </c>
      <c r="D9" s="3199">
        <v>100</v>
      </c>
      <c r="E9" s="3199" t="s">
        <v>3035</v>
      </c>
      <c r="F9" s="3199">
        <v>100</v>
      </c>
      <c r="G9" s="3199" t="s">
        <v>3035</v>
      </c>
      <c r="H9" s="3199">
        <v>100</v>
      </c>
      <c r="I9" s="3199" t="s">
        <v>3035</v>
      </c>
      <c r="J9" s="3199">
        <v>100</v>
      </c>
      <c r="K9" s="3199" t="s">
        <v>3035</v>
      </c>
      <c r="L9" s="3199">
        <v>100</v>
      </c>
      <c r="M9" s="3199" t="s">
        <v>3035</v>
      </c>
      <c r="N9" s="3197">
        <v>100</v>
      </c>
      <c r="P9" s="3196" t="s">
        <v>3040</v>
      </c>
      <c r="Q9" s="3191">
        <f>100/R9</f>
        <v>98.726429065060728</v>
      </c>
      <c r="R9" s="3200">
        <f>V9</f>
        <v>1.0128999999999999</v>
      </c>
      <c r="S9" s="3191"/>
      <c r="T9" s="3187" t="s">
        <v>3041</v>
      </c>
      <c r="U9" s="3188">
        <f>[2]地价!Q6</f>
        <v>1.29E-2</v>
      </c>
      <c r="V9" s="3188">
        <f t="shared" si="0"/>
        <v>1.0128999999999999</v>
      </c>
    </row>
    <row r="10" spans="1:24" ht="24">
      <c r="A10" s="3551"/>
      <c r="B10" s="3198" t="s">
        <v>3042</v>
      </c>
      <c r="C10" s="3199" t="s">
        <v>3043</v>
      </c>
      <c r="D10" s="3199">
        <v>100</v>
      </c>
      <c r="E10" s="3199" t="s">
        <v>3044</v>
      </c>
      <c r="F10" s="3199">
        <v>105</v>
      </c>
      <c r="G10" s="3199" t="s">
        <v>3043</v>
      </c>
      <c r="H10" s="3199">
        <v>100</v>
      </c>
      <c r="I10" s="3199" t="s">
        <v>3045</v>
      </c>
      <c r="J10" s="3199">
        <v>102</v>
      </c>
      <c r="K10" s="3199" t="s">
        <v>3045</v>
      </c>
      <c r="L10" s="3199">
        <v>102</v>
      </c>
      <c r="M10" s="3199" t="s">
        <v>3043</v>
      </c>
      <c r="N10" s="3197">
        <v>100</v>
      </c>
      <c r="P10" s="3191"/>
      <c r="Q10" s="3191"/>
      <c r="R10" s="3191"/>
      <c r="S10" s="3191"/>
      <c r="T10" s="3187"/>
      <c r="U10" s="3188"/>
      <c r="V10" s="3188"/>
    </row>
    <row r="11" spans="1:24" ht="48">
      <c r="A11" s="3551"/>
      <c r="B11" s="3202" t="s">
        <v>3046</v>
      </c>
      <c r="C11" s="3198" t="s">
        <v>3047</v>
      </c>
      <c r="D11" s="3199">
        <v>100</v>
      </c>
      <c r="E11" s="3198" t="s">
        <v>3048</v>
      </c>
      <c r="F11" s="3199">
        <v>105</v>
      </c>
      <c r="G11" s="3198" t="s">
        <v>3048</v>
      </c>
      <c r="H11" s="3197">
        <v>105</v>
      </c>
      <c r="I11" s="3198" t="s">
        <v>3048</v>
      </c>
      <c r="J11" s="3197">
        <v>105</v>
      </c>
      <c r="K11" s="3198" t="s">
        <v>3048</v>
      </c>
      <c r="L11" s="3197">
        <v>105</v>
      </c>
      <c r="M11" s="3198" t="s">
        <v>3047</v>
      </c>
      <c r="N11" s="3197">
        <v>100</v>
      </c>
      <c r="P11" s="3191">
        <v>2019.1</v>
      </c>
      <c r="Q11" s="3191">
        <v>18.399999999999999</v>
      </c>
      <c r="R11" s="3192">
        <v>0.183</v>
      </c>
      <c r="S11" s="3191">
        <v>18.2</v>
      </c>
      <c r="T11" s="3187" t="s">
        <v>3049</v>
      </c>
      <c r="U11" s="3188">
        <v>0.17399999999999999</v>
      </c>
      <c r="V11" s="3188">
        <v>0.17299999999999999</v>
      </c>
      <c r="W11" s="3184">
        <v>17.2</v>
      </c>
      <c r="X11" s="3184">
        <v>17.100000000000001</v>
      </c>
    </row>
    <row r="12" spans="1:24" ht="31.5" hidden="1" customHeight="1">
      <c r="A12" s="3551"/>
      <c r="B12" s="3198" t="s">
        <v>3042</v>
      </c>
      <c r="C12" s="3199" t="s">
        <v>3050</v>
      </c>
      <c r="D12" s="3197">
        <v>100</v>
      </c>
      <c r="E12" s="3199" t="s">
        <v>3051</v>
      </c>
      <c r="F12" s="3197">
        <v>100</v>
      </c>
      <c r="G12" s="3199" t="s">
        <v>3050</v>
      </c>
      <c r="H12" s="3197">
        <v>100</v>
      </c>
      <c r="I12" s="3199" t="s">
        <v>3052</v>
      </c>
      <c r="J12" s="3197">
        <v>100</v>
      </c>
      <c r="K12" s="3199" t="s">
        <v>3052</v>
      </c>
      <c r="L12" s="3199">
        <v>100</v>
      </c>
      <c r="M12" s="3199" t="s">
        <v>3050</v>
      </c>
      <c r="N12" s="3197">
        <v>100</v>
      </c>
    </row>
    <row r="13" spans="1:24" ht="24">
      <c r="A13" s="3552"/>
      <c r="B13" s="3198" t="s">
        <v>3053</v>
      </c>
      <c r="C13" s="3199" t="s">
        <v>3036</v>
      </c>
      <c r="D13" s="3197">
        <v>100</v>
      </c>
      <c r="E13" s="3199" t="s">
        <v>3036</v>
      </c>
      <c r="F13" s="3197">
        <v>100</v>
      </c>
      <c r="G13" s="3199" t="s">
        <v>3036</v>
      </c>
      <c r="H13" s="3197">
        <v>100</v>
      </c>
      <c r="I13" s="3199" t="s">
        <v>3036</v>
      </c>
      <c r="J13" s="3197">
        <v>100</v>
      </c>
      <c r="K13" s="3199" t="s">
        <v>3036</v>
      </c>
      <c r="L13" s="3199">
        <v>100</v>
      </c>
      <c r="M13" s="3199" t="s">
        <v>3036</v>
      </c>
      <c r="N13" s="3197">
        <v>100</v>
      </c>
      <c r="P13" s="3184">
        <v>100</v>
      </c>
      <c r="Q13" s="3184">
        <v>99.8</v>
      </c>
      <c r="R13" s="3184">
        <v>99.6</v>
      </c>
      <c r="S13" s="3184">
        <v>99.4</v>
      </c>
      <c r="T13" s="3184">
        <v>99.2</v>
      </c>
      <c r="U13" s="3184">
        <v>99</v>
      </c>
      <c r="V13" s="3184">
        <v>98.8</v>
      </c>
      <c r="W13" s="3184">
        <v>98.600000000000094</v>
      </c>
      <c r="X13" s="3184">
        <v>98.400000000000105</v>
      </c>
    </row>
    <row r="14" spans="1:24">
      <c r="A14" s="3553" t="s">
        <v>3054</v>
      </c>
      <c r="B14" s="3202" t="s">
        <v>3055</v>
      </c>
      <c r="C14" s="3199" t="s">
        <v>3056</v>
      </c>
      <c r="D14" s="3197">
        <v>100</v>
      </c>
      <c r="E14" s="3199" t="s">
        <v>3056</v>
      </c>
      <c r="F14" s="3197">
        <v>100</v>
      </c>
      <c r="G14" s="3199" t="s">
        <v>3056</v>
      </c>
      <c r="H14" s="3197">
        <v>100</v>
      </c>
      <c r="I14" s="3199" t="s">
        <v>3056</v>
      </c>
      <c r="J14" s="3197">
        <v>100</v>
      </c>
      <c r="K14" s="3199" t="s">
        <v>3056</v>
      </c>
      <c r="L14" s="3197">
        <v>100</v>
      </c>
      <c r="M14" s="3199" t="s">
        <v>3056</v>
      </c>
      <c r="N14" s="3197">
        <v>100</v>
      </c>
    </row>
    <row r="15" spans="1:24" ht="24" customHeight="1">
      <c r="A15" s="3554"/>
      <c r="B15" s="3202" t="s">
        <v>3057</v>
      </c>
      <c r="C15" s="3199" t="s">
        <v>3058</v>
      </c>
      <c r="D15" s="3197">
        <v>100</v>
      </c>
      <c r="E15" s="3199" t="s">
        <v>3059</v>
      </c>
      <c r="F15" s="3197">
        <v>98</v>
      </c>
      <c r="G15" s="3199" t="s">
        <v>3059</v>
      </c>
      <c r="H15" s="3197">
        <v>98</v>
      </c>
      <c r="I15" s="3199" t="s">
        <v>3059</v>
      </c>
      <c r="J15" s="3197">
        <v>98</v>
      </c>
      <c r="K15" s="3199" t="s">
        <v>3059</v>
      </c>
      <c r="L15" s="3197">
        <v>98</v>
      </c>
      <c r="M15" s="3199" t="s">
        <v>3060</v>
      </c>
      <c r="N15" s="3197">
        <v>101</v>
      </c>
    </row>
    <row r="16" spans="1:24">
      <c r="A16" s="3554"/>
      <c r="B16" s="3202" t="s">
        <v>3061</v>
      </c>
      <c r="C16" s="3199" t="s">
        <v>3062</v>
      </c>
      <c r="D16" s="3197">
        <v>100</v>
      </c>
      <c r="E16" s="3199" t="s">
        <v>3063</v>
      </c>
      <c r="F16" s="3197">
        <v>110</v>
      </c>
      <c r="G16" s="3199" t="s">
        <v>3063</v>
      </c>
      <c r="H16" s="3197">
        <v>110</v>
      </c>
      <c r="I16" s="3199" t="s">
        <v>3063</v>
      </c>
      <c r="J16" s="3197">
        <v>110</v>
      </c>
      <c r="K16" s="3199" t="s">
        <v>3063</v>
      </c>
      <c r="L16" s="3197">
        <v>110</v>
      </c>
      <c r="M16" s="3199" t="s">
        <v>3063</v>
      </c>
      <c r="N16" s="3197">
        <v>110</v>
      </c>
    </row>
    <row r="17" spans="1:14" ht="24">
      <c r="A17" s="3555"/>
      <c r="B17" s="3202" t="s">
        <v>3064</v>
      </c>
      <c r="C17" s="3199">
        <v>58.500700000000002</v>
      </c>
      <c r="D17" s="3197">
        <v>100</v>
      </c>
      <c r="E17" s="3199">
        <v>96.99</v>
      </c>
      <c r="F17" s="3197">
        <v>101</v>
      </c>
      <c r="G17" s="3199">
        <v>116.6</v>
      </c>
      <c r="H17" s="3197">
        <v>102</v>
      </c>
      <c r="I17" s="3199">
        <v>19.989999999999998</v>
      </c>
      <c r="J17" s="3197">
        <v>99</v>
      </c>
      <c r="K17" s="3199">
        <v>132.25</v>
      </c>
      <c r="L17" s="3197">
        <v>102</v>
      </c>
      <c r="M17" s="3199">
        <v>49.58</v>
      </c>
      <c r="N17" s="3197">
        <v>99</v>
      </c>
    </row>
    <row r="18" spans="1:14" ht="36" hidden="1">
      <c r="A18" s="3550" t="s">
        <v>3065</v>
      </c>
      <c r="B18" s="3198" t="s">
        <v>3066</v>
      </c>
      <c r="C18" s="3199" t="s">
        <v>3067</v>
      </c>
      <c r="D18" s="3197">
        <v>100</v>
      </c>
      <c r="E18" s="3199" t="s">
        <v>3067</v>
      </c>
      <c r="F18" s="3197">
        <v>100</v>
      </c>
      <c r="G18" s="3199" t="s">
        <v>3067</v>
      </c>
      <c r="H18" s="3197">
        <v>100</v>
      </c>
      <c r="I18" s="3199" t="s">
        <v>3067</v>
      </c>
      <c r="J18" s="3197">
        <v>100</v>
      </c>
      <c r="K18" s="3199" t="s">
        <v>3067</v>
      </c>
      <c r="L18" s="3197">
        <v>100</v>
      </c>
      <c r="M18" s="3199" t="s">
        <v>3067</v>
      </c>
      <c r="N18" s="3197">
        <v>100</v>
      </c>
    </row>
    <row r="19" spans="1:14" ht="24" hidden="1">
      <c r="A19" s="3551"/>
      <c r="B19" s="3198" t="s">
        <v>3068</v>
      </c>
      <c r="C19" s="3203" t="s">
        <v>3069</v>
      </c>
      <c r="D19" s="3197">
        <v>100</v>
      </c>
      <c r="E19" s="3203" t="s">
        <v>3069</v>
      </c>
      <c r="F19" s="3197">
        <v>100</v>
      </c>
      <c r="G19" s="3203" t="s">
        <v>3069</v>
      </c>
      <c r="H19" s="3197">
        <v>100</v>
      </c>
      <c r="I19" s="3203" t="s">
        <v>3069</v>
      </c>
      <c r="J19" s="3197">
        <v>100</v>
      </c>
      <c r="K19" s="3203" t="s">
        <v>3069</v>
      </c>
      <c r="L19" s="3197">
        <v>100</v>
      </c>
      <c r="M19" s="3203" t="s">
        <v>3069</v>
      </c>
      <c r="N19" s="3197">
        <v>100</v>
      </c>
    </row>
    <row r="20" spans="1:14" ht="24" hidden="1">
      <c r="A20" s="3551"/>
      <c r="B20" s="3198" t="s">
        <v>3070</v>
      </c>
      <c r="C20" s="3199" t="s">
        <v>3071</v>
      </c>
      <c r="D20" s="3197">
        <v>100</v>
      </c>
      <c r="E20" s="3199" t="s">
        <v>3071</v>
      </c>
      <c r="F20" s="3197">
        <v>100</v>
      </c>
      <c r="G20" s="3199" t="s">
        <v>3071</v>
      </c>
      <c r="H20" s="3197">
        <v>100</v>
      </c>
      <c r="I20" s="3199" t="s">
        <v>3071</v>
      </c>
      <c r="J20" s="3197">
        <v>100</v>
      </c>
      <c r="K20" s="3199" t="s">
        <v>3071</v>
      </c>
      <c r="L20" s="3197">
        <v>100</v>
      </c>
      <c r="M20" s="3199" t="s">
        <v>3071</v>
      </c>
      <c r="N20" s="3197">
        <v>100</v>
      </c>
    </row>
    <row r="21" spans="1:14" ht="48" hidden="1">
      <c r="A21" s="3551"/>
      <c r="B21" s="3198" t="s">
        <v>3072</v>
      </c>
      <c r="C21" s="3199" t="s">
        <v>3073</v>
      </c>
      <c r="D21" s="3197">
        <v>100</v>
      </c>
      <c r="E21" s="3199" t="s">
        <v>3074</v>
      </c>
      <c r="F21" s="3204">
        <v>100</v>
      </c>
      <c r="G21" s="3199" t="s">
        <v>3074</v>
      </c>
      <c r="H21" s="3204">
        <v>100</v>
      </c>
      <c r="I21" s="3199" t="s">
        <v>3074</v>
      </c>
      <c r="J21" s="3204">
        <v>100</v>
      </c>
      <c r="K21" s="3199" t="s">
        <v>3074</v>
      </c>
      <c r="L21" s="3204">
        <v>100</v>
      </c>
      <c r="M21" s="3199" t="s">
        <v>3074</v>
      </c>
      <c r="N21" s="3204">
        <v>100</v>
      </c>
    </row>
    <row r="22" spans="1:14" ht="36" hidden="1">
      <c r="A22" s="3551"/>
      <c r="B22" s="3198" t="s">
        <v>3075</v>
      </c>
      <c r="C22" s="3199" t="s">
        <v>3076</v>
      </c>
      <c r="D22" s="3197">
        <v>100</v>
      </c>
      <c r="E22" s="3199" t="s">
        <v>3076</v>
      </c>
      <c r="F22" s="3197">
        <v>100</v>
      </c>
      <c r="G22" s="3199" t="s">
        <v>3076</v>
      </c>
      <c r="H22" s="3197">
        <v>100</v>
      </c>
      <c r="I22" s="3199" t="s">
        <v>3077</v>
      </c>
      <c r="J22" s="3197">
        <v>100</v>
      </c>
      <c r="K22" s="3199" t="s">
        <v>3076</v>
      </c>
      <c r="L22" s="3197">
        <v>100</v>
      </c>
      <c r="M22" s="3199" t="s">
        <v>3076</v>
      </c>
      <c r="N22" s="3197">
        <v>100</v>
      </c>
    </row>
    <row r="23" spans="1:14" ht="24" hidden="1">
      <c r="A23" s="3551"/>
      <c r="B23" s="3198" t="s">
        <v>3078</v>
      </c>
      <c r="C23" s="3199" t="s">
        <v>3079</v>
      </c>
      <c r="D23" s="3197">
        <v>100</v>
      </c>
      <c r="E23" s="3199" t="s">
        <v>3079</v>
      </c>
      <c r="F23" s="3197">
        <v>100</v>
      </c>
      <c r="G23" s="3199" t="s">
        <v>3079</v>
      </c>
      <c r="H23" s="3197">
        <v>100</v>
      </c>
      <c r="I23" s="3199" t="s">
        <v>3079</v>
      </c>
      <c r="J23" s="3197">
        <v>100</v>
      </c>
      <c r="K23" s="3199" t="s">
        <v>3079</v>
      </c>
      <c r="L23" s="3197">
        <v>100</v>
      </c>
      <c r="M23" s="3199" t="s">
        <v>3079</v>
      </c>
      <c r="N23" s="3197">
        <v>100</v>
      </c>
    </row>
    <row r="24" spans="1:14" ht="36" hidden="1">
      <c r="A24" s="3552"/>
      <c r="B24" s="3198" t="s">
        <v>3080</v>
      </c>
      <c r="C24" s="3199" t="s">
        <v>3081</v>
      </c>
      <c r="D24" s="3197">
        <v>100</v>
      </c>
      <c r="E24" s="3199" t="s">
        <v>3082</v>
      </c>
      <c r="F24" s="3204">
        <v>100</v>
      </c>
      <c r="G24" s="3199" t="s">
        <v>3082</v>
      </c>
      <c r="H24" s="3204">
        <v>100</v>
      </c>
      <c r="I24" s="3199" t="s">
        <v>3082</v>
      </c>
      <c r="J24" s="3204">
        <v>100</v>
      </c>
      <c r="K24" s="3199" t="s">
        <v>3082</v>
      </c>
      <c r="L24" s="3204">
        <v>100</v>
      </c>
      <c r="M24" s="3199" t="s">
        <v>3082</v>
      </c>
      <c r="N24" s="3204">
        <v>100</v>
      </c>
    </row>
    <row r="25" spans="1:14">
      <c r="A25" s="3546" t="s">
        <v>3083</v>
      </c>
      <c r="B25" s="3546"/>
      <c r="C25" s="3545" t="s">
        <v>3084</v>
      </c>
      <c r="D25" s="3545"/>
      <c r="E25" s="3545">
        <f>ROUND([2]土地案例!N10,0)</f>
        <v>2307</v>
      </c>
      <c r="F25" s="3545"/>
      <c r="G25" s="3545">
        <v>4977</v>
      </c>
      <c r="H25" s="3545"/>
      <c r="I25" s="3545">
        <v>287</v>
      </c>
      <c r="J25" s="3545"/>
      <c r="K25" s="3545">
        <v>997</v>
      </c>
      <c r="L25" s="3545"/>
      <c r="M25" s="3545">
        <v>6096</v>
      </c>
      <c r="N25" s="3545"/>
    </row>
    <row r="26" spans="1:14">
      <c r="A26" s="3546" t="s">
        <v>3085</v>
      </c>
      <c r="B26" s="3546"/>
      <c r="C26" s="3545" t="s">
        <v>3084</v>
      </c>
      <c r="D26" s="3545"/>
      <c r="E26" s="3547">
        <f>ROUND(E25*POWER(100,COUNT(F6:F24))/PRODUCT(F6:F24),0)</f>
        <v>1860</v>
      </c>
      <c r="F26" s="3547"/>
      <c r="G26" s="3547">
        <f>ROUND(G25*POWER(100,COUNT(H6:H24))/PRODUCT(H6:H24),0)</f>
        <v>4381</v>
      </c>
      <c r="H26" s="3547"/>
      <c r="I26" s="3547">
        <f>ROUND(I25*POWER(100,COUNT(J6:J24))/PRODUCT(J6:J24),0)</f>
        <v>243</v>
      </c>
      <c r="J26" s="3547"/>
      <c r="K26" s="3547">
        <f>ROUND(K25*POWER(100,COUNT(L6:L24))/PRODUCT(L6:L24),0)</f>
        <v>816</v>
      </c>
      <c r="L26" s="3547"/>
      <c r="M26" s="3547">
        <f>ROUND(M25*POWER(100,COUNT(N6:N24))/PRODUCT(N6:N24),0)</f>
        <v>5553</v>
      </c>
      <c r="N26" s="3547"/>
    </row>
    <row r="27" spans="1:14">
      <c r="A27" s="3544" t="str">
        <f>CONCATENATE("估价对象比较价值=(",TEXT(E26,"G/通用格式"),"+",TEXT(G26,"G/通用格式"),"+",TEXT(I26,"G/通用格式"),"+",TEXT(K26,"G/通用格式"),"+",TEXT(M26,"G/通用格式"),")","/",5,"=",ROUND((E26+G26+I26+K26+M26)/5,0))</f>
        <v>估价对象比较价值=(1860+4381+243+816+5553)/5=2571</v>
      </c>
      <c r="B27" s="3544"/>
      <c r="C27" s="3544"/>
      <c r="D27" s="3544"/>
      <c r="E27" s="3544"/>
      <c r="F27" s="3544"/>
      <c r="G27" s="3544"/>
      <c r="H27" s="3544"/>
      <c r="I27" s="3544"/>
      <c r="J27" s="3544"/>
      <c r="K27" s="3205">
        <f>ROUND((E26+G26+I26+K26+M26)/5,0)</f>
        <v>2571</v>
      </c>
    </row>
  </sheetData>
  <mergeCells count="42">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18:A24"/>
    <mergeCell ref="A5:B5"/>
    <mergeCell ref="C5:D5"/>
    <mergeCell ref="E5:F5"/>
    <mergeCell ref="G5:H5"/>
    <mergeCell ref="M5:N5"/>
    <mergeCell ref="A6:B6"/>
    <mergeCell ref="A7:B7"/>
    <mergeCell ref="A8:A13"/>
    <mergeCell ref="A14:A17"/>
    <mergeCell ref="I5:J5"/>
    <mergeCell ref="K5:L5"/>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s>
  <phoneticPr fontId="229"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62"/>
  <sheetViews>
    <sheetView zoomScale="110" zoomScaleNormal="110" workbookViewId="0">
      <pane xSplit="6" ySplit="3" topLeftCell="G4" activePane="bottomRight" state="frozen"/>
      <selection pane="topRight" activeCell="H1" sqref="H1"/>
      <selection pane="bottomLeft" activeCell="A4" sqref="A4"/>
      <selection pane="bottomRight" activeCell="P33" sqref="P33"/>
    </sheetView>
  </sheetViews>
  <sheetFormatPr defaultRowHeight="11.25"/>
  <cols>
    <col min="1" max="1" width="5.5" style="3253" customWidth="1"/>
    <col min="2" max="2" width="7.25" style="3253" hidden="1" customWidth="1"/>
    <col min="3" max="3" width="4.875" style="3253" bestFit="1" customWidth="1"/>
    <col min="4" max="4" width="7.125" style="3206" customWidth="1"/>
    <col min="5" max="5" width="8.25" style="3206" hidden="1" customWidth="1"/>
    <col min="6" max="6" width="18.125" style="3206" customWidth="1"/>
    <col min="7" max="7" width="13.75" style="3206" hidden="1" customWidth="1"/>
    <col min="8" max="8" width="8" style="3206" hidden="1" customWidth="1"/>
    <col min="9" max="9" width="13.375" style="3206" hidden="1" customWidth="1"/>
    <col min="10" max="10" width="36.625" style="3206" hidden="1" customWidth="1"/>
    <col min="11" max="11" width="14.375" style="3206" customWidth="1"/>
    <col min="12" max="13" width="17.75" style="3253" customWidth="1"/>
    <col min="14" max="16384" width="9" style="3206"/>
  </cols>
  <sheetData>
    <row r="1" spans="1:14" ht="39.75" customHeight="1">
      <c r="A1" s="3561" t="s">
        <v>3086</v>
      </c>
      <c r="B1" s="3562"/>
      <c r="C1" s="3562"/>
      <c r="D1" s="3562"/>
      <c r="E1" s="3562"/>
      <c r="F1" s="3562"/>
      <c r="G1" s="3562"/>
      <c r="H1" s="3562"/>
      <c r="I1" s="3562"/>
      <c r="J1" s="3562"/>
      <c r="K1" s="3562"/>
      <c r="L1" s="3562"/>
      <c r="M1" s="3562"/>
    </row>
    <row r="2" spans="1:14" ht="23.25" customHeight="1">
      <c r="A2" s="3557" t="s">
        <v>3087</v>
      </c>
      <c r="B2" s="3557" t="s">
        <v>3088</v>
      </c>
      <c r="C2" s="3557" t="s">
        <v>3089</v>
      </c>
      <c r="D2" s="3563" t="s">
        <v>3090</v>
      </c>
      <c r="E2" s="3563" t="s">
        <v>3091</v>
      </c>
      <c r="F2" s="3557" t="s">
        <v>3092</v>
      </c>
      <c r="G2" s="3557" t="s">
        <v>3093</v>
      </c>
      <c r="H2" s="3557" t="s">
        <v>3094</v>
      </c>
      <c r="I2" s="3557" t="s">
        <v>3095</v>
      </c>
      <c r="J2" s="3557" t="s">
        <v>3096</v>
      </c>
      <c r="K2" s="3559" t="s">
        <v>3097</v>
      </c>
      <c r="L2" s="3560" t="s">
        <v>3098</v>
      </c>
      <c r="M2" s="3560"/>
    </row>
    <row r="3" spans="1:14" s="3208" customFormat="1" ht="23.25" customHeight="1">
      <c r="A3" s="3558"/>
      <c r="B3" s="3558"/>
      <c r="C3" s="3558"/>
      <c r="D3" s="3564"/>
      <c r="E3" s="3564"/>
      <c r="F3" s="3558"/>
      <c r="G3" s="3558"/>
      <c r="H3" s="3558"/>
      <c r="I3" s="3558"/>
      <c r="J3" s="3558"/>
      <c r="K3" s="3559"/>
      <c r="L3" s="3207" t="s">
        <v>3099</v>
      </c>
      <c r="M3" s="3207" t="s">
        <v>3100</v>
      </c>
    </row>
    <row r="4" spans="1:14" s="3215" customFormat="1" ht="95.25" hidden="1" customHeight="1">
      <c r="A4" s="3209">
        <v>2016</v>
      </c>
      <c r="B4" s="3210" t="s">
        <v>3101</v>
      </c>
      <c r="C4" s="3210" t="s">
        <v>3102</v>
      </c>
      <c r="D4" s="3211" t="s">
        <v>3103</v>
      </c>
      <c r="E4" s="3211" t="s">
        <v>3104</v>
      </c>
      <c r="F4" s="3212" t="s">
        <v>3105</v>
      </c>
      <c r="G4" s="3211" t="s">
        <v>3106</v>
      </c>
      <c r="H4" s="3211" t="s">
        <v>3107</v>
      </c>
      <c r="I4" s="3211" t="s">
        <v>3108</v>
      </c>
      <c r="J4" s="3211" t="s">
        <v>3109</v>
      </c>
      <c r="K4" s="3213">
        <v>16.73</v>
      </c>
      <c r="L4" s="3211">
        <v>15586.51</v>
      </c>
      <c r="M4" s="3211">
        <v>24154.36</v>
      </c>
      <c r="N4" s="3214">
        <f t="shared" ref="N4:N9" si="0">(L4+M4)/K4</f>
        <v>2375.4255827854154</v>
      </c>
    </row>
    <row r="5" spans="1:14" s="3215" customFormat="1" ht="95.25" hidden="1" customHeight="1">
      <c r="A5" s="3209">
        <v>2016</v>
      </c>
      <c r="B5" s="3210" t="s">
        <v>3110</v>
      </c>
      <c r="C5" s="3210" t="s">
        <v>3111</v>
      </c>
      <c r="D5" s="3211" t="s">
        <v>3103</v>
      </c>
      <c r="E5" s="3211" t="s">
        <v>3104</v>
      </c>
      <c r="F5" s="3212" t="s">
        <v>3112</v>
      </c>
      <c r="G5" s="3211" t="s">
        <v>3106</v>
      </c>
      <c r="H5" s="3211" t="s">
        <v>3107</v>
      </c>
      <c r="I5" s="3211" t="s">
        <v>3113</v>
      </c>
      <c r="J5" s="3211" t="s">
        <v>3109</v>
      </c>
      <c r="K5" s="3216">
        <v>39.770000000000003</v>
      </c>
      <c r="L5" s="3211">
        <v>17716.41</v>
      </c>
      <c r="M5" s="3211">
        <v>2390.64</v>
      </c>
      <c r="N5" s="3214">
        <f t="shared" si="0"/>
        <v>505.58335428715105</v>
      </c>
    </row>
    <row r="6" spans="1:14" s="3215" customFormat="1" ht="95.25" hidden="1" customHeight="1">
      <c r="A6" s="3209">
        <v>2016</v>
      </c>
      <c r="B6" s="3210" t="s">
        <v>3110</v>
      </c>
      <c r="C6" s="3210" t="s">
        <v>3111</v>
      </c>
      <c r="D6" s="3211" t="s">
        <v>3103</v>
      </c>
      <c r="E6" s="3217" t="s">
        <v>3114</v>
      </c>
      <c r="F6" s="3212" t="s">
        <v>3115</v>
      </c>
      <c r="G6" s="3217" t="s">
        <v>3116</v>
      </c>
      <c r="H6" s="3217" t="s">
        <v>3107</v>
      </c>
      <c r="I6" s="3217" t="s">
        <v>3117</v>
      </c>
      <c r="J6" s="3211" t="s">
        <v>3118</v>
      </c>
      <c r="K6" s="3216">
        <v>663.6</v>
      </c>
      <c r="L6" s="3211">
        <v>191909.86</v>
      </c>
      <c r="M6" s="3211">
        <v>204137.8</v>
      </c>
      <c r="N6" s="3214">
        <f t="shared" si="0"/>
        <v>596.81684749849296</v>
      </c>
    </row>
    <row r="7" spans="1:14" s="3215" customFormat="1" ht="95.25" hidden="1" customHeight="1">
      <c r="A7" s="3209">
        <v>2016</v>
      </c>
      <c r="B7" s="3210" t="s">
        <v>3119</v>
      </c>
      <c r="C7" s="3210" t="s">
        <v>3120</v>
      </c>
      <c r="D7" s="3218" t="s">
        <v>3103</v>
      </c>
      <c r="E7" s="3218" t="s">
        <v>3114</v>
      </c>
      <c r="F7" s="3212" t="s">
        <v>3121</v>
      </c>
      <c r="G7" s="3219" t="s">
        <v>3122</v>
      </c>
      <c r="H7" s="3218" t="s">
        <v>3123</v>
      </c>
      <c r="I7" s="3218" t="s">
        <v>3124</v>
      </c>
      <c r="J7" s="3218" t="s">
        <v>3125</v>
      </c>
      <c r="K7" s="3216">
        <v>129.57</v>
      </c>
      <c r="L7" s="3211">
        <v>122822.85</v>
      </c>
      <c r="M7" s="3211">
        <v>403475</v>
      </c>
      <c r="N7" s="3214">
        <f t="shared" si="0"/>
        <v>4061.8804507216178</v>
      </c>
    </row>
    <row r="8" spans="1:14" s="3214" customFormat="1" ht="95.25" hidden="1" customHeight="1">
      <c r="A8" s="3209">
        <v>2017</v>
      </c>
      <c r="B8" s="3220" t="s">
        <v>3126</v>
      </c>
      <c r="C8" s="3220" t="s">
        <v>3127</v>
      </c>
      <c r="D8" s="3218" t="s">
        <v>3103</v>
      </c>
      <c r="E8" s="3221" t="s">
        <v>3114</v>
      </c>
      <c r="F8" s="3212" t="s">
        <v>3128</v>
      </c>
      <c r="G8" s="3219" t="s">
        <v>3122</v>
      </c>
      <c r="H8" s="3221" t="s">
        <v>3123</v>
      </c>
      <c r="I8" s="3221" t="s">
        <v>3129</v>
      </c>
      <c r="J8" s="3222" t="s">
        <v>3130</v>
      </c>
      <c r="K8" s="3216">
        <v>34.26</v>
      </c>
      <c r="L8" s="3211">
        <v>38931.19</v>
      </c>
      <c r="M8" s="3211">
        <v>64775.53</v>
      </c>
      <c r="N8" s="3214">
        <f t="shared" si="0"/>
        <v>3027.0496205487452</v>
      </c>
    </row>
    <row r="9" spans="1:14" s="3214" customFormat="1" ht="95.25" hidden="1" customHeight="1">
      <c r="A9" s="3209">
        <v>2017</v>
      </c>
      <c r="B9" s="3220" t="s">
        <v>3126</v>
      </c>
      <c r="C9" s="3220" t="s">
        <v>3127</v>
      </c>
      <c r="D9" s="3218" t="s">
        <v>3103</v>
      </c>
      <c r="E9" s="3218" t="s">
        <v>3114</v>
      </c>
      <c r="F9" s="3212" t="s">
        <v>3131</v>
      </c>
      <c r="G9" s="3218" t="s">
        <v>3122</v>
      </c>
      <c r="H9" s="3218" t="s">
        <v>3123</v>
      </c>
      <c r="I9" s="3218" t="s">
        <v>3108</v>
      </c>
      <c r="J9" s="3218" t="s">
        <v>3132</v>
      </c>
      <c r="K9" s="3216">
        <v>51.07</v>
      </c>
      <c r="L9" s="3211">
        <v>33012.44</v>
      </c>
      <c r="M9" s="3211">
        <v>46402.36</v>
      </c>
      <c r="N9" s="3214">
        <f t="shared" si="0"/>
        <v>1555.0186019189348</v>
      </c>
    </row>
    <row r="10" spans="1:14" s="3214" customFormat="1" ht="67.5" customHeight="1">
      <c r="A10" s="3209">
        <v>2017</v>
      </c>
      <c r="B10" s="3220" t="s">
        <v>3126</v>
      </c>
      <c r="C10" s="3220" t="s">
        <v>3127</v>
      </c>
      <c r="D10" s="3219" t="s">
        <v>3133</v>
      </c>
      <c r="E10" s="3219" t="s">
        <v>3114</v>
      </c>
      <c r="F10" s="3212" t="s">
        <v>3134</v>
      </c>
      <c r="G10" s="3219" t="s">
        <v>3135</v>
      </c>
      <c r="H10" s="3219" t="s">
        <v>3107</v>
      </c>
      <c r="I10" s="3223" t="s">
        <v>3136</v>
      </c>
      <c r="J10" s="3223" t="s">
        <v>3137</v>
      </c>
      <c r="K10" s="3211">
        <v>96.99</v>
      </c>
      <c r="L10" s="3211">
        <v>51676.39</v>
      </c>
      <c r="M10" s="3211">
        <v>172115.08</v>
      </c>
      <c r="N10" s="3214">
        <f>(L10+M10)/K10</f>
        <v>2307.3664295288172</v>
      </c>
    </row>
    <row r="11" spans="1:14" s="3214" customFormat="1" ht="95.25" hidden="1" customHeight="1">
      <c r="A11" s="3209">
        <v>2017</v>
      </c>
      <c r="B11" s="3220" t="s">
        <v>3126</v>
      </c>
      <c r="C11" s="3220" t="s">
        <v>3127</v>
      </c>
      <c r="D11" s="3219" t="s">
        <v>3133</v>
      </c>
      <c r="E11" s="3219" t="s">
        <v>3114</v>
      </c>
      <c r="F11" s="3212" t="s">
        <v>3138</v>
      </c>
      <c r="G11" s="3219" t="s">
        <v>3139</v>
      </c>
      <c r="H11" s="3219" t="s">
        <v>3107</v>
      </c>
      <c r="I11" s="3223" t="s">
        <v>3140</v>
      </c>
      <c r="J11" s="3224" t="s">
        <v>3141</v>
      </c>
      <c r="K11" s="3225">
        <v>49.52</v>
      </c>
      <c r="L11" s="3211">
        <v>25737.439999999999</v>
      </c>
      <c r="M11" s="3211">
        <v>180122.23999999999</v>
      </c>
      <c r="N11" s="3214">
        <f t="shared" ref="N11:N32" si="1">(L11+M11)/K11</f>
        <v>4157.1017770597737</v>
      </c>
    </row>
    <row r="12" spans="1:14" s="3214" customFormat="1" ht="45.75" customHeight="1">
      <c r="A12" s="3209">
        <v>2017</v>
      </c>
      <c r="B12" s="3220" t="s">
        <v>3126</v>
      </c>
      <c r="C12" s="3220" t="s">
        <v>3127</v>
      </c>
      <c r="D12" s="3219" t="s">
        <v>3142</v>
      </c>
      <c r="E12" s="3219" t="s">
        <v>3114</v>
      </c>
      <c r="F12" s="3212" t="s">
        <v>3143</v>
      </c>
      <c r="G12" s="3219" t="s">
        <v>3144</v>
      </c>
      <c r="H12" s="3221" t="s">
        <v>3123</v>
      </c>
      <c r="I12" s="3223" t="s">
        <v>3145</v>
      </c>
      <c r="J12" s="3211" t="s">
        <v>3146</v>
      </c>
      <c r="K12" s="3216">
        <v>116.6</v>
      </c>
      <c r="L12" s="3211">
        <v>138739.75</v>
      </c>
      <c r="M12" s="3211">
        <v>441601.69</v>
      </c>
      <c r="N12" s="3226">
        <f t="shared" si="1"/>
        <v>4977.1993138936532</v>
      </c>
    </row>
    <row r="13" spans="1:14" s="3227" customFormat="1" ht="96" hidden="1">
      <c r="A13" s="3209">
        <v>2017</v>
      </c>
      <c r="B13" s="3221" t="s">
        <v>3147</v>
      </c>
      <c r="C13" s="3221" t="s">
        <v>3148</v>
      </c>
      <c r="D13" s="3221" t="s">
        <v>3149</v>
      </c>
      <c r="E13" s="3221" t="s">
        <v>3104</v>
      </c>
      <c r="F13" s="3219" t="s">
        <v>3150</v>
      </c>
      <c r="G13" s="3219" t="s">
        <v>3151</v>
      </c>
      <c r="H13" s="3219" t="s">
        <v>3107</v>
      </c>
      <c r="I13" s="3223" t="s">
        <v>3152</v>
      </c>
      <c r="J13" s="3224" t="s">
        <v>3153</v>
      </c>
      <c r="K13" s="3213">
        <v>33.36</v>
      </c>
      <c r="L13" s="3211">
        <v>16588.11</v>
      </c>
      <c r="M13" s="3211">
        <v>13953.2</v>
      </c>
      <c r="N13" s="3214">
        <f t="shared" si="1"/>
        <v>915.50689448441256</v>
      </c>
    </row>
    <row r="14" spans="1:14" s="3229" customFormat="1" ht="48" customHeight="1">
      <c r="A14" s="3209">
        <v>2017</v>
      </c>
      <c r="B14" s="3228" t="s">
        <v>3154</v>
      </c>
      <c r="C14" s="3228" t="s">
        <v>3155</v>
      </c>
      <c r="D14" s="3219" t="s">
        <v>3133</v>
      </c>
      <c r="E14" s="3219" t="s">
        <v>3114</v>
      </c>
      <c r="F14" s="3221" t="s">
        <v>3156</v>
      </c>
      <c r="G14" s="3219" t="s">
        <v>3157</v>
      </c>
      <c r="H14" s="3219" t="s">
        <v>3107</v>
      </c>
      <c r="I14" s="3223" t="s">
        <v>3158</v>
      </c>
      <c r="J14" s="3223" t="s">
        <v>3159</v>
      </c>
      <c r="K14" s="3211">
        <v>19.994820000000001</v>
      </c>
      <c r="L14" s="3211">
        <v>4110.28</v>
      </c>
      <c r="M14" s="3211">
        <v>1634.87</v>
      </c>
      <c r="N14" s="3214">
        <f t="shared" si="1"/>
        <v>287.33191896701243</v>
      </c>
    </row>
    <row r="15" spans="1:14" s="3227" customFormat="1" ht="95.25" hidden="1" customHeight="1">
      <c r="A15" s="3209">
        <v>2017</v>
      </c>
      <c r="B15" s="3220" t="s">
        <v>3160</v>
      </c>
      <c r="C15" s="3220" t="s">
        <v>3161</v>
      </c>
      <c r="D15" s="3219" t="s">
        <v>3162</v>
      </c>
      <c r="E15" s="3219" t="s">
        <v>3114</v>
      </c>
      <c r="F15" s="3219" t="s">
        <v>3163</v>
      </c>
      <c r="G15" s="3219" t="s">
        <v>3164</v>
      </c>
      <c r="H15" s="3219" t="s">
        <v>3123</v>
      </c>
      <c r="I15" s="3223" t="s">
        <v>3165</v>
      </c>
      <c r="J15" s="3224" t="s">
        <v>3166</v>
      </c>
      <c r="K15" s="3230">
        <v>72.180000000000007</v>
      </c>
      <c r="L15" s="3211">
        <v>20148.59</v>
      </c>
      <c r="M15" s="3211">
        <v>195592.13</v>
      </c>
      <c r="N15" s="3214">
        <f t="shared" si="1"/>
        <v>2988.9265724577444</v>
      </c>
    </row>
    <row r="16" spans="1:14" s="3227" customFormat="1" ht="95.25" hidden="1" customHeight="1">
      <c r="A16" s="3209">
        <v>2017</v>
      </c>
      <c r="B16" s="3220" t="s">
        <v>3160</v>
      </c>
      <c r="C16" s="3220" t="s">
        <v>3161</v>
      </c>
      <c r="D16" s="3219" t="s">
        <v>3162</v>
      </c>
      <c r="E16" s="3219" t="s">
        <v>3114</v>
      </c>
      <c r="F16" s="3219" t="s">
        <v>3167</v>
      </c>
      <c r="G16" s="3219" t="s">
        <v>3168</v>
      </c>
      <c r="H16" s="3219" t="s">
        <v>3123</v>
      </c>
      <c r="I16" s="3223" t="s">
        <v>3169</v>
      </c>
      <c r="J16" s="3231" t="s">
        <v>3170</v>
      </c>
      <c r="K16" s="3216">
        <v>148.19999999999999</v>
      </c>
      <c r="L16" s="3211">
        <v>46469.07</v>
      </c>
      <c r="M16" s="3211">
        <v>462882.97</v>
      </c>
      <c r="N16" s="3214">
        <f t="shared" si="1"/>
        <v>3436.9233468286102</v>
      </c>
    </row>
    <row r="17" spans="1:14" s="3232" customFormat="1" ht="95.25" hidden="1" customHeight="1">
      <c r="A17" s="3209">
        <v>2017</v>
      </c>
      <c r="B17" s="3228" t="s">
        <v>3171</v>
      </c>
      <c r="C17" s="3228" t="s">
        <v>3120</v>
      </c>
      <c r="D17" s="3219" t="s">
        <v>3172</v>
      </c>
      <c r="E17" s="3219" t="s">
        <v>3114</v>
      </c>
      <c r="F17" s="3219" t="s">
        <v>3173</v>
      </c>
      <c r="G17" s="3219" t="s">
        <v>3174</v>
      </c>
      <c r="H17" s="3219" t="s">
        <v>3123</v>
      </c>
      <c r="I17" s="3223" t="s">
        <v>3175</v>
      </c>
      <c r="J17" s="3223" t="s">
        <v>3176</v>
      </c>
      <c r="K17" s="3216">
        <v>89.78</v>
      </c>
      <c r="L17" s="3211">
        <v>52725.51</v>
      </c>
      <c r="M17" s="3211">
        <v>150160.9</v>
      </c>
      <c r="N17" s="3214">
        <f t="shared" si="1"/>
        <v>2259.8174426375585</v>
      </c>
    </row>
    <row r="18" spans="1:14" s="3227" customFormat="1" ht="95.25" hidden="1" customHeight="1">
      <c r="A18" s="3209">
        <v>2017</v>
      </c>
      <c r="B18" s="3228" t="s">
        <v>3171</v>
      </c>
      <c r="C18" s="3228" t="s">
        <v>3120</v>
      </c>
      <c r="D18" s="3219" t="s">
        <v>3172</v>
      </c>
      <c r="E18" s="3219" t="s">
        <v>3114</v>
      </c>
      <c r="F18" s="3219" t="s">
        <v>3177</v>
      </c>
      <c r="G18" s="3219" t="s">
        <v>3178</v>
      </c>
      <c r="H18" s="3219" t="s">
        <v>3123</v>
      </c>
      <c r="I18" s="3223" t="s">
        <v>3179</v>
      </c>
      <c r="J18" s="3233" t="s">
        <v>3180</v>
      </c>
      <c r="K18" s="3216">
        <v>146.24</v>
      </c>
      <c r="L18" s="3211">
        <v>73331.179999999993</v>
      </c>
      <c r="M18" s="3211">
        <v>459399.64</v>
      </c>
      <c r="N18" s="3214">
        <f t="shared" si="1"/>
        <v>3642.8529814004378</v>
      </c>
    </row>
    <row r="19" spans="1:14" s="3227" customFormat="1" ht="51" customHeight="1">
      <c r="A19" s="3209">
        <v>2017</v>
      </c>
      <c r="B19" s="3228" t="s">
        <v>3181</v>
      </c>
      <c r="C19" s="3228" t="s">
        <v>3120</v>
      </c>
      <c r="D19" s="3219" t="s">
        <v>3133</v>
      </c>
      <c r="E19" s="3219" t="s">
        <v>3114</v>
      </c>
      <c r="F19" s="3219" t="s">
        <v>3182</v>
      </c>
      <c r="G19" s="3219" t="s">
        <v>3183</v>
      </c>
      <c r="H19" s="3219" t="s">
        <v>3107</v>
      </c>
      <c r="I19" s="3223" t="s">
        <v>3184</v>
      </c>
      <c r="J19" s="3223" t="s">
        <v>3185</v>
      </c>
      <c r="K19" s="3211">
        <v>132.25</v>
      </c>
      <c r="L19" s="3211">
        <v>24298.5</v>
      </c>
      <c r="M19" s="3211">
        <v>107594.55</v>
      </c>
      <c r="N19" s="3214">
        <f t="shared" si="1"/>
        <v>997.30094517958401</v>
      </c>
    </row>
    <row r="20" spans="1:14" s="3238" customFormat="1" ht="95.25" hidden="1" customHeight="1">
      <c r="A20" s="3209">
        <v>2017</v>
      </c>
      <c r="B20" s="3228" t="s">
        <v>3181</v>
      </c>
      <c r="C20" s="3234" t="s">
        <v>3120</v>
      </c>
      <c r="D20" s="3235" t="s">
        <v>3186</v>
      </c>
      <c r="E20" s="3219" t="s">
        <v>3104</v>
      </c>
      <c r="F20" s="3236" t="s">
        <v>3187</v>
      </c>
      <c r="G20" s="3219" t="s">
        <v>3164</v>
      </c>
      <c r="H20" s="3219" t="s">
        <v>3123</v>
      </c>
      <c r="I20" s="3237" t="s">
        <v>3188</v>
      </c>
      <c r="J20" s="3237" t="s">
        <v>3189</v>
      </c>
      <c r="K20" s="3216">
        <v>217.58</v>
      </c>
      <c r="L20" s="3211">
        <v>106922.18</v>
      </c>
      <c r="M20" s="3211">
        <v>1002860.16</v>
      </c>
      <c r="N20" s="3214">
        <f t="shared" si="1"/>
        <v>5100.5714679658058</v>
      </c>
    </row>
    <row r="21" spans="1:14" s="3215" customFormat="1" ht="95.25" hidden="1" customHeight="1">
      <c r="A21" s="3239">
        <v>2018</v>
      </c>
      <c r="B21" s="3228" t="s">
        <v>3190</v>
      </c>
      <c r="C21" s="3228" t="s">
        <v>3155</v>
      </c>
      <c r="D21" s="3240" t="s">
        <v>3149</v>
      </c>
      <c r="E21" s="3240" t="s">
        <v>3104</v>
      </c>
      <c r="F21" s="3240" t="s">
        <v>3191</v>
      </c>
      <c r="G21" s="3240" t="s">
        <v>3192</v>
      </c>
      <c r="H21" s="3240" t="s">
        <v>3107</v>
      </c>
      <c r="I21" s="3241" t="s">
        <v>3193</v>
      </c>
      <c r="J21" s="3242" t="s">
        <v>3194</v>
      </c>
      <c r="K21" s="3243">
        <v>726.3</v>
      </c>
      <c r="L21" s="3211">
        <v>281939.06</v>
      </c>
      <c r="M21" s="3211">
        <v>704305.38</v>
      </c>
      <c r="N21" s="3214">
        <f t="shared" si="1"/>
        <v>1357.9022993253477</v>
      </c>
    </row>
    <row r="22" spans="1:14" s="3245" customFormat="1" ht="95.25" hidden="1" customHeight="1">
      <c r="A22" s="3240">
        <v>2018</v>
      </c>
      <c r="B22" s="3228" t="s">
        <v>3195</v>
      </c>
      <c r="C22" s="3244" t="s">
        <v>3111</v>
      </c>
      <c r="D22" s="3221" t="s">
        <v>3186</v>
      </c>
      <c r="E22" s="3221" t="s">
        <v>3114</v>
      </c>
      <c r="F22" s="3221" t="s">
        <v>3196</v>
      </c>
      <c r="G22" s="3221" t="s">
        <v>3164</v>
      </c>
      <c r="H22" s="3221" t="s">
        <v>3123</v>
      </c>
      <c r="I22" s="3241" t="s">
        <v>3197</v>
      </c>
      <c r="J22" s="3242" t="s">
        <v>3198</v>
      </c>
      <c r="K22" s="3216">
        <v>193.55</v>
      </c>
      <c r="L22" s="3211">
        <v>230654.05</v>
      </c>
      <c r="M22" s="3211">
        <v>598903.21</v>
      </c>
      <c r="N22" s="3214">
        <f t="shared" si="1"/>
        <v>4286.0101265822786</v>
      </c>
    </row>
    <row r="23" spans="1:14" s="3245" customFormat="1" ht="95.25" hidden="1" customHeight="1">
      <c r="A23" s="3240">
        <v>2018</v>
      </c>
      <c r="B23" s="3228" t="s">
        <v>3195</v>
      </c>
      <c r="C23" s="3244" t="s">
        <v>3111</v>
      </c>
      <c r="D23" s="3221" t="s">
        <v>3186</v>
      </c>
      <c r="E23" s="3221" t="s">
        <v>3114</v>
      </c>
      <c r="F23" s="3221" t="s">
        <v>3199</v>
      </c>
      <c r="G23" s="3221" t="s">
        <v>3200</v>
      </c>
      <c r="H23" s="3221" t="s">
        <v>3123</v>
      </c>
      <c r="I23" s="3241" t="s">
        <v>3201</v>
      </c>
      <c r="J23" s="3242" t="s">
        <v>3202</v>
      </c>
      <c r="K23" s="3246">
        <v>210.43</v>
      </c>
      <c r="L23" s="3211">
        <v>23862.83</v>
      </c>
      <c r="M23" s="3211">
        <v>602931.53</v>
      </c>
      <c r="N23" s="3214">
        <f t="shared" si="1"/>
        <v>2978.6359359406929</v>
      </c>
    </row>
    <row r="24" spans="1:14" s="3245" customFormat="1" ht="95.25" hidden="1" customHeight="1">
      <c r="A24" s="3240">
        <v>2018</v>
      </c>
      <c r="B24" s="3228" t="s">
        <v>3195</v>
      </c>
      <c r="C24" s="3244" t="s">
        <v>3111</v>
      </c>
      <c r="D24" s="3221" t="s">
        <v>3186</v>
      </c>
      <c r="E24" s="3221" t="s">
        <v>3114</v>
      </c>
      <c r="F24" s="3221" t="s">
        <v>3203</v>
      </c>
      <c r="G24" s="3221" t="s">
        <v>3164</v>
      </c>
      <c r="H24" s="3221" t="s">
        <v>3123</v>
      </c>
      <c r="I24" s="3241" t="s">
        <v>3204</v>
      </c>
      <c r="J24" s="3242" t="s">
        <v>3205</v>
      </c>
      <c r="K24" s="3246">
        <v>74.25</v>
      </c>
      <c r="L24" s="3211">
        <v>13520.67</v>
      </c>
      <c r="M24" s="3211">
        <v>291651.92</v>
      </c>
      <c r="N24" s="3214">
        <f t="shared" si="1"/>
        <v>4110.0685521885516</v>
      </c>
    </row>
    <row r="25" spans="1:14" s="3245" customFormat="1" ht="95.25" hidden="1" customHeight="1">
      <c r="A25" s="3240">
        <v>2018</v>
      </c>
      <c r="B25" s="3228" t="s">
        <v>3195</v>
      </c>
      <c r="C25" s="3244" t="s">
        <v>3111</v>
      </c>
      <c r="D25" s="3221" t="s">
        <v>3206</v>
      </c>
      <c r="E25" s="3221" t="s">
        <v>3114</v>
      </c>
      <c r="F25" s="3221" t="s">
        <v>3207</v>
      </c>
      <c r="G25" s="3221" t="s">
        <v>3208</v>
      </c>
      <c r="H25" s="3221" t="s">
        <v>3123</v>
      </c>
      <c r="I25" s="3241" t="s">
        <v>3209</v>
      </c>
      <c r="J25" s="3212" t="s">
        <v>3210</v>
      </c>
      <c r="K25" s="3246">
        <v>29.09</v>
      </c>
      <c r="L25" s="3211">
        <v>12773.36</v>
      </c>
      <c r="M25" s="3211">
        <v>231746.85</v>
      </c>
      <c r="N25" s="3214">
        <f t="shared" si="1"/>
        <v>8405.6448951529746</v>
      </c>
    </row>
    <row r="26" spans="1:14" s="3245" customFormat="1" ht="95.25" hidden="1" customHeight="1">
      <c r="A26" s="3240">
        <v>2018</v>
      </c>
      <c r="B26" s="3228" t="s">
        <v>3211</v>
      </c>
      <c r="C26" s="3247" t="s">
        <v>3212</v>
      </c>
      <c r="D26" s="3246" t="s">
        <v>3186</v>
      </c>
      <c r="E26" s="3246" t="s">
        <v>3114</v>
      </c>
      <c r="F26" s="3246" t="s">
        <v>3213</v>
      </c>
      <c r="G26" s="3246" t="s">
        <v>3164</v>
      </c>
      <c r="H26" s="3246" t="s">
        <v>3123</v>
      </c>
      <c r="I26" s="3246" t="s">
        <v>3214</v>
      </c>
      <c r="J26" s="3246" t="s">
        <v>3215</v>
      </c>
      <c r="K26" s="3246">
        <v>165.53</v>
      </c>
      <c r="L26" s="3211">
        <v>55495.91</v>
      </c>
      <c r="M26" s="3211">
        <v>418159.92</v>
      </c>
      <c r="N26" s="3214">
        <f t="shared" si="1"/>
        <v>2861.4500694738113</v>
      </c>
    </row>
    <row r="27" spans="1:14" s="3245" customFormat="1" ht="72" hidden="1">
      <c r="A27" s="3240">
        <v>2018</v>
      </c>
      <c r="B27" s="3228" t="s">
        <v>3216</v>
      </c>
      <c r="C27" s="3247" t="s">
        <v>3212</v>
      </c>
      <c r="D27" s="3246" t="s">
        <v>3186</v>
      </c>
      <c r="E27" s="3246" t="s">
        <v>3114</v>
      </c>
      <c r="F27" s="3246" t="s">
        <v>3217</v>
      </c>
      <c r="G27" s="3246" t="s">
        <v>3218</v>
      </c>
      <c r="H27" s="3246" t="s">
        <v>3123</v>
      </c>
      <c r="I27" s="3246" t="s">
        <v>3219</v>
      </c>
      <c r="J27" s="3246" t="s">
        <v>3220</v>
      </c>
      <c r="K27" s="3248">
        <v>175.57</v>
      </c>
      <c r="L27" s="3211">
        <v>157294.39999999999</v>
      </c>
      <c r="M27" s="3211">
        <v>394653.43</v>
      </c>
      <c r="N27" s="3214">
        <f t="shared" si="1"/>
        <v>3143.7479637751321</v>
      </c>
    </row>
    <row r="28" spans="1:14" s="3215" customFormat="1" ht="63.75" customHeight="1">
      <c r="A28" s="3240">
        <v>2018</v>
      </c>
      <c r="B28" s="3228" t="s">
        <v>3221</v>
      </c>
      <c r="C28" s="3249" t="s">
        <v>3222</v>
      </c>
      <c r="D28" s="3250" t="s">
        <v>3142</v>
      </c>
      <c r="E28" s="3250" t="s">
        <v>3114</v>
      </c>
      <c r="F28" s="3250" t="s">
        <v>3223</v>
      </c>
      <c r="G28" s="3250" t="s">
        <v>3224</v>
      </c>
      <c r="H28" s="3250" t="s">
        <v>3123</v>
      </c>
      <c r="I28" s="3250" t="s">
        <v>3225</v>
      </c>
      <c r="J28" s="3250" t="s">
        <v>3226</v>
      </c>
      <c r="K28" s="3246">
        <v>49.58</v>
      </c>
      <c r="L28" s="3211">
        <v>61873.95</v>
      </c>
      <c r="M28" s="3211">
        <v>240341.82</v>
      </c>
      <c r="N28" s="3226">
        <f t="shared" si="1"/>
        <v>6095.5177490923761</v>
      </c>
    </row>
    <row r="29" spans="1:14" s="3215" customFormat="1" ht="95.25" hidden="1" customHeight="1">
      <c r="A29" s="3240">
        <v>2018</v>
      </c>
      <c r="B29" s="3228" t="s">
        <v>3221</v>
      </c>
      <c r="C29" s="3249" t="s">
        <v>3222</v>
      </c>
      <c r="D29" s="3250" t="s">
        <v>3227</v>
      </c>
      <c r="E29" s="3250" t="s">
        <v>3114</v>
      </c>
      <c r="F29" s="3250" t="s">
        <v>3228</v>
      </c>
      <c r="G29" s="3250" t="s">
        <v>3229</v>
      </c>
      <c r="H29" s="3250" t="s">
        <v>3123</v>
      </c>
      <c r="I29" s="3250" t="s">
        <v>3230</v>
      </c>
      <c r="J29" s="3250" t="s">
        <v>3231</v>
      </c>
      <c r="K29" s="3251">
        <v>113.32</v>
      </c>
      <c r="L29" s="3211">
        <v>84598.35</v>
      </c>
      <c r="M29" s="3211">
        <v>378467.53</v>
      </c>
      <c r="N29" s="3214">
        <f t="shared" si="1"/>
        <v>4086.3561595481824</v>
      </c>
    </row>
    <row r="30" spans="1:14" s="3215" customFormat="1" ht="95.25" hidden="1" customHeight="1">
      <c r="A30" s="3240">
        <v>2018</v>
      </c>
      <c r="B30" s="3228" t="s">
        <v>3221</v>
      </c>
      <c r="C30" s="3216">
        <v>12</v>
      </c>
      <c r="D30" s="3250" t="s">
        <v>3186</v>
      </c>
      <c r="E30" s="3250" t="s">
        <v>3114</v>
      </c>
      <c r="F30" s="3250" t="s">
        <v>3232</v>
      </c>
      <c r="G30" s="3250" t="s">
        <v>3164</v>
      </c>
      <c r="H30" s="3250" t="s">
        <v>3123</v>
      </c>
      <c r="I30" s="3250" t="s">
        <v>3233</v>
      </c>
      <c r="J30" s="3250" t="s">
        <v>3234</v>
      </c>
      <c r="K30" s="3246">
        <v>239.14</v>
      </c>
      <c r="L30" s="3211">
        <v>61695.44</v>
      </c>
      <c r="M30" s="3211">
        <v>859650.5</v>
      </c>
      <c r="N30" s="3214">
        <f t="shared" si="1"/>
        <v>3852.7470937526136</v>
      </c>
    </row>
    <row r="31" spans="1:14" s="3215" customFormat="1" ht="120" hidden="1" customHeight="1">
      <c r="A31" s="3240">
        <v>2018</v>
      </c>
      <c r="B31" s="3228" t="s">
        <v>3221</v>
      </c>
      <c r="C31" s="3216" t="s">
        <v>3222</v>
      </c>
      <c r="D31" s="3250" t="s">
        <v>3172</v>
      </c>
      <c r="E31" s="3250" t="s">
        <v>3114</v>
      </c>
      <c r="F31" s="3250" t="s">
        <v>3235</v>
      </c>
      <c r="G31" s="3250" t="s">
        <v>3236</v>
      </c>
      <c r="H31" s="3250" t="s">
        <v>3123</v>
      </c>
      <c r="I31" s="3250" t="s">
        <v>3237</v>
      </c>
      <c r="J31" s="3250" t="s">
        <v>3238</v>
      </c>
      <c r="K31" s="3246">
        <v>129.57</v>
      </c>
      <c r="L31" s="3211">
        <v>164075.88</v>
      </c>
      <c r="M31" s="3211">
        <v>363152.48</v>
      </c>
      <c r="N31" s="3214">
        <f t="shared" si="1"/>
        <v>4069.061974222428</v>
      </c>
    </row>
    <row r="32" spans="1:14" s="3215" customFormat="1" ht="72" hidden="1">
      <c r="A32" s="3240">
        <v>2018</v>
      </c>
      <c r="B32" s="3228" t="s">
        <v>3216</v>
      </c>
      <c r="C32" s="3216" t="s">
        <v>3222</v>
      </c>
      <c r="D32" s="3250" t="s">
        <v>3186</v>
      </c>
      <c r="E32" s="3250" t="s">
        <v>3114</v>
      </c>
      <c r="F32" s="3250" t="s">
        <v>3239</v>
      </c>
      <c r="G32" s="3250" t="s">
        <v>3164</v>
      </c>
      <c r="H32" s="3250" t="s">
        <v>3123</v>
      </c>
      <c r="I32" s="3250" t="s">
        <v>3240</v>
      </c>
      <c r="J32" s="3250" t="s">
        <v>3241</v>
      </c>
      <c r="K32" s="3246">
        <v>55.01</v>
      </c>
      <c r="L32" s="3211">
        <v>61454.45</v>
      </c>
      <c r="M32" s="3211">
        <v>558371.41</v>
      </c>
      <c r="N32" s="3214">
        <f t="shared" si="1"/>
        <v>11267.512452281404</v>
      </c>
    </row>
    <row r="33" spans="11:14">
      <c r="K33" s="3252">
        <f>SUBTOTAL(9,K10:K32)</f>
        <v>415.41481999999996</v>
      </c>
      <c r="L33" s="3253">
        <f>SUBTOTAL(9,L10:L32)</f>
        <v>280698.87</v>
      </c>
      <c r="M33" s="3253">
        <f>SUBTOTAL(9,M10:M32)</f>
        <v>963288.01</v>
      </c>
      <c r="N33" s="3206">
        <f>(L33+M33)/K33</f>
        <v>2994.5654803552748</v>
      </c>
    </row>
    <row r="34" spans="11:14">
      <c r="K34" s="3252"/>
      <c r="M34" s="3254"/>
    </row>
    <row r="35" spans="11:14">
      <c r="K35" s="3252"/>
    </row>
    <row r="36" spans="11:14">
      <c r="K36" s="3252"/>
    </row>
    <row r="37" spans="11:14">
      <c r="K37" s="3252"/>
    </row>
    <row r="38" spans="11:14">
      <c r="K38" s="3252"/>
    </row>
    <row r="39" spans="11:14">
      <c r="K39" s="3252"/>
    </row>
    <row r="40" spans="11:14">
      <c r="K40" s="3252"/>
    </row>
    <row r="41" spans="11:14">
      <c r="K41" s="3252"/>
    </row>
    <row r="42" spans="11:14">
      <c r="K42" s="3252"/>
    </row>
    <row r="43" spans="11:14">
      <c r="K43" s="3252"/>
    </row>
    <row r="44" spans="11:14">
      <c r="K44" s="3252"/>
    </row>
    <row r="45" spans="11:14">
      <c r="K45" s="3252"/>
    </row>
    <row r="46" spans="11:14">
      <c r="K46" s="3252"/>
    </row>
    <row r="47" spans="11:14">
      <c r="K47" s="3252"/>
    </row>
    <row r="48" spans="11:14">
      <c r="K48" s="3252"/>
    </row>
    <row r="49" spans="11:11">
      <c r="K49" s="3252"/>
    </row>
    <row r="50" spans="11:11">
      <c r="K50" s="3252"/>
    </row>
    <row r="51" spans="11:11">
      <c r="K51" s="3252"/>
    </row>
    <row r="52" spans="11:11">
      <c r="K52" s="3252"/>
    </row>
    <row r="53" spans="11:11">
      <c r="K53" s="3252"/>
    </row>
    <row r="54" spans="11:11">
      <c r="K54" s="3252"/>
    </row>
    <row r="55" spans="11:11">
      <c r="K55" s="3252"/>
    </row>
    <row r="56" spans="11:11">
      <c r="K56" s="3252"/>
    </row>
    <row r="57" spans="11:11">
      <c r="K57" s="3252"/>
    </row>
    <row r="58" spans="11:11">
      <c r="K58" s="3252"/>
    </row>
    <row r="59" spans="11:11">
      <c r="K59" s="3252"/>
    </row>
    <row r="60" spans="11:11">
      <c r="K60" s="3252"/>
    </row>
    <row r="61" spans="11:11">
      <c r="K61" s="3252"/>
    </row>
    <row r="62" spans="11:11">
      <c r="K62" s="3252"/>
    </row>
  </sheetData>
  <autoFilter ref="A3:K32">
    <filterColumn colId="3">
      <filters>
        <filter val="怀柔"/>
        <filter val="顺义"/>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{C529B1B8-F9B0-4E67-8178-BF88AF0A5854}</x14:id>
        </ext>
      </extLst>
    </cfRule>
  </conditionalFormatting>
  <conditionalFormatting sqref="B27">
    <cfRule type="dataBar" priority="6">
      <dataBar>
        <cfvo type="min"/>
        <cfvo type="max"/>
        <color rgb="FF638EC6"/>
      </dataBar>
      <extLst>
        <ext xmlns:x14="http://schemas.microsoft.com/office/spreadsheetml/2009/9/main" uri="{B025F937-C7B1-47D3-B67F-A62EFF666E3E}">
          <x14:id>{D83E4AAC-5F31-4652-B7AE-13D95BCDDB68}</x14:id>
        </ext>
      </extLst>
    </cfRule>
  </conditionalFormatting>
  <conditionalFormatting sqref="B28">
    <cfRule type="dataBar" priority="5">
      <dataBar>
        <cfvo type="min"/>
        <cfvo type="max"/>
        <color rgb="FF638EC6"/>
      </dataBar>
      <extLst>
        <ext xmlns:x14="http://schemas.microsoft.com/office/spreadsheetml/2009/9/main" uri="{B025F937-C7B1-47D3-B67F-A62EFF666E3E}">
          <x14:id>{1A8B206F-9A4D-4269-8778-96FCE099BC9A}</x14:id>
        </ext>
      </extLst>
    </cfRule>
  </conditionalFormatting>
  <conditionalFormatting sqref="B29">
    <cfRule type="dataBar" priority="4">
      <dataBar>
        <cfvo type="min"/>
        <cfvo type="max"/>
        <color rgb="FF638EC6"/>
      </dataBar>
      <extLst>
        <ext xmlns:x14="http://schemas.microsoft.com/office/spreadsheetml/2009/9/main" uri="{B025F937-C7B1-47D3-B67F-A62EFF666E3E}">
          <x14:id>{3E28B556-CD46-4B87-AF72-A37C47F9F994}</x14:id>
        </ext>
      </extLst>
    </cfRule>
  </conditionalFormatting>
  <conditionalFormatting sqref="B30">
    <cfRule type="dataBar" priority="3">
      <dataBar>
        <cfvo type="min"/>
        <cfvo type="max"/>
        <color rgb="FF638EC6"/>
      </dataBar>
      <extLst>
        <ext xmlns:x14="http://schemas.microsoft.com/office/spreadsheetml/2009/9/main" uri="{B025F937-C7B1-47D3-B67F-A62EFF666E3E}">
          <x14:id>{38DB41C9-AA2F-4FFA-A8F5-1F1F1E939D8B}</x14:id>
        </ext>
      </extLst>
    </cfRule>
  </conditionalFormatting>
  <conditionalFormatting sqref="B31">
    <cfRule type="dataBar" priority="2">
      <dataBar>
        <cfvo type="min"/>
        <cfvo type="max"/>
        <color rgb="FF638EC6"/>
      </dataBar>
      <extLst>
        <ext xmlns:x14="http://schemas.microsoft.com/office/spreadsheetml/2009/9/main" uri="{B025F937-C7B1-47D3-B67F-A62EFF666E3E}">
          <x14:id>{3FA8E697-CD2E-47B0-A8C9-748AE56EF1BB}</x14:id>
        </ext>
      </extLst>
    </cfRule>
  </conditionalFormatting>
  <conditionalFormatting sqref="B32">
    <cfRule type="dataBar" priority="1">
      <dataBar>
        <cfvo type="min"/>
        <cfvo type="max"/>
        <color rgb="FF638EC6"/>
      </dataBar>
      <extLst>
        <ext xmlns:x14="http://schemas.microsoft.com/office/spreadsheetml/2009/9/main" uri="{B025F937-C7B1-47D3-B67F-A62EFF666E3E}">
          <x14:id>{A83CC8E9-D07F-4BB8-BF8E-4517B338F2B2}</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C529B1B8-F9B0-4E67-8178-BF88AF0A5854}">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D83E4AAC-5F31-4652-B7AE-13D95BCDDB68}">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1A8B206F-9A4D-4269-8778-96FCE099BC9A}">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3E28B556-CD46-4B87-AF72-A37C47F9F994}">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38DB41C9-AA2F-4FFA-A8F5-1F1F1E939D8B}">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3FA8E697-CD2E-47B0-A8C9-748AE56EF1B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A83CC8E9-D07F-4BB8-BF8E-4517B338F2B2}">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303666平方米。根据《建设工程规划许可证》[]、《出让合同》[]，估价对象规划建筑面积为182200平方米。</v>
      </c>
    </row>
    <row r="7" spans="1:4" ht="93.75">
      <c r="A7" s="2828" t="s">
        <v>2748</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2026</v>
      </c>
    </row>
    <row r="11" spans="1:4" ht="18.75">
      <c r="A11" s="1765" t="str">
        <f>TEXT(项目基本情况!D3,"yyyy年m月d日;;")&amp;IF(项目基本情况!B3=项目基本情况!D3,"（评估专业人员勘察现场之日）","")</f>
        <v>2019年6月30日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根据《国有土地使用证》[]，估价对象（分摊）出让国有建设用地使用权面积为303666平方米。根据《建设工程规划许可证》[]、《出让合同》[]，估价对象规划建筑面积为182200平方米。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6月30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zoomScale="85" zoomScaleNormal="85" workbookViewId="0">
      <selection activeCell="C36" sqref="C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t="s">
        <v>3007</v>
      </c>
      <c r="C1" s="2089"/>
      <c r="D1" s="2089"/>
      <c r="E1" s="2089"/>
      <c r="F1" s="2089"/>
      <c r="G1" s="2089"/>
      <c r="H1" s="2089"/>
      <c r="I1" s="2089"/>
      <c r="J1" s="2089"/>
      <c r="K1" s="422">
        <f>MATCH(B1,'数据-取费表'!A6:A16,0)+5</f>
        <v>6</v>
      </c>
    </row>
    <row r="2" spans="1:31" s="2026" customFormat="1" ht="18" customHeight="1">
      <c r="A2" s="2086" t="s">
        <v>467</v>
      </c>
      <c r="B2" s="2090">
        <f ca="1">C36</f>
        <v>15365</v>
      </c>
      <c r="C2" s="2089"/>
      <c r="D2" s="2089"/>
      <c r="E2" s="2089"/>
      <c r="F2" s="2089"/>
      <c r="G2" s="2089"/>
      <c r="H2" s="2089"/>
      <c r="I2" s="2089"/>
      <c r="J2" s="2089"/>
      <c r="K2" s="2089"/>
    </row>
    <row r="3" spans="1:31" s="2026" customFormat="1" ht="18" customHeight="1">
      <c r="A3" s="2091" t="s">
        <v>1684</v>
      </c>
      <c r="B3" s="2092">
        <f ca="1">ROUND(B2*10000/IF(B1="",'数据-汇总表'!E3,INDIRECT("'数据-取费表'!K"&amp;$K$1)),0)</f>
        <v>843</v>
      </c>
      <c r="C3" s="2089"/>
      <c r="D3" s="2089"/>
      <c r="E3" s="2089"/>
      <c r="F3" s="2089"/>
      <c r="G3" s="2089"/>
      <c r="H3" s="2089"/>
      <c r="I3" s="2089"/>
      <c r="J3" s="2089"/>
      <c r="K3" s="2089"/>
    </row>
    <row r="4" spans="1:31" s="2026" customFormat="1" ht="18" customHeight="1">
      <c r="A4" s="426" t="s">
        <v>468</v>
      </c>
      <c r="B4" s="427">
        <f ca="1">ROUND(B2*10000/IF(B1="",'数据-汇总表'!D3,INDIRECT("'数据-取费表'!R"&amp;$K$1)),0)</f>
        <v>506</v>
      </c>
      <c r="C4" s="428"/>
      <c r="D4" s="422"/>
      <c r="E4" s="422"/>
      <c r="F4" s="422"/>
      <c r="G4" s="422"/>
      <c r="H4" s="422"/>
      <c r="I4" s="422"/>
      <c r="J4" s="422"/>
      <c r="K4" s="422"/>
    </row>
    <row r="5" spans="1:31" s="2026" customFormat="1" ht="18" customHeight="1" thickBot="1">
      <c r="A5" s="429"/>
      <c r="B5" s="430">
        <f ca="1">ROUND(B2/(IF(B1="",'数据-汇总表'!D3,INDIRECT("'数据-取费表'!R"&amp;$K$1))/666.67),0)</f>
        <v>34</v>
      </c>
      <c r="C5" s="431" t="s">
        <v>469</v>
      </c>
      <c r="D5" s="422"/>
      <c r="E5" s="422"/>
      <c r="F5" s="422"/>
      <c r="G5" s="422"/>
      <c r="H5" s="422"/>
      <c r="I5" s="422"/>
      <c r="J5" s="422"/>
      <c r="K5" s="422"/>
    </row>
    <row r="6" spans="1:31" s="2096" customFormat="1" ht="16.5" customHeight="1">
      <c r="A6" s="2783" t="s">
        <v>1842</v>
      </c>
      <c r="B6" s="2784"/>
      <c r="C6" s="2785">
        <f ca="1">SUM(C10:K10)</f>
        <v>54896</v>
      </c>
      <c r="D6" s="2784"/>
      <c r="E6" s="2784"/>
      <c r="F6" s="2784"/>
      <c r="G6" s="2784"/>
      <c r="H6" s="2784"/>
      <c r="I6" s="2784"/>
      <c r="J6" s="2784"/>
      <c r="K6" s="2786"/>
    </row>
    <row r="7" spans="1:31" s="2098" customFormat="1" ht="15">
      <c r="A7" s="2787" t="s">
        <v>470</v>
      </c>
      <c r="B7" s="2788" t="s">
        <v>471</v>
      </c>
      <c r="C7" s="436" t="s">
        <v>3000</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1845</v>
      </c>
      <c r="B8" s="261" t="s">
        <v>472</v>
      </c>
      <c r="C8" s="2789">
        <f ca="1">不动产收益法!B3</f>
        <v>3013</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 ca="1">不动产收益法!B2</f>
        <v>54896</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27330</v>
      </c>
      <c r="D13" s="2799"/>
      <c r="E13" s="2800"/>
      <c r="F13" s="2801"/>
      <c r="G13" s="2767"/>
      <c r="H13" s="2768"/>
      <c r="I13" s="2768"/>
      <c r="J13" s="2768"/>
      <c r="K13" s="2769"/>
    </row>
    <row r="14" spans="1:31" s="2101" customFormat="1" ht="13.5" customHeight="1">
      <c r="A14" s="2797" t="s">
        <v>1849</v>
      </c>
      <c r="B14" s="2798" t="s">
        <v>480</v>
      </c>
      <c r="C14" s="53">
        <f ca="1">ROUND(C13*F14,0)</f>
        <v>273</v>
      </c>
      <c r="D14" s="2799"/>
      <c r="E14" s="2800"/>
      <c r="F14" s="2802">
        <f>'数据-取费表'!B33</f>
        <v>0.01</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3644</v>
      </c>
      <c r="D16" s="2799">
        <f ca="1">IF(B1="",'数据-汇总表'!E3,INDIRECT("'数据-取费表'!K"&amp;$K$1)+INDIRECT("'数据-取费表'!S"&amp;$K$1))</f>
        <v>182200</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273</v>
      </c>
      <c r="D17" s="475"/>
      <c r="E17" s="2803"/>
      <c r="F17" s="2804">
        <f>'数据-取费表'!B36</f>
        <v>0.01</v>
      </c>
      <c r="G17" s="261" t="s">
        <v>486</v>
      </c>
      <c r="H17" s="2770"/>
      <c r="I17" s="2770"/>
      <c r="J17" s="2770"/>
      <c r="K17" s="279"/>
    </row>
    <row r="18" spans="1:14" s="2101" customFormat="1" ht="13.5" customHeight="1">
      <c r="A18" s="2805" t="s">
        <v>1853</v>
      </c>
      <c r="B18" s="2806" t="s">
        <v>487</v>
      </c>
      <c r="C18" s="2807">
        <f ca="1">SUM(C13:C17)</f>
        <v>31520</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182200</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0</v>
      </c>
      <c r="D20" s="2809"/>
      <c r="E20" s="2763"/>
      <c r="F20" s="2810"/>
      <c r="G20" s="3040" t="s">
        <v>3002</v>
      </c>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160</v>
      </c>
      <c r="F21" s="2802"/>
      <c r="G21" s="26"/>
      <c r="H21" s="51"/>
      <c r="I21" s="51"/>
      <c r="J21" s="51"/>
      <c r="K21" s="2774"/>
    </row>
    <row r="22" spans="1:14" s="2101" customFormat="1" ht="13.5" customHeight="1">
      <c r="A22" s="2797" t="s">
        <v>1857</v>
      </c>
      <c r="B22" s="2798" t="s">
        <v>492</v>
      </c>
      <c r="C22" s="53">
        <f ca="1">ROUND(D22*E22/10000,0)</f>
        <v>3644</v>
      </c>
      <c r="D22" s="2799">
        <f ca="1">IF(B1="",'数据-汇总表'!E6,IF(INDIRECT("'数据-取费表'!c"&amp;$K$1)="住宅",INDIRECT("'数据-取费表'!s"&amp;$K$1),INDIRECT("'数据-取费表'!k"&amp;$K$1)+INDIRECT("'数据-取费表'!s"&amp;$K$1)))</f>
        <v>182200</v>
      </c>
      <c r="E22" s="53">
        <f>'数据-取费表'!B28</f>
        <v>200</v>
      </c>
      <c r="F22" s="2802"/>
      <c r="G22" s="26"/>
      <c r="H22" s="51"/>
      <c r="I22" s="51"/>
      <c r="J22" s="51"/>
      <c r="K22" s="2774"/>
    </row>
    <row r="23" spans="1:14" s="2101" customFormat="1" ht="13.5" customHeight="1">
      <c r="A23" s="2805" t="s">
        <v>1858</v>
      </c>
      <c r="B23" s="2987" t="s">
        <v>2833</v>
      </c>
      <c r="C23" s="2807">
        <f ca="1">ROUND((C18+C19+C20)*F23,0)</f>
        <v>315</v>
      </c>
      <c r="D23" s="468"/>
      <c r="E23" s="468"/>
      <c r="F23" s="2811">
        <f>'数据-取费表'!B37</f>
        <v>0.01</v>
      </c>
      <c r="G23" s="2767" t="s">
        <v>2431</v>
      </c>
      <c r="H23" s="2768"/>
      <c r="I23" s="2768"/>
      <c r="J23" s="2768"/>
      <c r="K23" s="2769"/>
      <c r="L23" s="2103"/>
      <c r="M23" s="2103"/>
      <c r="N23" s="2103"/>
    </row>
    <row r="24" spans="1:14" s="2101" customFormat="1" ht="13.5" customHeight="1">
      <c r="A24" s="2805" t="s">
        <v>1859</v>
      </c>
      <c r="B24" s="2987" t="s">
        <v>2836</v>
      </c>
      <c r="C24" s="2807">
        <f ca="1">ROUND(C6*F24,0)</f>
        <v>549</v>
      </c>
      <c r="D24" s="475"/>
      <c r="E24" s="473"/>
      <c r="F24" s="2811">
        <f>'数据-取费表'!B38</f>
        <v>0.01</v>
      </c>
      <c r="G24" s="2776" t="s">
        <v>499</v>
      </c>
      <c r="H24" s="2770"/>
      <c r="I24" s="2770"/>
      <c r="J24" s="2770"/>
      <c r="K24" s="279"/>
      <c r="L24" s="2103"/>
      <c r="M24" s="2103"/>
      <c r="N24" s="2103"/>
    </row>
    <row r="25" spans="1:14" s="2104" customFormat="1" ht="13.5" customHeight="1">
      <c r="A25" s="2805" t="s">
        <v>1860</v>
      </c>
      <c r="B25" s="2987" t="s">
        <v>2834</v>
      </c>
      <c r="C25" s="467">
        <f>ROUND(F25/(1),4)</f>
        <v>3.0499999999999999E-2</v>
      </c>
      <c r="D25" s="462" t="s">
        <v>2828</v>
      </c>
      <c r="E25" s="469"/>
      <c r="F25" s="2811">
        <v>3.0499999999999999E-2</v>
      </c>
      <c r="G25" s="2775" t="s">
        <v>2289</v>
      </c>
      <c r="H25" s="2768"/>
      <c r="I25" s="2768"/>
      <c r="J25" s="2768"/>
      <c r="K25" s="2769"/>
    </row>
    <row r="26" spans="1:14" s="2103" customFormat="1" ht="13.5" customHeight="1">
      <c r="A26" s="2805" t="s">
        <v>1861</v>
      </c>
      <c r="B26" s="2988" t="s">
        <v>2835</v>
      </c>
      <c r="C26" s="2812">
        <f ca="1">C28</f>
        <v>704</v>
      </c>
      <c r="D26" s="467">
        <f ca="1">C27</f>
        <v>4.48E-2</v>
      </c>
      <c r="E26" s="469" t="s">
        <v>495</v>
      </c>
      <c r="F26" s="471">
        <f ca="1">'数据-取费表'!B40</f>
        <v>4.3499999999999997E-2</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2" t="s">
        <v>1856</v>
      </c>
      <c r="B27" s="2813" t="s">
        <v>496</v>
      </c>
      <c r="C27" s="2814">
        <f ca="1">ROUND(IF('数据-取费表'!B22&lt;=1,(1+C25)*F26*'数据-取费表'!B24,(1+C25)*(POWER((1+F26),'数据-取费表'!B24)-1)),4)</f>
        <v>4.48E-2</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2" t="s">
        <v>1857</v>
      </c>
      <c r="B28" s="2813" t="s">
        <v>2837</v>
      </c>
      <c r="C28" s="2815">
        <f ca="1">ROUND(IF('数据-取费表'!B22&lt;=1,(C18+C19+C20+C23+C24)*F26*'数据-取费表'!B24/2,(C18+C19+C20+C23+C24)*(POWER((1+F26),'数据-取费表'!B24/2)-1)),0)</f>
        <v>704</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1862</v>
      </c>
      <c r="B29" s="2806" t="s">
        <v>497</v>
      </c>
      <c r="C29" s="2807">
        <f ca="1">ROUND(C6*F29/(1+'数据-取费表'!C42),0)</f>
        <v>2876</v>
      </c>
      <c r="D29" s="468"/>
      <c r="E29" s="468"/>
      <c r="F29" s="2989">
        <f>'数据-取费表'!B41</f>
        <v>5.5000000000000007E-2</v>
      </c>
      <c r="G29" s="2776" t="s">
        <v>498</v>
      </c>
      <c r="H29" s="2768"/>
      <c r="I29" s="2768"/>
      <c r="J29" s="2768"/>
      <c r="K29" s="2769"/>
    </row>
    <row r="30" spans="1:14" s="2106" customFormat="1" ht="13.5" customHeight="1">
      <c r="A30" s="1620" t="s">
        <v>1863</v>
      </c>
      <c r="B30" s="2817" t="s">
        <v>500</v>
      </c>
      <c r="C30" s="2812">
        <f ca="1">C31</f>
        <v>35964</v>
      </c>
      <c r="D30" s="477">
        <f ca="1">C32</f>
        <v>7.5300000000000006E-2</v>
      </c>
      <c r="E30" s="469" t="s">
        <v>495</v>
      </c>
      <c r="F30" s="471"/>
      <c r="G30" s="2775" t="s">
        <v>2973</v>
      </c>
      <c r="H30" s="2768"/>
      <c r="I30" s="2768"/>
      <c r="J30" s="2768"/>
      <c r="K30" s="2769"/>
    </row>
    <row r="31" spans="1:14" s="2105" customFormat="1" ht="13.5" customHeight="1">
      <c r="A31" s="802" t="s">
        <v>1856</v>
      </c>
      <c r="B31" s="2813"/>
      <c r="C31" s="450">
        <f ca="1">C18+C19+C20+C23+C24+C26+C29</f>
        <v>35964</v>
      </c>
      <c r="D31" s="472"/>
      <c r="E31" s="473"/>
      <c r="F31" s="474"/>
      <c r="G31" s="261"/>
      <c r="H31" s="2770"/>
      <c r="I31" s="2770"/>
      <c r="J31" s="2770"/>
      <c r="K31" s="279"/>
    </row>
    <row r="32" spans="1:14" s="2105" customFormat="1" ht="13.5" customHeight="1">
      <c r="A32" s="802" t="s">
        <v>1857</v>
      </c>
      <c r="B32" s="2813"/>
      <c r="C32" s="53">
        <f ca="1">ROUND(C25+D26,4)</f>
        <v>7.5300000000000006E-2</v>
      </c>
      <c r="D32" s="472"/>
      <c r="E32" s="473"/>
      <c r="F32" s="474"/>
      <c r="G32" s="261"/>
      <c r="H32" s="2770"/>
      <c r="I32" s="2770"/>
      <c r="J32" s="2770"/>
      <c r="K32" s="279"/>
    </row>
    <row r="33" spans="1:11" s="2107" customFormat="1" ht="13.5" customHeight="1">
      <c r="A33" s="2986" t="s">
        <v>2832</v>
      </c>
      <c r="B33" s="2984" t="s">
        <v>2830</v>
      </c>
      <c r="C33" s="478">
        <f ca="1">C35</f>
        <v>1619</v>
      </c>
      <c r="D33" s="467">
        <f ca="1">C34</f>
        <v>5.1499999999999997E-2</v>
      </c>
      <c r="E33" s="469" t="s">
        <v>495</v>
      </c>
      <c r="F33" s="479">
        <f ca="1">IF(B1="",'数据-取费表'!Q16,INDIRECT("'数据-取费表'!q"&amp;$K$1))</f>
        <v>0.05</v>
      </c>
      <c r="G33" s="2771"/>
      <c r="H33" s="2772"/>
      <c r="I33" s="2772"/>
      <c r="J33" s="2772"/>
      <c r="K33" s="2773"/>
    </row>
    <row r="34" spans="1:11" s="2108" customFormat="1" ht="13.5" customHeight="1">
      <c r="A34" s="375" t="s">
        <v>1856</v>
      </c>
      <c r="B34" s="2818" t="s">
        <v>501</v>
      </c>
      <c r="C34" s="472">
        <f ca="1">ROUND((1+C25)*F33,4)</f>
        <v>5.1499999999999997E-2</v>
      </c>
      <c r="D34" s="472"/>
      <c r="E34" s="473"/>
      <c r="F34" s="480"/>
      <c r="G34" s="261" t="s">
        <v>2290</v>
      </c>
      <c r="H34" s="2770"/>
      <c r="I34" s="2770"/>
      <c r="J34" s="2770"/>
      <c r="K34" s="279"/>
    </row>
    <row r="35" spans="1:11" s="2108" customFormat="1" ht="13.5" customHeight="1" thickBot="1">
      <c r="A35" s="1621" t="s">
        <v>1857</v>
      </c>
      <c r="B35" s="2985" t="s">
        <v>2838</v>
      </c>
      <c r="C35" s="1613">
        <f ca="1">ROUND((C18+C19+C20+C23+C24)*F33,0)</f>
        <v>1619</v>
      </c>
      <c r="D35" s="1614"/>
      <c r="E35" s="2819"/>
      <c r="F35" s="1615"/>
      <c r="G35" s="2777"/>
      <c r="H35" s="2778"/>
      <c r="I35" s="2778"/>
      <c r="J35" s="2778"/>
      <c r="K35" s="2779"/>
    </row>
    <row r="36" spans="1:11" s="2070" customFormat="1" ht="13.5" customHeight="1" thickBot="1">
      <c r="A36" s="284" t="s">
        <v>1844</v>
      </c>
      <c r="B36" s="2781"/>
      <c r="C36" s="2820">
        <f ca="1">ROUND((C6-C30-C33)/(1+D30+D33),0)</f>
        <v>15365</v>
      </c>
      <c r="D36" s="2781"/>
      <c r="E36" s="2781"/>
      <c r="F36" s="2781"/>
      <c r="G36" s="2780" t="s">
        <v>2839</v>
      </c>
      <c r="H36" s="2781"/>
      <c r="I36" s="2781"/>
      <c r="J36" s="2781"/>
      <c r="K36" s="2782"/>
    </row>
    <row r="38" spans="1:11" ht="12.75" customHeight="1"/>
  </sheetData>
  <sheetProtection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5" sqref="D35"/>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1725</v>
      </c>
      <c r="B1" s="738"/>
      <c r="C1" s="772" t="s">
        <v>3007</v>
      </c>
      <c r="D1" s="3077" t="s">
        <v>952</v>
      </c>
      <c r="E1" s="2351" t="s">
        <v>2374</v>
      </c>
      <c r="F1" s="2352">
        <f ca="1">J53</f>
        <v>40</v>
      </c>
      <c r="G1" s="773">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4">
        <f ca="1">C40+J29+L46</f>
        <v>54896</v>
      </c>
      <c r="C2" s="2042"/>
      <c r="D2" s="2040"/>
      <c r="E2" s="2041"/>
      <c r="F2" s="2041"/>
      <c r="G2" s="1576"/>
      <c r="H2" s="2042"/>
      <c r="I2" s="2042"/>
      <c r="J2" s="2042"/>
      <c r="K2" s="2043"/>
      <c r="L2" s="2042"/>
      <c r="M2" s="2042"/>
    </row>
    <row r="3" spans="1:33" ht="18" customHeight="1" thickBot="1">
      <c r="A3" s="832" t="s">
        <v>1727</v>
      </c>
      <c r="B3" s="833">
        <f ca="1">IF(ISERROR(B2*10000/F43),0,ROUND(B2*10000/F43,0))</f>
        <v>3013</v>
      </c>
      <c r="C3" s="2042"/>
      <c r="D3" s="2040"/>
      <c r="E3" s="2041"/>
      <c r="F3" s="2041"/>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2458</v>
      </c>
      <c r="C5" s="55">
        <f ca="1">C6+C10+C12</f>
        <v>2554</v>
      </c>
      <c r="D5" s="2460" t="s">
        <v>2461</v>
      </c>
      <c r="E5" s="2454"/>
      <c r="F5" s="2455"/>
      <c r="G5" s="1578"/>
      <c r="H5" s="780">
        <v>1</v>
      </c>
      <c r="I5" s="781" t="s">
        <v>2458</v>
      </c>
      <c r="J5" s="55">
        <f ca="1">J6+J10+J12</f>
        <v>0</v>
      </c>
      <c r="K5" s="2460" t="s">
        <v>2461</v>
      </c>
      <c r="L5" s="2454"/>
      <c r="M5" s="2455"/>
    </row>
    <row r="6" spans="1:33" ht="18" customHeight="1">
      <c r="A6" s="1815" t="s">
        <v>1824</v>
      </c>
      <c r="B6" s="3567" t="s">
        <v>2463</v>
      </c>
      <c r="C6" s="782">
        <f ca="1">ROUND(F6*F8*F7*(1-F9)/10000,0)</f>
        <v>2544</v>
      </c>
      <c r="D6" s="2461" t="s">
        <v>2462</v>
      </c>
      <c r="E6" s="783" t="s">
        <v>1738</v>
      </c>
      <c r="F6" s="784">
        <f ca="1">INDIRECT("'数据-取费表'!u"&amp;$G$1)</f>
        <v>0.45</v>
      </c>
      <c r="G6" s="1578"/>
      <c r="H6" s="2468" t="s">
        <v>2468</v>
      </c>
      <c r="I6" s="3567" t="s">
        <v>2463</v>
      </c>
      <c r="J6" s="782">
        <f ca="1">ROUND(M6*M8*M7*(1-M9)/10000,0)</f>
        <v>0</v>
      </c>
      <c r="K6" s="341" t="s">
        <v>1737</v>
      </c>
      <c r="L6" s="783" t="s">
        <v>1738</v>
      </c>
      <c r="M6" s="784">
        <f ca="1">INDIRECT("'数据-取费表'!z"&amp;$G$1)</f>
        <v>0</v>
      </c>
    </row>
    <row r="7" spans="1:33" ht="18" customHeight="1">
      <c r="A7" s="2464"/>
      <c r="B7" s="3568"/>
      <c r="C7" s="787"/>
      <c r="D7" s="788"/>
      <c r="E7" s="783" t="s">
        <v>1739</v>
      </c>
      <c r="F7" s="784">
        <f ca="1">IF(INDIRECT("'数据-取费表'!ah"&amp;$G$1)="",INDIRECT("'数据-取费表'!k"&amp;$G$1),INDIRECT("'数据-取费表'!ah"&amp;$G$1))</f>
        <v>182200</v>
      </c>
      <c r="G7" s="1578"/>
      <c r="H7" s="2453"/>
      <c r="I7" s="3568"/>
      <c r="J7" s="787"/>
      <c r="K7" s="788"/>
      <c r="L7" s="783" t="s">
        <v>1739</v>
      </c>
      <c r="M7" s="784">
        <f ca="1">F7</f>
        <v>182200</v>
      </c>
    </row>
    <row r="8" spans="1:33" ht="18" customHeight="1">
      <c r="A8" s="2457"/>
      <c r="B8" s="3569"/>
      <c r="C8" s="787"/>
      <c r="D8" s="788"/>
      <c r="E8" s="783" t="s">
        <v>1740</v>
      </c>
      <c r="F8" s="784">
        <f ca="1">INDIRECT("'数据-取费表'!ai"&amp;$G$1)</f>
        <v>365</v>
      </c>
      <c r="G8" s="1578"/>
      <c r="H8" s="2453"/>
      <c r="I8" s="3569"/>
      <c r="J8" s="787"/>
      <c r="K8" s="788"/>
      <c r="L8" s="783" t="s">
        <v>1740</v>
      </c>
      <c r="M8" s="784">
        <f ca="1">INDIRECT("'数据-取费表'!ai"&amp;$G$1)</f>
        <v>365</v>
      </c>
    </row>
    <row r="9" spans="1:33" ht="18" customHeight="1">
      <c r="A9" s="785"/>
      <c r="B9" s="3570"/>
      <c r="C9" s="787"/>
      <c r="D9" s="788"/>
      <c r="E9" s="783" t="s">
        <v>1741</v>
      </c>
      <c r="F9" s="793">
        <f ca="1">INDIRECT("'数据-取费表'!w"&amp;$G$1)</f>
        <v>0.15</v>
      </c>
      <c r="G9" s="1578"/>
      <c r="H9" s="2469"/>
      <c r="I9" s="3569"/>
      <c r="J9" s="787"/>
      <c r="K9" s="788"/>
      <c r="L9" s="794" t="s">
        <v>1741</v>
      </c>
      <c r="M9" s="795">
        <f ca="1">INDIRECT("'数据-取费表'!ab"&amp;$G$1)</f>
        <v>0</v>
      </c>
    </row>
    <row r="10" spans="1:33" ht="18" customHeight="1">
      <c r="A10" s="1815" t="s">
        <v>2466</v>
      </c>
      <c r="B10" s="2458" t="s">
        <v>2459</v>
      </c>
      <c r="C10" s="798">
        <f ca="1">ROUND(IF(F10="押一",C6/12*F11,IF(F10="押二",C6/12*2*F11,IF(F10="押三",C6/12*3*F11,C11*F11))),0)</f>
        <v>10</v>
      </c>
      <c r="D10" s="2465" t="s">
        <v>2975</v>
      </c>
      <c r="E10" s="2462" t="s">
        <v>2464</v>
      </c>
      <c r="F10" s="2585" t="s">
        <v>3244</v>
      </c>
      <c r="G10" s="1578"/>
      <c r="H10" s="2525" t="s">
        <v>2469</v>
      </c>
      <c r="I10" s="2530" t="s">
        <v>2459</v>
      </c>
      <c r="J10" s="782">
        <f ca="1">ROUND(IF(M10="押一",J6/12*M11,IF(M10="押二",J6/12*2*M11,IF(M10="押三",J6/12*3*M11,J11*M11))),0)</f>
        <v>0</v>
      </c>
      <c r="K10" s="2465" t="s">
        <v>2975</v>
      </c>
      <c r="L10" s="2462" t="s">
        <v>2464</v>
      </c>
      <c r="M10" s="2585"/>
    </row>
    <row r="11" spans="1:33" ht="18" customHeight="1">
      <c r="A11" s="789"/>
      <c r="B11" s="2459" t="s">
        <v>2573</v>
      </c>
      <c r="C11" s="2463"/>
      <c r="D11" s="788"/>
      <c r="E11" s="2462" t="s">
        <v>2465</v>
      </c>
      <c r="F11" s="795">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1">
        <f ca="1">ROUND(C29*F13,0)</f>
        <v>36417</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3" t="s">
        <v>645</v>
      </c>
      <c r="C14" s="803">
        <f ca="1">INDIRECT("'数据-取费表'!m"&amp;$G$1)+INDIRECT("'数据-取费表'!t"&amp;$G$1)</f>
        <v>27330</v>
      </c>
      <c r="D14" s="1964" t="s">
        <v>1745</v>
      </c>
      <c r="E14" s="1965"/>
      <c r="F14" s="804"/>
      <c r="G14" s="1578"/>
      <c r="H14" s="1634" t="s">
        <v>1830</v>
      </c>
      <c r="I14" s="2216" t="s">
        <v>2825</v>
      </c>
      <c r="J14" s="53">
        <f ca="1">C29</f>
        <v>36417</v>
      </c>
      <c r="K14" s="26"/>
      <c r="L14" s="800"/>
      <c r="M14" s="801"/>
    </row>
    <row r="15" spans="1:33" s="2049" customFormat="1" ht="18" customHeight="1" thickBot="1">
      <c r="A15" s="1633" t="s">
        <v>1885</v>
      </c>
      <c r="B15" s="783" t="s">
        <v>647</v>
      </c>
      <c r="C15" s="53">
        <f ca="1">ROUND(C14*F15,0)</f>
        <v>273</v>
      </c>
      <c r="D15" s="805" t="s">
        <v>1746</v>
      </c>
      <c r="E15" s="805" t="s">
        <v>1747</v>
      </c>
      <c r="F15" s="806">
        <f>'数据-取费表'!B33</f>
        <v>0.01</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4" t="s">
        <v>1748</v>
      </c>
      <c r="I16" s="1812" t="s">
        <v>1749</v>
      </c>
      <c r="J16" s="791">
        <f ca="1">ROUND(J17+J22+J23+J24,0)</f>
        <v>3287</v>
      </c>
      <c r="K16" s="1806" t="s">
        <v>1750</v>
      </c>
      <c r="L16" s="2450"/>
      <c r="M16" s="2455"/>
    </row>
    <row r="17" spans="1:33" s="2049" customFormat="1" ht="18" customHeight="1">
      <c r="A17" s="1633" t="s">
        <v>1887</v>
      </c>
      <c r="B17" s="783" t="s">
        <v>653</v>
      </c>
      <c r="C17" s="53">
        <f ca="1">ROUND(F17*(F43+INDIRECT("'数据-取费表'!S"&amp;$G$1))/10000,0)</f>
        <v>3644</v>
      </c>
      <c r="D17" s="783" t="s">
        <v>1751</v>
      </c>
      <c r="E17" s="783" t="s">
        <v>1752</v>
      </c>
      <c r="F17" s="56">
        <f>'数据-取费表'!B35</f>
        <v>200</v>
      </c>
      <c r="G17" s="1579"/>
      <c r="H17" s="1634" t="s">
        <v>1830</v>
      </c>
      <c r="I17" s="783" t="s">
        <v>656</v>
      </c>
      <c r="J17" s="53">
        <f ca="1">ROUND(IF(项目基本情况!B11="自然人",J5*M17,J18+J19+J20),0)</f>
        <v>3105</v>
      </c>
      <c r="K17" s="2449" t="s">
        <v>1753</v>
      </c>
      <c r="L17" s="2448" t="s">
        <v>1754</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3" t="s">
        <v>659</v>
      </c>
      <c r="C18" s="53">
        <f ca="1">ROUND(C14*F18,0)</f>
        <v>273</v>
      </c>
      <c r="D18" s="783" t="s">
        <v>1746</v>
      </c>
      <c r="E18" s="783" t="s">
        <v>1747</v>
      </c>
      <c r="F18" s="808">
        <f>'数据-取费表'!B36</f>
        <v>0.01</v>
      </c>
      <c r="G18" s="1579"/>
      <c r="H18" s="1633" t="s">
        <v>1884</v>
      </c>
      <c r="I18" s="783" t="s">
        <v>1755</v>
      </c>
      <c r="J18" s="53">
        <f ca="1">ROUND(J5*M18/1.05,1)</f>
        <v>0</v>
      </c>
      <c r="K18" s="2448" t="s">
        <v>1756</v>
      </c>
      <c r="L18" s="783" t="s">
        <v>1747</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3" t="s">
        <v>662</v>
      </c>
      <c r="C19" s="53">
        <f ca="1">SUM(C14:C18)</f>
        <v>31520</v>
      </c>
      <c r="D19" s="261" t="s">
        <v>1757</v>
      </c>
      <c r="E19" s="1967"/>
      <c r="F19" s="56"/>
      <c r="G19" s="1578"/>
      <c r="H19" s="1633" t="s">
        <v>1885</v>
      </c>
      <c r="I19" s="783" t="s">
        <v>1758</v>
      </c>
      <c r="J19" s="53">
        <f ca="1">IF(K19="按租金收入计税",ROUND(J5*M19,1),ROUND(C29*F33*0.7,1))</f>
        <v>3059</v>
      </c>
      <c r="K19" s="810" t="s">
        <v>665</v>
      </c>
      <c r="L19" s="783" t="s">
        <v>1747</v>
      </c>
      <c r="M19" s="808">
        <f>IF(K19="按租金收入计税",'数据-取费表'!B51,'数据-取费表'!B50)</f>
        <v>1.2E-2</v>
      </c>
    </row>
    <row r="20" spans="1:33" s="2049" customFormat="1" ht="18" customHeight="1">
      <c r="A20" s="1634" t="s">
        <v>1889</v>
      </c>
      <c r="B20" s="783" t="s">
        <v>666</v>
      </c>
      <c r="C20" s="53">
        <f ca="1">ROUND(C19*F20,0)</f>
        <v>315</v>
      </c>
      <c r="D20" s="811" t="s">
        <v>1759</v>
      </c>
      <c r="E20" s="783" t="s">
        <v>1747</v>
      </c>
      <c r="F20" s="808">
        <f>'数据-取费表'!B37</f>
        <v>0.01</v>
      </c>
      <c r="G20" s="1579"/>
      <c r="H20" s="1636" t="s">
        <v>1880</v>
      </c>
      <c r="I20" s="341" t="s">
        <v>1760</v>
      </c>
      <c r="J20" s="54">
        <f ca="1">ROUND(M20*M21/10000,0)</f>
        <v>46</v>
      </c>
      <c r="K20" s="813" t="s">
        <v>1761</v>
      </c>
      <c r="L20" s="783"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3" t="s">
        <v>1763</v>
      </c>
      <c r="C21" s="53" t="s">
        <v>1764</v>
      </c>
      <c r="D21" s="811" t="s">
        <v>2298</v>
      </c>
      <c r="E21" s="783" t="s">
        <v>1765</v>
      </c>
      <c r="F21" s="808">
        <f>'数据-取费表'!B38</f>
        <v>0.01</v>
      </c>
      <c r="G21" s="1579"/>
      <c r="H21" s="2470"/>
      <c r="I21" s="792"/>
      <c r="J21" s="69"/>
      <c r="K21" s="815"/>
      <c r="L21" s="783" t="s">
        <v>1766</v>
      </c>
      <c r="M21" s="784">
        <f ca="1">INDIRECT("'数据-取费表'!r"&amp;$G$1)</f>
        <v>303666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3" t="s">
        <v>1767</v>
      </c>
      <c r="C22" s="53"/>
      <c r="D22" s="2536" t="str">
        <f>IF(F23&lt;=1,"单利计息。","复利计息。")&amp;"建造成本、管理费用、销售费用产生的利息。"</f>
        <v>单利计息。建造成本、管理费用、销售费用产生的利息。</v>
      </c>
      <c r="E22" s="1967"/>
      <c r="F22" s="56"/>
      <c r="G22" s="1578"/>
      <c r="H22" s="1634" t="s">
        <v>1889</v>
      </c>
      <c r="I22" s="783" t="s">
        <v>1768</v>
      </c>
      <c r="J22" s="53">
        <f ca="1">ROUND(J14*M22,0)</f>
        <v>182</v>
      </c>
      <c r="K22" s="2448" t="s">
        <v>1769</v>
      </c>
      <c r="L22" s="783" t="s">
        <v>1747</v>
      </c>
      <c r="M22" s="816">
        <f ca="1">INDIRECT("'数据-取费表'!Ak"&amp;$G$1)</f>
        <v>5.0000000000000001E-3</v>
      </c>
    </row>
    <row r="23" spans="1:33" s="2049" customFormat="1" ht="18" customHeight="1">
      <c r="A23" s="1633" t="s">
        <v>1831</v>
      </c>
      <c r="B23" s="783" t="s">
        <v>2535</v>
      </c>
      <c r="C23" s="53">
        <f ca="1">ROUND(IF('数据-取费表'!B22&lt;=1,(C19+C20)*F24*F23/2,(C19+C20)*(POWER((1+F24),F23/2)-1)),0)</f>
        <v>692</v>
      </c>
      <c r="D23" s="2535" t="str">
        <f>IF(F23&lt;=1,"(建造成本+管理费用)×利率×(建设周期÷2)","(建造成本+管理费用)×((1+利率)^(建设周期÷2)-1)")</f>
        <v>(建造成本+管理费用)×利率×(建设周期÷2)</v>
      </c>
      <c r="E23" s="783" t="s">
        <v>1770</v>
      </c>
      <c r="F23" s="640">
        <f>'数据-取费表'!B20</f>
        <v>1</v>
      </c>
      <c r="G23" s="1579"/>
      <c r="H23" s="1634" t="s">
        <v>1890</v>
      </c>
      <c r="I23" s="783" t="s">
        <v>679</v>
      </c>
      <c r="J23" s="53">
        <f ca="1">ROUND(J13*M23,0)</f>
        <v>0</v>
      </c>
      <c r="K23" s="2448" t="s">
        <v>1771</v>
      </c>
      <c r="L23" s="783" t="s">
        <v>1747</v>
      </c>
      <c r="M23" s="817">
        <f ca="1">INDIRECT("'数据-取费表'!Al"&amp;$G$1)</f>
        <v>5.0000000000000001E-4</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3" t="s">
        <v>1772</v>
      </c>
      <c r="C24" s="53">
        <f ca="1">ROUND(IF('数据-取费表'!B22&lt;=1,F21*F24*F23/2,F21*(POWER((1+F24),F23/2)-1)),4)</f>
        <v>2.0000000000000001E-4</v>
      </c>
      <c r="D24" s="2535" t="str">
        <f>IF(F23&lt;=1,"销售费用×利率×(建设周期÷2)","销售费用×((1+利率)^(建设周期÷2)-1)")</f>
        <v>销售费用×利率×(建设周期÷2)</v>
      </c>
      <c r="E24" s="783" t="s">
        <v>1773</v>
      </c>
      <c r="F24" s="818">
        <f ca="1">'数据-取费表'!B40</f>
        <v>4.3499999999999997E-2</v>
      </c>
      <c r="G24" s="1579"/>
      <c r="H24" s="2515" t="s">
        <v>1891</v>
      </c>
      <c r="I24" s="2510" t="s">
        <v>666</v>
      </c>
      <c r="J24" s="2508">
        <f ca="1">ROUND(J5*M24,0)</f>
        <v>0</v>
      </c>
      <c r="K24" s="2509" t="s">
        <v>1774</v>
      </c>
      <c r="L24" s="2510" t="s">
        <v>1747</v>
      </c>
      <c r="M24" s="2506">
        <f ca="1">INDIRECT("'数据-取费表'!Am"&amp;$G$1)</f>
        <v>5.0000000000000001E-3</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3" t="s">
        <v>684</v>
      </c>
      <c r="C25" s="53"/>
      <c r="D25" s="261" t="s">
        <v>1775</v>
      </c>
      <c r="E25" s="1967"/>
      <c r="F25" s="56"/>
      <c r="G25" s="1578"/>
      <c r="H25" s="1814" t="s">
        <v>1776</v>
      </c>
      <c r="I25" s="2962" t="s">
        <v>2821</v>
      </c>
      <c r="J25" s="791">
        <f ca="1">J5-J16</f>
        <v>-3287</v>
      </c>
      <c r="K25" s="2512" t="s">
        <v>1777</v>
      </c>
      <c r="L25" s="2513"/>
      <c r="M25" s="2514"/>
    </row>
    <row r="26" spans="1:33" ht="18" customHeight="1">
      <c r="A26" s="1633" t="s">
        <v>1831</v>
      </c>
      <c r="B26" s="783" t="s">
        <v>2438</v>
      </c>
      <c r="C26" s="53">
        <f ca="1">ROUND((C19+C20)*F26,0)</f>
        <v>1592</v>
      </c>
      <c r="D26" s="811" t="s">
        <v>1778</v>
      </c>
      <c r="E26" s="794" t="s">
        <v>1779</v>
      </c>
      <c r="F26" s="793">
        <f ca="1">INDIRECT("'数据-取费表'!q"&amp;$G$1)</f>
        <v>0.05</v>
      </c>
      <c r="G26" s="1578"/>
      <c r="H26" s="2466" t="s">
        <v>1780</v>
      </c>
      <c r="I26" s="2217" t="s">
        <v>2826</v>
      </c>
      <c r="J26" s="782">
        <f ca="1">IF(J5&lt;&gt;0,ROUND(J25*(1-((1+M28)/(1+M26))^M27)/(M26-M28),0),0)</f>
        <v>0</v>
      </c>
      <c r="K26" s="813" t="s">
        <v>1781</v>
      </c>
      <c r="L26" s="783" t="s">
        <v>2419</v>
      </c>
      <c r="M26" s="793">
        <f ca="1">INDIRECT("'数据-取费表'!I"&amp;$G$1)</f>
        <v>0.03</v>
      </c>
    </row>
    <row r="27" spans="1:33" ht="18" customHeight="1">
      <c r="A27" s="1633" t="s">
        <v>1832</v>
      </c>
      <c r="B27" s="783" t="s">
        <v>686</v>
      </c>
      <c r="C27" s="53">
        <f ca="1">ROUND(F21*F26,4)</f>
        <v>5.0000000000000001E-4</v>
      </c>
      <c r="D27" s="811" t="s">
        <v>1782</v>
      </c>
      <c r="E27" s="805"/>
      <c r="F27" s="806"/>
      <c r="G27" s="1578"/>
      <c r="H27" s="2467"/>
      <c r="I27" s="786"/>
      <c r="J27" s="787"/>
      <c r="K27" s="820" t="s">
        <v>1783</v>
      </c>
      <c r="L27" s="783" t="s">
        <v>1784</v>
      </c>
      <c r="M27" s="821">
        <f ca="1">INDIRECT("'数据-取费表'!ag"&amp;$G$1)</f>
        <v>0</v>
      </c>
    </row>
    <row r="28" spans="1:33" s="2049" customFormat="1" ht="18" customHeight="1">
      <c r="A28" s="1635" t="s">
        <v>1841</v>
      </c>
      <c r="B28" s="783" t="s">
        <v>687</v>
      </c>
      <c r="C28" s="53">
        <f>ROUND(F28/(1+'数据-取费表'!C42),4)</f>
        <v>5.2400000000000002E-2</v>
      </c>
      <c r="D28" s="811" t="s">
        <v>2299</v>
      </c>
      <c r="E28" s="783" t="s">
        <v>1785</v>
      </c>
      <c r="F28" s="808">
        <f>'数据-取费表'!B41</f>
        <v>5.5000000000000007E-2</v>
      </c>
      <c r="G28" s="1579"/>
      <c r="H28" s="1814"/>
      <c r="I28" s="790"/>
      <c r="J28" s="791"/>
      <c r="K28" s="815"/>
      <c r="L28" s="783" t="s">
        <v>1786</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36417</v>
      </c>
      <c r="D29" s="2509"/>
      <c r="E29" s="2510"/>
      <c r="F29" s="2511"/>
      <c r="G29" s="1579"/>
      <c r="H29" s="822" t="s">
        <v>1787</v>
      </c>
      <c r="I29" s="823" t="s">
        <v>1788</v>
      </c>
      <c r="J29" s="824">
        <f ca="1">ROUND(J26/(1+F40)^F41,0)</f>
        <v>0</v>
      </c>
      <c r="K29" s="825" t="s">
        <v>1789</v>
      </c>
      <c r="L29" s="826"/>
      <c r="M29" s="827">
        <f ca="1">INDIRECT("'数据-取费表'!k"&amp;$G$1)</f>
        <v>182200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1">
        <f ca="1">ROUND(C31+C36+C37+C38,0)</f>
        <v>699</v>
      </c>
      <c r="D30" s="1806" t="s">
        <v>1791</v>
      </c>
      <c r="E30" s="2450"/>
      <c r="F30" s="2455"/>
      <c r="G30" s="2047"/>
      <c r="H30" s="2050"/>
      <c r="I30" s="2051"/>
      <c r="J30" s="2052"/>
      <c r="K30" s="2053"/>
      <c r="L30" s="2054"/>
      <c r="M30" s="2055"/>
    </row>
    <row r="31" spans="1:33" ht="18" customHeight="1">
      <c r="A31" s="1634" t="s">
        <v>1830</v>
      </c>
      <c r="B31" s="783" t="s">
        <v>656</v>
      </c>
      <c r="C31" s="53">
        <f ca="1">ROUND(IF(项目基本情况!B11="自然人",C5*F31,C32+C33+C34),1)</f>
        <v>485.8</v>
      </c>
      <c r="D31" s="1964" t="s">
        <v>1792</v>
      </c>
      <c r="E31" s="1962" t="s">
        <v>1793</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3" t="s">
        <v>1794</v>
      </c>
      <c r="C32" s="53">
        <f ca="1">ROUND(C5*F32/1.05,1)</f>
        <v>133.80000000000001</v>
      </c>
      <c r="D32" s="1962" t="s">
        <v>1795</v>
      </c>
      <c r="E32" s="783" t="s">
        <v>1796</v>
      </c>
      <c r="F32" s="808">
        <f>'数据-取费表'!B41</f>
        <v>5.5000000000000007E-2</v>
      </c>
      <c r="G32" s="2047"/>
      <c r="H32" s="2056"/>
      <c r="I32" s="2057"/>
      <c r="J32" s="2058"/>
      <c r="K32" s="2059"/>
      <c r="L32" s="2060"/>
      <c r="M32" s="2061"/>
    </row>
    <row r="33" spans="1:18" ht="18" customHeight="1">
      <c r="A33" s="1633" t="s">
        <v>1832</v>
      </c>
      <c r="B33" s="783" t="s">
        <v>1797</v>
      </c>
      <c r="C33" s="53">
        <f ca="1">IF(D33="按租金收入计税",ROUND(C5*F33,1),IF(D33="按房产原值计税",ROUND(C29*F33*0.7,1),INDIRECT("'数据-取费表'!Aj"&amp;$G$1)))</f>
        <v>306.5</v>
      </c>
      <c r="D33" s="810" t="s">
        <v>3246</v>
      </c>
      <c r="E33" s="783" t="s">
        <v>1796</v>
      </c>
      <c r="F33" s="808">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45.5</v>
      </c>
      <c r="D34" s="813" t="s">
        <v>1799</v>
      </c>
      <c r="E34" s="783" t="s">
        <v>1800</v>
      </c>
      <c r="F34" s="640">
        <f>'数据-取费表'!B52</f>
        <v>1.5</v>
      </c>
      <c r="G34" s="2047"/>
      <c r="H34" s="2050"/>
      <c r="I34" s="834" t="s">
        <v>1813</v>
      </c>
      <c r="J34" s="835"/>
      <c r="K34" s="2065"/>
      <c r="L34" s="2064"/>
      <c r="M34" s="2064"/>
    </row>
    <row r="35" spans="1:18" ht="18" customHeight="1">
      <c r="A35" s="814"/>
      <c r="B35" s="792"/>
      <c r="C35" s="69"/>
      <c r="D35" s="815"/>
      <c r="E35" s="783" t="s">
        <v>1801</v>
      </c>
      <c r="F35" s="784">
        <f ca="1">INDIRECT("'数据-取费表'!r"&amp;$G$1)</f>
        <v>303666</v>
      </c>
      <c r="G35" s="2047"/>
      <c r="H35" s="2050"/>
      <c r="I35" s="836" t="s">
        <v>1814</v>
      </c>
      <c r="J35" s="837">
        <f ca="1">ROUND(C13*J36,0)</f>
        <v>1639</v>
      </c>
      <c r="K35" s="2063"/>
      <c r="L35" s="2062"/>
      <c r="M35" s="2062"/>
    </row>
    <row r="36" spans="1:18" ht="18" customHeight="1">
      <c r="A36" s="1634" t="s">
        <v>1889</v>
      </c>
      <c r="B36" s="783" t="s">
        <v>1802</v>
      </c>
      <c r="C36" s="53">
        <f ca="1">ROUND(C29*F36,1)</f>
        <v>182.1</v>
      </c>
      <c r="D36" s="1962" t="s">
        <v>1803</v>
      </c>
      <c r="E36" s="783" t="s">
        <v>1796</v>
      </c>
      <c r="F36" s="816">
        <f ca="1">INDIRECT("'数据-取费表'!Ak"&amp;$G$1)</f>
        <v>5.0000000000000001E-3</v>
      </c>
      <c r="G36" s="2047"/>
      <c r="H36" s="2062"/>
      <c r="I36" s="838" t="s">
        <v>1815</v>
      </c>
      <c r="J36" s="839">
        <f ca="1">INDIRECT("'数据-取费表'!j"&amp;$G$1)</f>
        <v>4.4999999999999998E-2</v>
      </c>
      <c r="K36" s="2067"/>
      <c r="L36" s="2062"/>
      <c r="M36" s="2062"/>
    </row>
    <row r="37" spans="1:18" ht="18" customHeight="1">
      <c r="A37" s="1634" t="s">
        <v>1890</v>
      </c>
      <c r="B37" s="783" t="s">
        <v>679</v>
      </c>
      <c r="C37" s="53">
        <f ca="1">ROUND(C13*F37,1)</f>
        <v>18.2</v>
      </c>
      <c r="D37" s="1962" t="s">
        <v>1804</v>
      </c>
      <c r="E37" s="783" t="s">
        <v>1796</v>
      </c>
      <c r="F37" s="817">
        <f ca="1">INDIRECT("'数据-取费表'!Al"&amp;$G$1)</f>
        <v>5.0000000000000001E-4</v>
      </c>
      <c r="G37" s="2047"/>
      <c r="H37" s="2062"/>
      <c r="I37" s="840" t="s">
        <v>1816</v>
      </c>
      <c r="J37" s="841"/>
      <c r="K37" s="2067"/>
      <c r="L37" s="2062"/>
      <c r="M37" s="2062"/>
    </row>
    <row r="38" spans="1:18" ht="18" customHeight="1" thickBot="1">
      <c r="A38" s="2515" t="s">
        <v>1891</v>
      </c>
      <c r="B38" s="2510" t="s">
        <v>666</v>
      </c>
      <c r="C38" s="2508">
        <f ca="1">ROUND(C5*F38,1)</f>
        <v>12.8</v>
      </c>
      <c r="D38" s="2509" t="s">
        <v>1805</v>
      </c>
      <c r="E38" s="2510" t="s">
        <v>1796</v>
      </c>
      <c r="F38" s="2506">
        <f ca="1">INDIRECT("'数据-取费表'!Am"&amp;$G$1)</f>
        <v>5.0000000000000001E-3</v>
      </c>
      <c r="G38" s="2047"/>
      <c r="H38" s="2062"/>
      <c r="I38" s="842" t="s">
        <v>1817</v>
      </c>
      <c r="J38" s="843"/>
      <c r="K38" s="2068"/>
      <c r="L38" s="2062"/>
      <c r="M38" s="2062"/>
    </row>
    <row r="39" spans="1:18" ht="24.6" customHeight="1" thickTop="1">
      <c r="A39" s="1814" t="s">
        <v>1894</v>
      </c>
      <c r="B39" s="2962" t="s">
        <v>2821</v>
      </c>
      <c r="C39" s="791">
        <f ca="1">C5-C30</f>
        <v>1855</v>
      </c>
      <c r="D39" s="2512" t="s">
        <v>1806</v>
      </c>
      <c r="E39" s="2513"/>
      <c r="F39" s="2514"/>
      <c r="G39" s="2047"/>
      <c r="H39" s="2062"/>
      <c r="I39" s="836" t="s">
        <v>1818</v>
      </c>
      <c r="J39" s="844">
        <f ca="1">ROUND(J35/C39,3)</f>
        <v>0.88400000000000001</v>
      </c>
      <c r="K39" s="2068"/>
      <c r="L39" s="2062"/>
      <c r="M39" s="2062"/>
    </row>
    <row r="40" spans="1:18" ht="18" customHeight="1">
      <c r="A40" s="780" t="s">
        <v>1895</v>
      </c>
      <c r="B40" s="2217" t="s">
        <v>2301</v>
      </c>
      <c r="C40" s="782">
        <f ca="1">ROUND(C39*(1-((1+F42)/(1+F40))^F41)/(F40-F42),0)</f>
        <v>54896</v>
      </c>
      <c r="D40" s="813" t="s">
        <v>1807</v>
      </c>
      <c r="E40" s="783" t="s">
        <v>2419</v>
      </c>
      <c r="F40" s="793">
        <f ca="1">INDIRECT("'数据-取费表'!I"&amp;$G$1)</f>
        <v>0.03</v>
      </c>
      <c r="G40" s="2047"/>
      <c r="H40" s="2047"/>
      <c r="I40" s="836" t="s">
        <v>1819</v>
      </c>
      <c r="J40" s="844">
        <f ca="1">1-J39</f>
        <v>0.11599999999999999</v>
      </c>
      <c r="K40" s="2068"/>
      <c r="L40" s="2047"/>
      <c r="M40" s="2047"/>
    </row>
    <row r="41" spans="1:18" ht="18" customHeight="1">
      <c r="A41" s="785"/>
      <c r="B41" s="786"/>
      <c r="C41" s="787"/>
      <c r="D41" s="820" t="s">
        <v>1808</v>
      </c>
      <c r="E41" s="783" t="s">
        <v>2965</v>
      </c>
      <c r="F41" s="821">
        <f ca="1">IF(INDIRECT("'数据-取费表'!af"&amp;$G$1)=0,INDIRECT("'数据-取费表'!ae"&amp;$G$1),INDIRECT("'数据-取费表'!af"&amp;$G$1))</f>
        <v>40</v>
      </c>
      <c r="G41" s="2047"/>
      <c r="H41" s="1973"/>
      <c r="I41" s="842" t="s">
        <v>1820</v>
      </c>
      <c r="J41" s="845"/>
      <c r="K41" s="2067"/>
      <c r="L41" s="1973"/>
      <c r="M41" s="1973"/>
    </row>
    <row r="42" spans="1:18" ht="18" customHeight="1">
      <c r="A42" s="789"/>
      <c r="B42" s="790"/>
      <c r="C42" s="791"/>
      <c r="D42" s="815"/>
      <c r="E42" s="783" t="s">
        <v>1809</v>
      </c>
      <c r="F42" s="793">
        <f ca="1">INDIRECT("'数据-取费表'!v"&amp;$G$1)</f>
        <v>1.4999999999999999E-2</v>
      </c>
      <c r="G42" s="2047"/>
      <c r="H42" s="1973"/>
      <c r="I42" s="846" t="s">
        <v>1821</v>
      </c>
      <c r="J42" s="844">
        <f ca="1">ROUND(C13/C40,3)</f>
        <v>0.66300000000000003</v>
      </c>
      <c r="K42" s="2067"/>
      <c r="L42" s="1973"/>
      <c r="M42" s="1973"/>
    </row>
    <row r="43" spans="1:18" ht="18" customHeight="1" thickBot="1">
      <c r="A43" s="822" t="s">
        <v>1787</v>
      </c>
      <c r="B43" s="823" t="s">
        <v>1810</v>
      </c>
      <c r="C43" s="824">
        <f ca="1">ROUND(C40*10000/F43,0)</f>
        <v>3013</v>
      </c>
      <c r="D43" s="825" t="s">
        <v>1811</v>
      </c>
      <c r="E43" s="826" t="s">
        <v>1812</v>
      </c>
      <c r="F43" s="827">
        <f ca="1">INDIRECT("'数据-取费表'!k"&amp;$G$1)</f>
        <v>182200</v>
      </c>
      <c r="G43" s="2047"/>
      <c r="H43" s="1973"/>
      <c r="I43" s="846" t="s">
        <v>1822</v>
      </c>
      <c r="J43" s="847">
        <f ca="1">1-J42</f>
        <v>0.33699999999999997</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-60582</v>
      </c>
      <c r="D46" s="2070"/>
      <c r="E46" s="2070"/>
      <c r="F46" s="2070"/>
      <c r="I46" s="2342" t="s">
        <v>2343</v>
      </c>
      <c r="J46" s="2343"/>
      <c r="K46" s="2344"/>
      <c r="L46" s="3109" t="str">
        <f ca="1">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9" t="s">
        <v>2344</v>
      </c>
      <c r="J47" s="2345" t="s">
        <v>3245</v>
      </c>
      <c r="K47" s="3106" t="s">
        <v>2349</v>
      </c>
      <c r="L47" s="3110">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8" t="s">
        <v>2345</v>
      </c>
      <c r="J48" s="2346" t="s">
        <v>2368</v>
      </c>
      <c r="K48" s="3107" t="s">
        <v>2351</v>
      </c>
      <c r="L48" s="1893">
        <f ca="1">INDIRECT("'数据-取费表'!f"&amp;$G$1)</f>
        <v>40</v>
      </c>
      <c r="O48" s="2362" t="s">
        <v>2379</v>
      </c>
      <c r="P48" s="2363" t="s">
        <v>2405</v>
      </c>
      <c r="Q48" s="2364">
        <f ca="1">C40+J29</f>
        <v>54896</v>
      </c>
      <c r="R48" s="2363" t="s">
        <v>2380</v>
      </c>
    </row>
    <row r="49" spans="1:18" s="2044" customFormat="1" ht="18" customHeight="1" thickBot="1">
      <c r="A49" s="785"/>
      <c r="B49" s="786"/>
      <c r="C49" s="787"/>
      <c r="D49" s="788"/>
      <c r="E49" s="783" t="s">
        <v>1739</v>
      </c>
      <c r="F49" s="784">
        <f ca="1">F7</f>
        <v>182200</v>
      </c>
      <c r="G49" s="2075"/>
      <c r="H49" s="2078"/>
      <c r="I49" s="3078" t="s">
        <v>2346</v>
      </c>
      <c r="J49" s="2347">
        <v>2019</v>
      </c>
      <c r="K49" s="3108" t="s">
        <v>2352</v>
      </c>
      <c r="L49" s="2348"/>
      <c r="O49" s="2362" t="s">
        <v>2381</v>
      </c>
      <c r="P49" s="2363" t="s">
        <v>2406</v>
      </c>
      <c r="Q49" s="2364" t="str">
        <f ca="1">J60</f>
        <v>0</v>
      </c>
      <c r="R49" s="2363" t="s">
        <v>2382</v>
      </c>
    </row>
    <row r="50" spans="1:18" s="2044" customFormat="1" ht="18" customHeight="1" thickBot="1">
      <c r="A50" s="785"/>
      <c r="B50" s="786"/>
      <c r="C50" s="787"/>
      <c r="D50" s="788"/>
      <c r="E50" s="783" t="s">
        <v>1740</v>
      </c>
      <c r="F50" s="784">
        <f ca="1">F8</f>
        <v>365</v>
      </c>
      <c r="G50" s="2080"/>
      <c r="H50" s="2078"/>
      <c r="I50" s="3078" t="s">
        <v>2347</v>
      </c>
      <c r="J50" s="3103">
        <f>SUMPRODUCT((I63:I65=J47)*(J62:L62=J48)*(J63:L65))</f>
        <v>50</v>
      </c>
      <c r="K50" s="3108" t="s">
        <v>2353</v>
      </c>
      <c r="L50" s="2348"/>
      <c r="O50" s="2365" t="s">
        <v>2383</v>
      </c>
      <c r="P50" s="2363" t="s">
        <v>2407</v>
      </c>
      <c r="Q50" s="2364">
        <f ca="1">C29</f>
        <v>36417</v>
      </c>
      <c r="R50" s="2363" t="s">
        <v>2380</v>
      </c>
    </row>
    <row r="51" spans="1:18" s="2044" customFormat="1" ht="18" customHeight="1" thickBot="1">
      <c r="A51" s="785"/>
      <c r="B51" s="786"/>
      <c r="C51" s="787"/>
      <c r="D51" s="788"/>
      <c r="E51" s="783" t="s">
        <v>640</v>
      </c>
      <c r="F51" s="2335"/>
      <c r="H51" s="2078"/>
      <c r="I51" s="3100" t="s">
        <v>2348</v>
      </c>
      <c r="J51" s="3104">
        <f>IF(J49="",J50,J49+J50-YEAR('数据-取费表'!B2))</f>
        <v>50</v>
      </c>
      <c r="K51" s="3078" t="s">
        <v>2354</v>
      </c>
      <c r="L51" s="3111">
        <f ca="1">ROUND(-PV(INDIRECT("'数据-取费表'!h"&amp;$G$1),L48,(C39-C13*J36),0),0)</f>
        <v>4618</v>
      </c>
      <c r="O51" s="2365" t="s">
        <v>2384</v>
      </c>
      <c r="P51" s="2363" t="s">
        <v>2385</v>
      </c>
      <c r="Q51" s="2366" t="e">
        <f ca="1">J58</f>
        <v>#VALUE!</v>
      </c>
      <c r="R51" s="2367"/>
    </row>
    <row r="52" spans="1:18" s="2044" customFormat="1" ht="18" customHeight="1" thickBot="1">
      <c r="A52" s="780" t="s">
        <v>2536</v>
      </c>
      <c r="B52" s="2458" t="s">
        <v>2459</v>
      </c>
      <c r="C52" s="798">
        <f ca="1">ROUND(IF(F52="押一",C48/12*F11,IF(F52="押二",C48/12*2*F11,IF(F52="押三",C48/12*3*F11,C53*F11))),0)</f>
        <v>0</v>
      </c>
      <c r="D52" s="2465" t="s">
        <v>2976</v>
      </c>
      <c r="E52" s="2462" t="s">
        <v>2464</v>
      </c>
      <c r="F52" s="2585"/>
      <c r="I52" s="3101" t="s">
        <v>2421</v>
      </c>
      <c r="J52" s="2349">
        <v>4.4999999999999998E-2</v>
      </c>
      <c r="K52" s="3101" t="s">
        <v>2420</v>
      </c>
      <c r="L52" s="2349"/>
      <c r="O52" s="2365" t="s">
        <v>2386</v>
      </c>
      <c r="P52" s="2363" t="s">
        <v>2387</v>
      </c>
      <c r="Q52" s="2366">
        <f>J52</f>
        <v>4.4999999999999998E-2</v>
      </c>
      <c r="R52" s="2367"/>
    </row>
    <row r="53" spans="1:18" s="2044" customFormat="1" ht="39.75" customHeight="1" thickBot="1">
      <c r="A53" s="785"/>
      <c r="B53" s="2459" t="s">
        <v>2573</v>
      </c>
      <c r="C53" s="2463"/>
      <c r="D53" s="2465"/>
      <c r="E53" s="2462"/>
      <c r="F53" s="799"/>
      <c r="I53" s="3102" t="s">
        <v>2979</v>
      </c>
      <c r="J53" s="3105">
        <f ca="1">IF(M47="住宅",IF(D1="——",MAX(J51,L48),MAX(J51,L48-'数据-取费表'!B20)),IF(D1="——",MIN(J51,L48),MIN(J51,L48-'数据-取费表'!B20)))</f>
        <v>40</v>
      </c>
      <c r="K53" s="3565" t="s">
        <v>2967</v>
      </c>
      <c r="L53" s="3566"/>
      <c r="O53" s="2365" t="s">
        <v>2388</v>
      </c>
      <c r="P53" s="2363" t="s">
        <v>2389</v>
      </c>
      <c r="Q53" s="2364">
        <f ca="1">J53</f>
        <v>40</v>
      </c>
      <c r="R53" s="2363" t="s">
        <v>2390</v>
      </c>
    </row>
    <row r="54" spans="1:18" s="2044" customFormat="1" ht="18" customHeight="1" thickBot="1">
      <c r="A54" s="2501" t="s">
        <v>2467</v>
      </c>
      <c r="B54" s="2502" t="s">
        <v>2460</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54896</v>
      </c>
      <c r="R54" s="2367" t="s">
        <v>2392</v>
      </c>
    </row>
    <row r="55" spans="1:18" s="2044" customFormat="1" ht="18" customHeight="1" thickTop="1" thickBot="1">
      <c r="A55" s="796">
        <v>2</v>
      </c>
      <c r="B55" s="797" t="s">
        <v>644</v>
      </c>
      <c r="C55" s="798">
        <f ca="1">C13</f>
        <v>36417</v>
      </c>
      <c r="D55" s="794"/>
      <c r="E55" s="794"/>
      <c r="F55" s="799"/>
      <c r="I55" s="3114" t="s">
        <v>2355</v>
      </c>
      <c r="J55" s="3053" t="e">
        <f ca="1">ROUND(IF(J47="钢混",J57/J50,1-(1-2%)*(J50-J57)/J50),3)</f>
        <v>#VALUE!</v>
      </c>
      <c r="K55" s="3115" t="s">
        <v>2356</v>
      </c>
      <c r="L55" s="2350"/>
      <c r="O55" s="2368" t="s">
        <v>2411</v>
      </c>
      <c r="P55" s="1578"/>
      <c r="Q55" s="1589"/>
      <c r="R55" s="1578"/>
    </row>
    <row r="56" spans="1:18" s="2044" customFormat="1" ht="42.75" customHeight="1" thickBot="1">
      <c r="A56" s="1635"/>
      <c r="B56" s="2216" t="s">
        <v>2302</v>
      </c>
      <c r="C56" s="53">
        <f ca="1">C29</f>
        <v>36417</v>
      </c>
      <c r="D56" s="2603"/>
      <c r="E56" s="783"/>
      <c r="F56" s="808"/>
      <c r="I56" s="3116" t="s">
        <v>2357</v>
      </c>
      <c r="J56" s="3126" t="s">
        <v>1678</v>
      </c>
      <c r="K56" s="3078" t="s">
        <v>2362</v>
      </c>
      <c r="L56" s="1893" t="str">
        <f ca="1">IF(L48&lt;J51,"——",L48-J51)</f>
        <v>——</v>
      </c>
      <c r="O56" s="2359" t="s">
        <v>2375</v>
      </c>
      <c r="P56" s="2360" t="s">
        <v>2376</v>
      </c>
      <c r="Q56" s="2361" t="s">
        <v>2377</v>
      </c>
      <c r="R56" s="2360" t="s">
        <v>2378</v>
      </c>
    </row>
    <row r="57" spans="1:18" s="2044" customFormat="1" ht="28.5" customHeight="1" thickBot="1">
      <c r="A57" s="796" t="s">
        <v>1748</v>
      </c>
      <c r="B57" s="797" t="s">
        <v>651</v>
      </c>
      <c r="C57" s="798">
        <f ca="1">ROUND(C58+C63+C64+C65,0)</f>
        <v>246</v>
      </c>
      <c r="D57" s="26" t="s">
        <v>1750</v>
      </c>
      <c r="E57" s="2604"/>
      <c r="F57" s="56"/>
      <c r="I57" s="3117" t="s">
        <v>2358</v>
      </c>
      <c r="J57" s="3118" t="str">
        <f ca="1">IF(OR(M47="住宅",J51&lt;L48,J56="是"),"——",J51-L48)</f>
        <v>——</v>
      </c>
      <c r="K57" s="3078" t="s">
        <v>2363</v>
      </c>
      <c r="L57" s="1893" t="str">
        <f ca="1">IF(L48&lt;J51,"——",IF(L55="比较法",L49,IF(L55="基准地价",L50,L51)))</f>
        <v>——</v>
      </c>
      <c r="O57" s="2362" t="s">
        <v>2379</v>
      </c>
      <c r="P57" s="2363" t="s">
        <v>2409</v>
      </c>
      <c r="Q57" s="2364">
        <f ca="1">C40+J29</f>
        <v>54896</v>
      </c>
      <c r="R57" s="2363" t="s">
        <v>2380</v>
      </c>
    </row>
    <row r="58" spans="1:18" s="2044" customFormat="1" ht="28.5" customHeight="1" thickBot="1">
      <c r="A58" s="1634" t="s">
        <v>1824</v>
      </c>
      <c r="B58" s="783" t="s">
        <v>656</v>
      </c>
      <c r="C58" s="53">
        <f ca="1">ROUND(IF(项目基本情况!B11="自然人",C47*F58,C59+C60+C61),1)</f>
        <v>45.5</v>
      </c>
      <c r="D58" s="2602" t="s">
        <v>657</v>
      </c>
      <c r="E58" s="2603" t="s">
        <v>690</v>
      </c>
      <c r="F58" s="809" t="str">
        <f ca="1">IF(项目基本情况!B11="企业","",IF(INDIRECT("'数据-取费表'!c"&amp;$G$1)="住宅",5%,IF(F48*F49*F50/12/(1+'数据-取费表'!C42)&gt;20000,12%,7%)))</f>
        <v/>
      </c>
      <c r="I58" s="3117" t="s">
        <v>2359</v>
      </c>
      <c r="J58" s="3054" t="e">
        <f ca="1">IF(J55&lt;0.4,0.4,J55)</f>
        <v>#VALUE!</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3" t="s">
        <v>660</v>
      </c>
      <c r="C59" s="53">
        <f ca="1">ROUND(C47*F59/1.05,1)</f>
        <v>0</v>
      </c>
      <c r="D59" s="2603" t="s">
        <v>1756</v>
      </c>
      <c r="E59" s="783" t="s">
        <v>1747</v>
      </c>
      <c r="F59" s="808">
        <f t="shared" ref="F59:F65" si="0">F32</f>
        <v>5.5000000000000007E-2</v>
      </c>
      <c r="I59" s="3117" t="s">
        <v>2360</v>
      </c>
      <c r="J59" s="3118"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3" t="s">
        <v>1758</v>
      </c>
      <c r="C60" s="53">
        <f ca="1">IF(D60="按租金收入计税",ROUND(C47*F60,1),IF(D60="按房产原值计税",ROUND(C56*F60*0.7,1),INDIRECT("'数据-取费表'!Aj"&amp;$G$1)))</f>
        <v>0</v>
      </c>
      <c r="D60" s="2603" t="str">
        <f>D33</f>
        <v>按租金收入计税</v>
      </c>
      <c r="E60" s="783" t="s">
        <v>1747</v>
      </c>
      <c r="F60" s="808">
        <f t="shared" si="0"/>
        <v>0.12</v>
      </c>
      <c r="I60" s="3119" t="s">
        <v>2361</v>
      </c>
      <c r="J60" s="3120" t="str">
        <f ca="1">IF(OR(M47="住宅",J51&lt;L48,J56="是"),"0",ROUND(J59/(1+J52)^J53,0))</f>
        <v>0</v>
      </c>
      <c r="K60" s="3121" t="s">
        <v>2366</v>
      </c>
      <c r="L60" s="3120">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45.5</v>
      </c>
      <c r="D61" s="813" t="s">
        <v>669</v>
      </c>
      <c r="E61" s="783" t="s">
        <v>670</v>
      </c>
      <c r="F61" s="640">
        <f t="shared" si="0"/>
        <v>1.5</v>
      </c>
      <c r="K61" s="2071"/>
      <c r="O61" s="2365" t="s">
        <v>2386</v>
      </c>
      <c r="P61" s="2363" t="s">
        <v>2394</v>
      </c>
      <c r="Q61" s="2364" t="e">
        <f ca="1">L58</f>
        <v>#DIV/0!</v>
      </c>
      <c r="R61" s="2367" t="s">
        <v>2395</v>
      </c>
    </row>
    <row r="62" spans="1:18" s="2044" customFormat="1" ht="15.75" thickBot="1">
      <c r="A62" s="814"/>
      <c r="B62" s="792"/>
      <c r="C62" s="69"/>
      <c r="D62" s="815"/>
      <c r="E62" s="783" t="s">
        <v>674</v>
      </c>
      <c r="F62" s="784">
        <f t="shared" ca="1" si="0"/>
        <v>303666</v>
      </c>
      <c r="I62" s="3122" t="s">
        <v>2367</v>
      </c>
      <c r="J62" s="3123" t="s">
        <v>2368</v>
      </c>
      <c r="K62" s="3123" t="s">
        <v>2369</v>
      </c>
      <c r="L62" s="3123" t="s">
        <v>2350</v>
      </c>
      <c r="M62" s="3124" t="s">
        <v>2943</v>
      </c>
      <c r="O62" s="2365" t="s">
        <v>2388</v>
      </c>
      <c r="P62" s="2363" t="str">
        <f>K59</f>
        <v>建筑物剩余耐用年限下的土地年期修正系数Kn</v>
      </c>
      <c r="Q62" s="2364" t="e">
        <f ca="1">L59</f>
        <v>#DIV/0!</v>
      </c>
      <c r="R62" s="2367" t="s">
        <v>2397</v>
      </c>
    </row>
    <row r="63" spans="1:18" s="2044" customFormat="1" ht="15.75" thickBot="1">
      <c r="A63" s="1634" t="s">
        <v>1889</v>
      </c>
      <c r="B63" s="783" t="s">
        <v>676</v>
      </c>
      <c r="C63" s="53">
        <f ca="1">ROUND(C56*F63,1)</f>
        <v>182.1</v>
      </c>
      <c r="D63" s="2603" t="s">
        <v>1803</v>
      </c>
      <c r="E63" s="783" t="s">
        <v>1747</v>
      </c>
      <c r="F63" s="816">
        <f t="shared" ca="1" si="0"/>
        <v>5.0000000000000001E-3</v>
      </c>
      <c r="I63" s="3122" t="s">
        <v>2370</v>
      </c>
      <c r="J63" s="3123">
        <v>70</v>
      </c>
      <c r="K63" s="3123">
        <v>50</v>
      </c>
      <c r="L63" s="3123">
        <v>80</v>
      </c>
      <c r="M63" s="3125">
        <v>0.02</v>
      </c>
      <c r="O63" s="2362" t="s">
        <v>2391</v>
      </c>
      <c r="P63" s="2363" t="s">
        <v>2408</v>
      </c>
      <c r="Q63" s="2364">
        <f ca="1">Q57+Q58</f>
        <v>54896</v>
      </c>
      <c r="R63" s="2367" t="s">
        <v>2392</v>
      </c>
    </row>
    <row r="64" spans="1:18" s="2044" customFormat="1" ht="16.5" thickBot="1">
      <c r="A64" s="1634" t="s">
        <v>1890</v>
      </c>
      <c r="B64" s="783" t="s">
        <v>679</v>
      </c>
      <c r="C64" s="53">
        <f ca="1">ROUND(C55*F64,1)</f>
        <v>18.2</v>
      </c>
      <c r="D64" s="2603" t="s">
        <v>680</v>
      </c>
      <c r="E64" s="783" t="s">
        <v>1747</v>
      </c>
      <c r="F64" s="817">
        <f t="shared" ca="1" si="0"/>
        <v>5.0000000000000001E-4</v>
      </c>
      <c r="I64" s="3122" t="s">
        <v>2371</v>
      </c>
      <c r="J64" s="3123">
        <v>50</v>
      </c>
      <c r="K64" s="3123">
        <v>35</v>
      </c>
      <c r="L64" s="3123">
        <v>60</v>
      </c>
      <c r="M64" s="845">
        <v>0</v>
      </c>
      <c r="O64" s="2368" t="s">
        <v>2415</v>
      </c>
      <c r="P64" s="1578"/>
      <c r="Q64" s="1589"/>
      <c r="R64" s="1578"/>
    </row>
    <row r="65" spans="1:18" s="2044" customFormat="1" ht="15.75" thickBot="1">
      <c r="A65" s="1634" t="s">
        <v>1891</v>
      </c>
      <c r="B65" s="783" t="s">
        <v>666</v>
      </c>
      <c r="C65" s="53">
        <f ca="1">ROUND(C47*F65,1)</f>
        <v>0</v>
      </c>
      <c r="D65" s="2603" t="s">
        <v>683</v>
      </c>
      <c r="E65" s="783" t="s">
        <v>1747</v>
      </c>
      <c r="F65" s="793">
        <f t="shared" ca="1" si="0"/>
        <v>5.0000000000000001E-3</v>
      </c>
      <c r="I65" s="3122" t="s">
        <v>2372</v>
      </c>
      <c r="J65" s="3123">
        <v>40</v>
      </c>
      <c r="K65" s="3123">
        <v>30</v>
      </c>
      <c r="L65" s="3123">
        <v>50</v>
      </c>
      <c r="M65" s="3125">
        <v>0.02</v>
      </c>
      <c r="O65" s="2359" t="s">
        <v>2375</v>
      </c>
      <c r="P65" s="2360" t="s">
        <v>2376</v>
      </c>
      <c r="Q65" s="2361" t="s">
        <v>2377</v>
      </c>
      <c r="R65" s="2360" t="s">
        <v>2378</v>
      </c>
    </row>
    <row r="66" spans="1:18" s="2044" customFormat="1" ht="24.75" thickBot="1">
      <c r="A66" s="796" t="s">
        <v>1776</v>
      </c>
      <c r="B66" s="2963" t="s">
        <v>2821</v>
      </c>
      <c r="C66" s="798">
        <f ca="1">C47-C57</f>
        <v>-246</v>
      </c>
      <c r="D66" s="2602" t="s">
        <v>700</v>
      </c>
      <c r="E66" s="2601"/>
      <c r="F66" s="819"/>
      <c r="K66" s="2071"/>
      <c r="O66" s="2362" t="s">
        <v>2379</v>
      </c>
      <c r="P66" s="2363" t="s">
        <v>2409</v>
      </c>
      <c r="Q66" s="2364">
        <f ca="1">C40+J29</f>
        <v>54896</v>
      </c>
      <c r="R66" s="2363" t="s">
        <v>2380</v>
      </c>
    </row>
    <row r="67" spans="1:18" s="2044" customFormat="1" ht="20.25" thickBot="1">
      <c r="A67" s="780" t="s">
        <v>1780</v>
      </c>
      <c r="B67" s="2217" t="s">
        <v>2301</v>
      </c>
      <c r="C67" s="782">
        <f ca="1">ROUND(C66*(1-((1+F69)/(1+F67))^F68)/(F67-F69),0)</f>
        <v>-5686</v>
      </c>
      <c r="D67" s="813" t="s">
        <v>704</v>
      </c>
      <c r="E67" s="783" t="s">
        <v>705</v>
      </c>
      <c r="F67" s="793">
        <f ca="1">F40</f>
        <v>0.03</v>
      </c>
      <c r="K67" s="2071"/>
      <c r="O67" s="2362" t="s">
        <v>2381</v>
      </c>
      <c r="P67" s="2363" t="s">
        <v>2412</v>
      </c>
      <c r="Q67" s="2364">
        <f ca="1">L60</f>
        <v>0</v>
      </c>
      <c r="R67" s="2367" t="s">
        <v>2414</v>
      </c>
    </row>
    <row r="68" spans="1:18" ht="21.75" thickBot="1">
      <c r="A68" s="785"/>
      <c r="B68" s="786"/>
      <c r="C68" s="787"/>
      <c r="D68" s="820" t="s">
        <v>1808</v>
      </c>
      <c r="E68" s="783" t="s">
        <v>1784</v>
      </c>
      <c r="F68" s="821">
        <f ca="1">F41</f>
        <v>40</v>
      </c>
      <c r="O68" s="2365" t="s">
        <v>2383</v>
      </c>
      <c r="P68" s="2363" t="s">
        <v>2413</v>
      </c>
      <c r="Q68" s="2369">
        <f ca="1">L51</f>
        <v>4618</v>
      </c>
      <c r="R68" s="2370" t="s">
        <v>2416</v>
      </c>
    </row>
    <row r="69" spans="1:18" ht="20.25" thickBot="1">
      <c r="A69" s="789"/>
      <c r="B69" s="790"/>
      <c r="C69" s="791"/>
      <c r="D69" s="815"/>
      <c r="E69" s="783" t="s">
        <v>710</v>
      </c>
      <c r="F69" s="2335"/>
      <c r="O69" s="2365" t="s">
        <v>2384</v>
      </c>
      <c r="P69" s="2371" t="s">
        <v>2398</v>
      </c>
      <c r="Q69" s="2364">
        <f ca="1">ROUND(Q70-Q71*Q72,0)</f>
        <v>216</v>
      </c>
      <c r="R69" s="2367"/>
    </row>
    <row r="70" spans="1:18" ht="15.75" thickBot="1">
      <c r="A70" s="822" t="s">
        <v>1787</v>
      </c>
      <c r="B70" s="823" t="s">
        <v>1810</v>
      </c>
      <c r="C70" s="824">
        <f ca="1">ROUND(C67*10000/F70,0)</f>
        <v>-312</v>
      </c>
      <c r="D70" s="825" t="s">
        <v>1811</v>
      </c>
      <c r="E70" s="826" t="s">
        <v>1812</v>
      </c>
      <c r="F70" s="827">
        <f ca="1">F43</f>
        <v>182200</v>
      </c>
      <c r="O70" s="2365" t="s">
        <v>2399</v>
      </c>
      <c r="P70" s="2371" t="s">
        <v>2400</v>
      </c>
      <c r="Q70" s="2364">
        <f ca="1">C39</f>
        <v>1855</v>
      </c>
      <c r="R70" s="2363" t="s">
        <v>2380</v>
      </c>
    </row>
    <row r="71" spans="1:18" ht="15.75" thickBot="1">
      <c r="O71" s="2365" t="s">
        <v>2401</v>
      </c>
      <c r="P71" s="2371" t="s">
        <v>2402</v>
      </c>
      <c r="Q71" s="2364">
        <f ca="1">C13</f>
        <v>36417</v>
      </c>
      <c r="R71" s="2363" t="s">
        <v>2380</v>
      </c>
    </row>
    <row r="72" spans="1:18" ht="15.75" thickBot="1">
      <c r="O72" s="2365" t="s">
        <v>2403</v>
      </c>
      <c r="P72" s="2371" t="s">
        <v>2404</v>
      </c>
      <c r="Q72" s="2366">
        <f ca="1">J36</f>
        <v>4.4999999999999998E-2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建筑物剩余耐用年限下的土地年期修正系数Kn</v>
      </c>
      <c r="Q75" s="2364" t="e">
        <f ca="1">L59</f>
        <v>#DIV/0!</v>
      </c>
      <c r="R75" s="2367" t="s">
        <v>2397</v>
      </c>
    </row>
    <row r="76" spans="1:18" ht="15.75" thickBot="1">
      <c r="O76" s="2362" t="s">
        <v>2391</v>
      </c>
      <c r="P76" s="2363" t="s">
        <v>2408</v>
      </c>
      <c r="Q76" s="2364">
        <f ca="1">Q66+Q67</f>
        <v>54896</v>
      </c>
      <c r="R76" s="2367"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2" priority="7">
      <formula>$L$48&gt;$J$51</formula>
    </cfRule>
  </conditionalFormatting>
  <conditionalFormatting sqref="I55">
    <cfRule type="expression" dxfId="11" priority="8">
      <formula>$J$51&gt;$L$48</formula>
    </cfRule>
  </conditionalFormatting>
  <conditionalFormatting sqref="I60">
    <cfRule type="expression" dxfId="10" priority="6">
      <formula>$J$51&gt;$L$48</formula>
    </cfRule>
  </conditionalFormatting>
  <conditionalFormatting sqref="K60">
    <cfRule type="expression" dxfId="9" priority="5">
      <formula>$L$48&gt;$J$51</formula>
    </cfRule>
  </conditionalFormatting>
  <conditionalFormatting sqref="C11">
    <cfRule type="expression" dxfId="8" priority="4">
      <formula>$F$10="自定义"</formula>
    </cfRule>
  </conditionalFormatting>
  <conditionalFormatting sqref="J11">
    <cfRule type="expression" dxfId="7" priority="2">
      <formula>$M$10="自定义"</formula>
    </cfRule>
  </conditionalFormatting>
  <conditionalFormatting sqref="C53">
    <cfRule type="expression" dxfId="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90" zoomScaleNormal="90" workbookViewId="0">
      <selection activeCell="F12" sqref="F1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628</v>
      </c>
      <c r="B1" s="738"/>
      <c r="C1" s="772" t="s">
        <v>3007</v>
      </c>
      <c r="D1" s="2035"/>
      <c r="E1" s="2351" t="s">
        <v>2374</v>
      </c>
      <c r="F1" s="2352">
        <f ca="1">J54</f>
        <v>39</v>
      </c>
      <c r="G1" s="773">
        <f>MATCH(C1,'数据-取费表'!A6:A16,0)+5</f>
        <v>6</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4634</v>
      </c>
      <c r="C2" s="1346"/>
      <c r="D2" s="2040"/>
      <c r="E2" s="2041"/>
      <c r="F2" s="2041"/>
      <c r="G2" s="1576"/>
      <c r="H2" s="1358"/>
      <c r="I2" s="2042"/>
      <c r="J2" s="2042"/>
      <c r="K2" s="2043"/>
      <c r="L2" s="2042"/>
      <c r="M2" s="2042"/>
    </row>
    <row r="3" spans="1:25" ht="18" customHeight="1">
      <c r="A3" s="1630" t="s">
        <v>1686</v>
      </c>
      <c r="B3" s="1387">
        <f ca="1">ROUND(B2*10000/'数据-汇总表'!E3,0)</f>
        <v>254</v>
      </c>
      <c r="C3" s="1346"/>
      <c r="D3" s="2040"/>
      <c r="E3" s="2041"/>
      <c r="F3" s="2041"/>
      <c r="G3" s="1576"/>
      <c r="H3" s="775" t="s">
        <v>695</v>
      </c>
      <c r="I3" s="2042"/>
      <c r="J3" s="2042"/>
      <c r="K3" s="2043"/>
      <c r="L3" s="2042"/>
      <c r="M3" s="2042"/>
    </row>
    <row r="4" spans="1:25" ht="18" customHeight="1">
      <c r="A4" s="1631" t="s">
        <v>696</v>
      </c>
      <c r="B4" s="1347">
        <f ca="1">ROUND(B2*10000/'数据-汇总表'!D3,0)</f>
        <v>153</v>
      </c>
      <c r="C4" s="428"/>
      <c r="D4" s="2040"/>
      <c r="E4" s="2041"/>
      <c r="F4" s="2041"/>
      <c r="G4" s="1576"/>
      <c r="H4" s="775"/>
      <c r="I4" s="2042"/>
      <c r="J4" s="2042"/>
      <c r="K4" s="2043"/>
      <c r="L4" s="2042"/>
      <c r="M4" s="2042"/>
    </row>
    <row r="5" spans="1:25" ht="18" customHeight="1" thickBot="1">
      <c r="A5" s="1632"/>
      <c r="B5" s="430">
        <f ca="1">ROUND(B2/('数据-汇总表'!D3/666.67),0)</f>
        <v>10</v>
      </c>
      <c r="C5" s="431"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2458</v>
      </c>
      <c r="C7" s="53">
        <f ca="1">C8+C12+C14</f>
        <v>2554</v>
      </c>
      <c r="D7" s="2460" t="s">
        <v>2461</v>
      </c>
      <c r="E7" s="2454"/>
      <c r="F7" s="2455"/>
      <c r="G7" s="1578"/>
      <c r="H7" s="780">
        <v>1</v>
      </c>
      <c r="I7" s="781" t="s">
        <v>2458</v>
      </c>
      <c r="J7" s="53">
        <f ca="1">J8+J12+J14</f>
        <v>0</v>
      </c>
      <c r="K7" s="2460" t="s">
        <v>2461</v>
      </c>
      <c r="L7" s="2454"/>
      <c r="M7" s="2455"/>
    </row>
    <row r="8" spans="1:25" ht="18" customHeight="1">
      <c r="A8" s="1815" t="s">
        <v>1824</v>
      </c>
      <c r="B8" s="3567" t="s">
        <v>2463</v>
      </c>
      <c r="C8" s="1810">
        <f ca="1">ROUND(F8*F10*F9*(1-F11)/10000,0)</f>
        <v>2544</v>
      </c>
      <c r="D8" s="1807" t="s">
        <v>2534</v>
      </c>
      <c r="E8" s="61" t="s">
        <v>637</v>
      </c>
      <c r="F8" s="784">
        <f ca="1">INDIRECT("'数据-取费表'!u"&amp;$G$1)</f>
        <v>0.45</v>
      </c>
      <c r="G8" s="1578"/>
      <c r="H8" s="2468" t="s">
        <v>1824</v>
      </c>
      <c r="I8" s="3567" t="s">
        <v>2463</v>
      </c>
      <c r="J8" s="782">
        <f ca="1">ROUND(M8*M10*M9*(1-M11)/10000,0)</f>
        <v>0</v>
      </c>
      <c r="K8" s="341" t="s">
        <v>2534</v>
      </c>
      <c r="L8" s="783" t="s">
        <v>1738</v>
      </c>
      <c r="M8" s="784">
        <f ca="1">INDIRECT("'数据-取费表'!z"&amp;$G$1)</f>
        <v>0</v>
      </c>
    </row>
    <row r="9" spans="1:25" ht="18" customHeight="1">
      <c r="A9" s="2464"/>
      <c r="B9" s="3568"/>
      <c r="C9" s="1811"/>
      <c r="D9" s="1808"/>
      <c r="E9" s="61" t="s">
        <v>638</v>
      </c>
      <c r="F9" s="784">
        <f ca="1">IF(INDIRECT("'数据-取费表'!ah"&amp;$G$1)="",INDIRECT("'数据-取费表'!k"&amp;$G$1),INDIRECT("'数据-取费表'!ah"&amp;$G$1))</f>
        <v>182200</v>
      </c>
      <c r="G9" s="1578"/>
      <c r="H9" s="2453"/>
      <c r="I9" s="3568"/>
      <c r="J9" s="787"/>
      <c r="K9" s="788"/>
      <c r="L9" s="783" t="s">
        <v>1739</v>
      </c>
      <c r="M9" s="784">
        <f ca="1">F9</f>
        <v>182200</v>
      </c>
    </row>
    <row r="10" spans="1:25" ht="18" customHeight="1">
      <c r="A10" s="2457"/>
      <c r="B10" s="3569"/>
      <c r="C10" s="1811"/>
      <c r="D10" s="1808"/>
      <c r="E10" s="61" t="s">
        <v>639</v>
      </c>
      <c r="F10" s="784">
        <f ca="1">INDIRECT("'数据-取费表'!ai"&amp;$G$1)</f>
        <v>365</v>
      </c>
      <c r="G10" s="1578"/>
      <c r="H10" s="2453"/>
      <c r="I10" s="3569"/>
      <c r="J10" s="787"/>
      <c r="K10" s="788"/>
      <c r="L10" s="783" t="s">
        <v>1740</v>
      </c>
      <c r="M10" s="784">
        <f ca="1">INDIRECT("'数据-取费表'!ai"&amp;$G$1)</f>
        <v>365</v>
      </c>
    </row>
    <row r="11" spans="1:25" ht="18" customHeight="1">
      <c r="A11" s="785"/>
      <c r="B11" s="3570"/>
      <c r="C11" s="1811"/>
      <c r="D11" s="1808"/>
      <c r="E11" s="61" t="s">
        <v>640</v>
      </c>
      <c r="F11" s="793">
        <f ca="1">INDIRECT("'数据-取费表'!w"&amp;$G$1)</f>
        <v>0.15</v>
      </c>
      <c r="G11" s="1578"/>
      <c r="H11" s="2469"/>
      <c r="I11" s="3569"/>
      <c r="J11" s="787"/>
      <c r="K11" s="788"/>
      <c r="L11" s="794" t="s">
        <v>1741</v>
      </c>
      <c r="M11" s="795">
        <f ca="1">INDIRECT("'数据-取费表'!ab"&amp;$G$1)</f>
        <v>0</v>
      </c>
    </row>
    <row r="12" spans="1:25" ht="18" customHeight="1">
      <c r="A12" s="1815" t="s">
        <v>1825</v>
      </c>
      <c r="B12" s="2458" t="s">
        <v>2459</v>
      </c>
      <c r="C12" s="798">
        <f ca="1">ROUND(IF(F12="押一",C8/12*F13,IF(F12="押二",C8/12*2*F13,IF(F12="押三",C8/12*3*F13,C13*F13))),0)</f>
        <v>10</v>
      </c>
      <c r="D12" s="2465" t="s">
        <v>2975</v>
      </c>
      <c r="E12" s="2462" t="s">
        <v>2464</v>
      </c>
      <c r="F12" s="2585" t="s">
        <v>3244</v>
      </c>
      <c r="G12" s="1578"/>
      <c r="H12" s="2525" t="s">
        <v>1825</v>
      </c>
      <c r="I12" s="2530" t="s">
        <v>2459</v>
      </c>
      <c r="J12" s="782">
        <f ca="1">ROUND(IF(M12="押一",J8/12*M13,IF(M12="押二",J8/12*2*M13,IF(M12="押三",J8/12*3*M13,J13*M13))),0)</f>
        <v>0</v>
      </c>
      <c r="K12" s="2465" t="s">
        <v>2975</v>
      </c>
      <c r="L12" s="2462" t="s">
        <v>2464</v>
      </c>
      <c r="M12" s="2585"/>
    </row>
    <row r="13" spans="1:25" ht="18" customHeight="1">
      <c r="A13" s="789"/>
      <c r="B13" s="2459" t="s">
        <v>2573</v>
      </c>
      <c r="C13" s="2463"/>
      <c r="D13" s="788"/>
      <c r="E13" s="2462" t="s">
        <v>2456</v>
      </c>
      <c r="F13" s="795">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1">
        <f ca="1">ROUND(C31*F15,0)</f>
        <v>36417</v>
      </c>
      <c r="D15" s="1819" t="s">
        <v>642</v>
      </c>
      <c r="E15" s="794" t="s">
        <v>643</v>
      </c>
      <c r="F15" s="799">
        <f ca="1">INDIRECT("'数据-取费表'!y"&amp;$G$1)</f>
        <v>1</v>
      </c>
      <c r="G15" s="1578"/>
      <c r="H15" s="1814" t="s">
        <v>1826</v>
      </c>
      <c r="I15" s="1812" t="s">
        <v>644</v>
      </c>
      <c r="J15" s="1804">
        <f ca="1">ROUND(J16*J17,0)</f>
        <v>0</v>
      </c>
      <c r="K15" s="1806" t="s">
        <v>642</v>
      </c>
      <c r="L15" s="800"/>
      <c r="M15" s="801"/>
    </row>
    <row r="16" spans="1:25" ht="18" customHeight="1">
      <c r="A16" s="802" t="s">
        <v>1875</v>
      </c>
      <c r="B16" s="783" t="s">
        <v>645</v>
      </c>
      <c r="C16" s="803">
        <f ca="1">INDIRECT("'数据-取费表'!m"&amp;$G$1)+INDIRECT("'数据-取费表'!t"&amp;$G$1)</f>
        <v>27330</v>
      </c>
      <c r="D16" s="1964" t="s">
        <v>646</v>
      </c>
      <c r="E16" s="1965"/>
      <c r="F16" s="804"/>
      <c r="G16" s="1578"/>
      <c r="H16" s="802" t="s">
        <v>2069</v>
      </c>
      <c r="I16" s="2216" t="s">
        <v>2824</v>
      </c>
      <c r="J16" s="53">
        <f ca="1">C31</f>
        <v>36417</v>
      </c>
      <c r="K16" s="26"/>
      <c r="L16" s="800"/>
      <c r="M16" s="801"/>
    </row>
    <row r="17" spans="1:25" s="2049" customFormat="1" ht="18" customHeight="1">
      <c r="A17" s="802" t="s">
        <v>1849</v>
      </c>
      <c r="B17" s="783" t="s">
        <v>647</v>
      </c>
      <c r="C17" s="53">
        <f ca="1">ROUND(C16*F17,0)</f>
        <v>273</v>
      </c>
      <c r="D17" s="805" t="s">
        <v>648</v>
      </c>
      <c r="E17" s="805" t="s">
        <v>649</v>
      </c>
      <c r="F17" s="806">
        <f>'数据-取费表'!B33</f>
        <v>0.01</v>
      </c>
      <c r="G17" s="1579"/>
      <c r="H17" s="802" t="s">
        <v>2070</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8"/>
      <c r="H18" s="796" t="s">
        <v>1827</v>
      </c>
      <c r="I18" s="797" t="s">
        <v>651</v>
      </c>
      <c r="J18" s="798">
        <f ca="1">ROUND(J19+J24+J25+J26,0)</f>
        <v>534</v>
      </c>
      <c r="K18" s="26" t="s">
        <v>652</v>
      </c>
      <c r="L18" s="1967"/>
      <c r="M18" s="56"/>
    </row>
    <row r="19" spans="1:25" s="2049" customFormat="1" ht="18" customHeight="1">
      <c r="A19" s="802" t="s">
        <v>1851</v>
      </c>
      <c r="B19" s="783" t="s">
        <v>653</v>
      </c>
      <c r="C19" s="53">
        <f ca="1">ROUND(F19*(INDIRECT("'数据-取费表'!k"&amp;$G$1)+INDIRECT("'数据-取费表'!S"&amp;$G$1))/10000,0)</f>
        <v>3644</v>
      </c>
      <c r="D19" s="783" t="s">
        <v>654</v>
      </c>
      <c r="E19" s="783" t="s">
        <v>655</v>
      </c>
      <c r="F19" s="56">
        <f>'数据-取费表'!B35</f>
        <v>200</v>
      </c>
      <c r="G19" s="1579"/>
      <c r="H19" s="802" t="s">
        <v>2069</v>
      </c>
      <c r="I19" s="783" t="s">
        <v>656</v>
      </c>
      <c r="J19" s="53">
        <f ca="1">ROUND(IF(项目基本情况!B11="自然人",J7*M19,J20+J21+J22),0)</f>
        <v>352</v>
      </c>
      <c r="K19" s="1964" t="s">
        <v>657</v>
      </c>
      <c r="L19" s="1962" t="s">
        <v>658</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1852</v>
      </c>
      <c r="B20" s="783" t="s">
        <v>659</v>
      </c>
      <c r="C20" s="53">
        <f ca="1">ROUND(C16*F20,0)</f>
        <v>273</v>
      </c>
      <c r="D20" s="783" t="s">
        <v>648</v>
      </c>
      <c r="E20" s="783" t="s">
        <v>649</v>
      </c>
      <c r="F20" s="808">
        <f>'数据-取费表'!B36</f>
        <v>0.01</v>
      </c>
      <c r="G20" s="1579"/>
      <c r="H20" s="802" t="s">
        <v>1831</v>
      </c>
      <c r="I20" s="783" t="s">
        <v>660</v>
      </c>
      <c r="J20" s="53">
        <f ca="1">ROUND(J7*M20/1.05,1)</f>
        <v>0</v>
      </c>
      <c r="K20" s="1962" t="s">
        <v>661</v>
      </c>
      <c r="L20" s="783" t="s">
        <v>649</v>
      </c>
      <c r="M20" s="808">
        <f>'数据-取费表'!B41</f>
        <v>5.5000000000000007E-2</v>
      </c>
      <c r="N20" s="2048"/>
      <c r="O20" s="2048"/>
      <c r="P20" s="2048"/>
      <c r="Q20" s="2048"/>
      <c r="R20" s="2048"/>
      <c r="S20" s="2048"/>
      <c r="T20" s="2048"/>
      <c r="U20" s="2048"/>
      <c r="V20" s="2048"/>
      <c r="W20" s="2048"/>
      <c r="X20" s="2048"/>
      <c r="Y20" s="2048"/>
    </row>
    <row r="21" spans="1:25" ht="18" customHeight="1">
      <c r="A21" s="802" t="s">
        <v>1876</v>
      </c>
      <c r="B21" s="783" t="s">
        <v>662</v>
      </c>
      <c r="C21" s="53">
        <f ca="1">SUM(C16:C20)</f>
        <v>31520</v>
      </c>
      <c r="D21" s="261" t="s">
        <v>663</v>
      </c>
      <c r="E21" s="1967"/>
      <c r="F21" s="56"/>
      <c r="G21" s="1578"/>
      <c r="H21" s="1815" t="s">
        <v>1849</v>
      </c>
      <c r="I21" s="783" t="s">
        <v>664</v>
      </c>
      <c r="J21" s="53">
        <f ca="1">IF(K21="按租金收入计税",ROUND(J7*M21,1),ROUND(C31*F35*0.7,1))</f>
        <v>305.89999999999998</v>
      </c>
      <c r="K21" s="810" t="s">
        <v>665</v>
      </c>
      <c r="L21" s="783" t="s">
        <v>649</v>
      </c>
      <c r="M21" s="808">
        <f>IF(K21="按租金收入计税",'数据-取费表'!B51,'数据-取费表'!B50)</f>
        <v>1.2E-2</v>
      </c>
    </row>
    <row r="22" spans="1:25" s="2049" customFormat="1" ht="18" customHeight="1">
      <c r="A22" s="802" t="s">
        <v>1877</v>
      </c>
      <c r="B22" s="783" t="s">
        <v>666</v>
      </c>
      <c r="C22" s="53">
        <f ca="1">ROUND(C21*F22,0)</f>
        <v>315</v>
      </c>
      <c r="D22" s="811" t="s">
        <v>667</v>
      </c>
      <c r="E22" s="783" t="s">
        <v>649</v>
      </c>
      <c r="F22" s="808">
        <f>'数据-取费表'!B37</f>
        <v>0.01</v>
      </c>
      <c r="G22" s="1579"/>
      <c r="H22" s="1817" t="s">
        <v>1850</v>
      </c>
      <c r="I22" s="1807" t="s">
        <v>668</v>
      </c>
      <c r="J22" s="54">
        <f ca="1">ROUND(M22*M23/10000,0)</f>
        <v>46</v>
      </c>
      <c r="K22" s="813" t="s">
        <v>669</v>
      </c>
      <c r="L22" s="783" t="s">
        <v>670</v>
      </c>
      <c r="M22" s="640">
        <f>'数据-取费表'!B52</f>
        <v>1.5</v>
      </c>
      <c r="N22" s="2048"/>
      <c r="O22" s="2048"/>
      <c r="P22" s="2048"/>
      <c r="Q22" s="2048"/>
      <c r="R22" s="2048"/>
      <c r="S22" s="2048"/>
      <c r="T22" s="2048"/>
      <c r="U22" s="2048"/>
      <c r="V22" s="2048"/>
      <c r="W22" s="2048"/>
      <c r="X22" s="2048"/>
      <c r="Y22" s="2048"/>
    </row>
    <row r="23" spans="1:25" s="2049" customFormat="1" ht="18" customHeight="1">
      <c r="A23" s="802" t="s">
        <v>1878</v>
      </c>
      <c r="B23" s="783" t="s">
        <v>671</v>
      </c>
      <c r="C23" s="53" t="s">
        <v>1</v>
      </c>
      <c r="D23" s="811" t="s">
        <v>672</v>
      </c>
      <c r="E23" s="783" t="s">
        <v>673</v>
      </c>
      <c r="F23" s="808">
        <f>'数据-取费表'!B38</f>
        <v>0.01</v>
      </c>
      <c r="G23" s="1579"/>
      <c r="H23" s="1818"/>
      <c r="I23" s="1809"/>
      <c r="J23" s="69"/>
      <c r="K23" s="815"/>
      <c r="L23" s="783" t="s">
        <v>674</v>
      </c>
      <c r="M23" s="784">
        <f ca="1">INDIRECT("'数据-取费表'!r"&amp;$G$1)</f>
        <v>303666</v>
      </c>
      <c r="N23" s="2048"/>
      <c r="O23" s="2048"/>
      <c r="P23" s="2048"/>
      <c r="Q23" s="2048"/>
      <c r="R23" s="2048"/>
      <c r="S23" s="2048"/>
      <c r="T23" s="2048"/>
      <c r="U23" s="2048"/>
      <c r="V23" s="2048"/>
      <c r="W23" s="2048"/>
      <c r="X23" s="2048"/>
      <c r="Y23" s="2048"/>
    </row>
    <row r="24" spans="1:25" ht="18" customHeight="1">
      <c r="A24" s="802" t="s">
        <v>1879</v>
      </c>
      <c r="B24" s="783" t="s">
        <v>675</v>
      </c>
      <c r="C24" s="53"/>
      <c r="D24" s="2536" t="str">
        <f>IF(F25&lt;=1,"单利计息。","复利计息。")&amp;"建造成本、管理费用、销售费用产生的利息。"</f>
        <v>单利计息。建造成本、管理费用、销售费用产生的利息。</v>
      </c>
      <c r="E24" s="1967"/>
      <c r="F24" s="56"/>
      <c r="G24" s="1578"/>
      <c r="H24" s="1816" t="s">
        <v>2070</v>
      </c>
      <c r="I24" s="783" t="s">
        <v>676</v>
      </c>
      <c r="J24" s="53">
        <f ca="1">ROUND(J16*M24,0)</f>
        <v>182</v>
      </c>
      <c r="K24" s="1962" t="s">
        <v>677</v>
      </c>
      <c r="L24" s="783" t="s">
        <v>649</v>
      </c>
      <c r="M24" s="816">
        <f ca="1">INDIRECT("'数据-取费表'!Ak"&amp;$G$1)</f>
        <v>5.0000000000000001E-3</v>
      </c>
    </row>
    <row r="25" spans="1:25" s="2049" customFormat="1" ht="18" customHeight="1">
      <c r="A25" s="802" t="s">
        <v>1875</v>
      </c>
      <c r="B25" s="783" t="s">
        <v>2437</v>
      </c>
      <c r="C25" s="53">
        <f ca="1">ROUND(IF('数据-取费表'!B22&lt;=1,(C21+C22)*F26*F25/2,(C21+C22)*(POWER((1+F26),F25/2)-1)),0)</f>
        <v>692</v>
      </c>
      <c r="D25" s="2535" t="str">
        <f>IF(F25&lt;=1,"(建造成本+管理费用)×利率×(建设周期÷2)","(建造成本+管理费用)×((1+利率)^(建设周期÷2)-1)")</f>
        <v>(建造成本+管理费用)×利率×(建设周期÷2)</v>
      </c>
      <c r="E25" s="783" t="s">
        <v>678</v>
      </c>
      <c r="F25" s="640">
        <f>'数据-取费表'!B20</f>
        <v>1</v>
      </c>
      <c r="G25" s="1579"/>
      <c r="H25" s="802" t="s">
        <v>1878</v>
      </c>
      <c r="I25" s="783" t="s">
        <v>679</v>
      </c>
      <c r="J25" s="53">
        <f ca="1">ROUND(J15*M25,0)</f>
        <v>0</v>
      </c>
      <c r="K25" s="1962" t="s">
        <v>680</v>
      </c>
      <c r="L25" s="783" t="s">
        <v>649</v>
      </c>
      <c r="M25" s="817">
        <f ca="1">INDIRECT("'数据-取费表'!Al"&amp;$G$1)</f>
        <v>5.0000000000000001E-4</v>
      </c>
      <c r="N25" s="2048"/>
      <c r="O25" s="2048"/>
      <c r="P25" s="2048"/>
      <c r="Q25" s="2048"/>
      <c r="R25" s="2048"/>
      <c r="S25" s="2048"/>
      <c r="T25" s="2048"/>
      <c r="U25" s="2048"/>
      <c r="V25" s="2048"/>
      <c r="W25" s="2048"/>
      <c r="X25" s="2048"/>
      <c r="Y25" s="2048"/>
    </row>
    <row r="26" spans="1:25" s="2049" customFormat="1" ht="18" customHeight="1">
      <c r="A26" s="802" t="s">
        <v>1849</v>
      </c>
      <c r="B26" s="783" t="s">
        <v>681</v>
      </c>
      <c r="C26" s="53">
        <f ca="1">ROUND(IF('数据-取费表'!B22&lt;=1,F23*F26*F25/2,F23*(POWER((1+F26),F25/2)-1)),4)</f>
        <v>2.0000000000000001E-4</v>
      </c>
      <c r="D26" s="2535" t="str">
        <f>IF(F25&lt;=1,"销售费用×利率×(建设周期÷2)","销售费用×((1+利率)^(建设周期÷2)-1)")</f>
        <v>销售费用×利率×(建设周期÷2)</v>
      </c>
      <c r="E26" s="783" t="s">
        <v>682</v>
      </c>
      <c r="F26" s="818">
        <f ca="1">'数据-取费表'!B40</f>
        <v>4.3499999999999997E-2</v>
      </c>
      <c r="G26" s="1579"/>
      <c r="H26" s="802" t="s">
        <v>1879</v>
      </c>
      <c r="I26" s="783" t="s">
        <v>666</v>
      </c>
      <c r="J26" s="53">
        <f ca="1">ROUND(J7*M26,0)</f>
        <v>0</v>
      </c>
      <c r="K26" s="1962" t="s">
        <v>683</v>
      </c>
      <c r="L26" s="783" t="s">
        <v>649</v>
      </c>
      <c r="M26" s="793">
        <f ca="1">INDIRECT("'数据-取费表'!Am"&amp;$G$1)</f>
        <v>5.0000000000000001E-3</v>
      </c>
      <c r="N26" s="2048"/>
      <c r="O26" s="2048"/>
      <c r="P26" s="2048"/>
      <c r="Q26" s="2048"/>
      <c r="R26" s="2048"/>
      <c r="S26" s="2048"/>
      <c r="T26" s="2048"/>
      <c r="U26" s="2048"/>
      <c r="V26" s="2048"/>
      <c r="W26" s="2048"/>
      <c r="X26" s="2048"/>
      <c r="Y26" s="2048"/>
    </row>
    <row r="27" spans="1:25" ht="18" customHeight="1">
      <c r="A27" s="802" t="s">
        <v>1881</v>
      </c>
      <c r="B27" s="783" t="s">
        <v>684</v>
      </c>
      <c r="C27" s="53"/>
      <c r="D27" s="261" t="s">
        <v>685</v>
      </c>
      <c r="E27" s="1967"/>
      <c r="F27" s="56"/>
      <c r="G27" s="1578"/>
      <c r="H27" s="796" t="s">
        <v>1828</v>
      </c>
      <c r="I27" s="2963" t="s">
        <v>2821</v>
      </c>
      <c r="J27" s="798">
        <f ca="1">J7-J18</f>
        <v>-534</v>
      </c>
      <c r="K27" s="1964" t="s">
        <v>700</v>
      </c>
      <c r="L27" s="1966"/>
      <c r="M27" s="819"/>
    </row>
    <row r="28" spans="1:25" ht="18" customHeight="1">
      <c r="A28" s="802" t="s">
        <v>1875</v>
      </c>
      <c r="B28" s="783" t="s">
        <v>2438</v>
      </c>
      <c r="C28" s="53">
        <f ca="1">ROUND((C21+C22)*F28,0)</f>
        <v>1592</v>
      </c>
      <c r="D28" s="811" t="s">
        <v>701</v>
      </c>
      <c r="E28" s="794" t="s">
        <v>702</v>
      </c>
      <c r="F28" s="793">
        <f ca="1">INDIRECT("'数据-取费表'!q"&amp;$G$1)</f>
        <v>0.05</v>
      </c>
      <c r="G28" s="1578"/>
      <c r="H28" s="780" t="s">
        <v>1837</v>
      </c>
      <c r="I28" s="781" t="s">
        <v>703</v>
      </c>
      <c r="J28" s="782">
        <f ca="1">IF(J7&lt;&gt;0,ROUND(J27*(1-((1+M30)/(1+M28))^M29)/(M28-M30),0),0)</f>
        <v>0</v>
      </c>
      <c r="K28" s="813" t="s">
        <v>704</v>
      </c>
      <c r="L28" s="783" t="s">
        <v>705</v>
      </c>
      <c r="M28" s="793">
        <f ca="1">INDIRECT("'数据-取费表'!I"&amp;$G$1)</f>
        <v>0.03</v>
      </c>
    </row>
    <row r="29" spans="1:25" ht="18" customHeight="1">
      <c r="A29" s="802" t="s">
        <v>1849</v>
      </c>
      <c r="B29" s="783" t="s">
        <v>686</v>
      </c>
      <c r="C29" s="53">
        <f ca="1">ROUND(F23*F28,4)</f>
        <v>5.0000000000000001E-4</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1882</v>
      </c>
      <c r="B30" s="783" t="s">
        <v>687</v>
      </c>
      <c r="C30" s="53">
        <f>ROUND(F30/(1+'数据-取费表'!C42),4)</f>
        <v>5.2400000000000002E-2</v>
      </c>
      <c r="D30" s="811" t="s">
        <v>709</v>
      </c>
      <c r="E30" s="783" t="s">
        <v>649</v>
      </c>
      <c r="F30" s="808">
        <f>'数据-取费表'!B41</f>
        <v>5.5000000000000007E-2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2822</v>
      </c>
      <c r="C31" s="2508">
        <f ca="1">ROUND((C21+C22+C25+C28)/(1-F23-C26-C29-C30),0)</f>
        <v>36417</v>
      </c>
      <c r="D31" s="2509"/>
      <c r="E31" s="2510"/>
      <c r="F31" s="2511"/>
      <c r="G31" s="1579"/>
      <c r="H31" s="822" t="s">
        <v>1872</v>
      </c>
      <c r="I31" s="2964" t="s">
        <v>2823</v>
      </c>
      <c r="J31" s="824">
        <f ca="1">ROUND(J28/(1+F45)^F46,0)</f>
        <v>0</v>
      </c>
      <c r="K31" s="825" t="s">
        <v>688</v>
      </c>
      <c r="L31" s="826"/>
      <c r="M31" s="827">
        <f ca="1">INDIRECT("'数据-取费表'!k"&amp;$G$1)</f>
        <v>182200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698</v>
      </c>
      <c r="D32" s="1806" t="s">
        <v>652</v>
      </c>
      <c r="E32" s="2451"/>
      <c r="F32" s="2455"/>
      <c r="G32" s="2047"/>
      <c r="H32" s="2050"/>
      <c r="I32" s="2051"/>
      <c r="J32" s="2052"/>
      <c r="K32" s="2053"/>
      <c r="L32" s="2054"/>
      <c r="M32" s="2055"/>
    </row>
    <row r="33" spans="1:18" ht="18" customHeight="1">
      <c r="A33" s="802" t="s">
        <v>1876</v>
      </c>
      <c r="B33" s="783" t="s">
        <v>656</v>
      </c>
      <c r="C33" s="53">
        <f ca="1">ROUND(IF(项目基本情况!B11="自然人",C7*F33,C34+C35+C36),1)</f>
        <v>485.2</v>
      </c>
      <c r="D33" s="1964" t="s">
        <v>657</v>
      </c>
      <c r="E33" s="1962" t="s">
        <v>690</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1875</v>
      </c>
      <c r="B34" s="783" t="s">
        <v>660</v>
      </c>
      <c r="C34" s="53">
        <f ca="1">ROUND(C7*F34/1.05,1)</f>
        <v>133.80000000000001</v>
      </c>
      <c r="D34" s="1962" t="s">
        <v>661</v>
      </c>
      <c r="E34" s="783" t="s">
        <v>649</v>
      </c>
      <c r="F34" s="808">
        <f>'数据-取费表'!B41</f>
        <v>5.5000000000000007E-2</v>
      </c>
      <c r="G34" s="2047"/>
      <c r="H34" s="2056"/>
      <c r="I34" s="2057"/>
      <c r="J34" s="2058"/>
      <c r="K34" s="2059"/>
      <c r="L34" s="2060"/>
      <c r="M34" s="2061"/>
    </row>
    <row r="35" spans="1:18" ht="18" customHeight="1">
      <c r="A35" s="802" t="s">
        <v>1849</v>
      </c>
      <c r="B35" s="783" t="s">
        <v>664</v>
      </c>
      <c r="C35" s="53">
        <f ca="1">IF(D35="按租金收入计税",ROUND(C7*F35,1),IF(D35="按房产原值计税",ROUND(C31*F35*0.7,1),INDIRECT("'数据-取费表'!Aj"&amp;$G$1)))</f>
        <v>305.89999999999998</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1880</v>
      </c>
      <c r="B36" s="341" t="s">
        <v>668</v>
      </c>
      <c r="C36" s="54">
        <f ca="1">ROUND(F36*F37/10000,1)</f>
        <v>45.5</v>
      </c>
      <c r="D36" s="813" t="s">
        <v>669</v>
      </c>
      <c r="E36" s="783" t="s">
        <v>670</v>
      </c>
      <c r="F36" s="640">
        <f>'数据-取费表'!B52</f>
        <v>1.5</v>
      </c>
      <c r="G36" s="2047"/>
      <c r="H36" s="2050"/>
      <c r="I36" s="3571"/>
      <c r="J36" s="2064"/>
      <c r="K36" s="2065"/>
      <c r="L36" s="2064"/>
      <c r="M36" s="2064"/>
    </row>
    <row r="37" spans="1:18" ht="18" customHeight="1">
      <c r="A37" s="814"/>
      <c r="B37" s="792"/>
      <c r="C37" s="69"/>
      <c r="D37" s="815"/>
      <c r="E37" s="783" t="s">
        <v>674</v>
      </c>
      <c r="F37" s="784">
        <f ca="1">INDIRECT("'数据-取费表'!r"&amp;$G$1)</f>
        <v>303666</v>
      </c>
      <c r="G37" s="2047"/>
      <c r="H37" s="2050"/>
      <c r="I37" s="3571"/>
      <c r="J37" s="2062"/>
      <c r="K37" s="2063"/>
      <c r="L37" s="2062"/>
      <c r="M37" s="2062"/>
    </row>
    <row r="38" spans="1:18" ht="18" customHeight="1">
      <c r="A38" s="802" t="s">
        <v>1877</v>
      </c>
      <c r="B38" s="783" t="s">
        <v>676</v>
      </c>
      <c r="C38" s="53">
        <f ca="1">ROUND(C31*F38,1)</f>
        <v>182.1</v>
      </c>
      <c r="D38" s="1962" t="s">
        <v>691</v>
      </c>
      <c r="E38" s="783" t="s">
        <v>649</v>
      </c>
      <c r="F38" s="816">
        <f ca="1">INDIRECT("'数据-取费表'!Ak"&amp;$G$1)</f>
        <v>5.0000000000000001E-3</v>
      </c>
      <c r="G38" s="2047"/>
      <c r="H38" s="2062"/>
      <c r="I38" s="2066"/>
      <c r="J38" s="1973"/>
      <c r="K38" s="2067"/>
      <c r="L38" s="2062"/>
      <c r="M38" s="2062"/>
    </row>
    <row r="39" spans="1:18" ht="18" customHeight="1">
      <c r="A39" s="802" t="s">
        <v>1878</v>
      </c>
      <c r="B39" s="783" t="s">
        <v>679</v>
      </c>
      <c r="C39" s="53">
        <f ca="1">ROUND(C15*F39,1)</f>
        <v>18.2</v>
      </c>
      <c r="D39" s="1962" t="s">
        <v>680</v>
      </c>
      <c r="E39" s="783" t="s">
        <v>649</v>
      </c>
      <c r="F39" s="817">
        <f ca="1">INDIRECT("'数据-取费表'!Al"&amp;$G$1)</f>
        <v>5.0000000000000001E-4</v>
      </c>
      <c r="G39" s="2047"/>
      <c r="H39" s="2062"/>
      <c r="I39" s="2066"/>
      <c r="J39" s="1973"/>
      <c r="K39" s="2067"/>
      <c r="L39" s="2062"/>
      <c r="M39" s="2062"/>
    </row>
    <row r="40" spans="1:18" ht="18" customHeight="1" thickBot="1">
      <c r="A40" s="2524" t="s">
        <v>1879</v>
      </c>
      <c r="B40" s="2510" t="s">
        <v>666</v>
      </c>
      <c r="C40" s="2508">
        <f ca="1">ROUND(C7*F40,1)</f>
        <v>12.8</v>
      </c>
      <c r="D40" s="2509" t="s">
        <v>683</v>
      </c>
      <c r="E40" s="2510" t="s">
        <v>649</v>
      </c>
      <c r="F40" s="2506">
        <f ca="1">INDIRECT("'数据-取费表'!Am"&amp;$G$1)</f>
        <v>5.0000000000000001E-3</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1876</v>
      </c>
      <c r="B42" s="834" t="s">
        <v>693</v>
      </c>
      <c r="C42" s="828">
        <f ca="1">C7-C32</f>
        <v>1856</v>
      </c>
      <c r="D42" s="1964" t="s">
        <v>694</v>
      </c>
      <c r="E42" s="1966"/>
      <c r="F42" s="819"/>
      <c r="G42" s="2047"/>
      <c r="H42" s="2047"/>
      <c r="I42" s="2047"/>
      <c r="J42" s="2047"/>
      <c r="K42" s="2068"/>
      <c r="L42" s="2047"/>
      <c r="M42" s="2047"/>
    </row>
    <row r="43" spans="1:18" ht="18" customHeight="1">
      <c r="A43" s="802" t="s">
        <v>1877</v>
      </c>
      <c r="B43" s="834" t="s">
        <v>711</v>
      </c>
      <c r="C43" s="835">
        <f ca="1">ROUND(C15*F43,0)</f>
        <v>1639</v>
      </c>
      <c r="D43" s="1351" t="s">
        <v>712</v>
      </c>
      <c r="E43" s="3074" t="s">
        <v>2963</v>
      </c>
      <c r="F43" s="3075">
        <f ca="1">INDIRECT("'数据-取费表'!j"&amp;$G$1)</f>
        <v>4.4999999999999998E-2</v>
      </c>
      <c r="G43" s="2047"/>
      <c r="H43" s="2047"/>
      <c r="I43" s="2047"/>
      <c r="J43" s="2047"/>
      <c r="K43" s="2068"/>
      <c r="L43" s="2047"/>
      <c r="M43" s="2047"/>
    </row>
    <row r="44" spans="1:18" ht="18" customHeight="1">
      <c r="A44" s="802" t="s">
        <v>1878</v>
      </c>
      <c r="B44" s="834" t="s">
        <v>713</v>
      </c>
      <c r="C44" s="1352">
        <f ca="1">C42-C43</f>
        <v>217</v>
      </c>
      <c r="D44" s="463" t="s">
        <v>714</v>
      </c>
      <c r="E44" s="464"/>
      <c r="F44" s="465"/>
      <c r="G44" s="2047"/>
      <c r="H44" s="2047"/>
      <c r="I44" s="2047"/>
      <c r="J44" s="2047"/>
      <c r="K44" s="2068"/>
      <c r="L44" s="2047"/>
      <c r="M44" s="2047"/>
    </row>
    <row r="45" spans="1:18" ht="18" customHeight="1">
      <c r="A45" s="802" t="s">
        <v>1879</v>
      </c>
      <c r="B45" s="1351" t="s">
        <v>715</v>
      </c>
      <c r="C45" s="2990">
        <f ca="1">ROUND(-PV(F45,F46,C44,0),0)</f>
        <v>4634</v>
      </c>
      <c r="D45" s="1353" t="s">
        <v>716</v>
      </c>
      <c r="E45" s="805" t="s">
        <v>717</v>
      </c>
      <c r="F45" s="829">
        <f ca="1">INDIRECT("'数据-取费表'!h"&amp;$G$1)</f>
        <v>3.5000000000000003E-2</v>
      </c>
      <c r="G45" s="2047"/>
      <c r="H45" s="2047"/>
      <c r="I45" s="2047"/>
      <c r="J45" s="2047"/>
      <c r="K45" s="2068"/>
      <c r="L45" s="2047"/>
      <c r="M45" s="2047"/>
    </row>
    <row r="46" spans="1:18" ht="18" customHeight="1" thickBot="1">
      <c r="A46" s="830"/>
      <c r="B46" s="1354"/>
      <c r="C46" s="1355"/>
      <c r="D46" s="1356"/>
      <c r="E46" s="3076" t="s">
        <v>2966</v>
      </c>
      <c r="F46" s="827">
        <f ca="1">IF(INDIRECT("'数据-取费表'!af"&amp;$G$1)=0,INDIRECT("'数据-取费表'!ae"&amp;$G$1),INDIRECT("'数据-取费表'!af"&amp;$G$1))</f>
        <v>40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9" t="e">
        <f ca="1">IF(M48="住宅",0,IF(L49&gt;J52,L61,J61))</f>
        <v>#DIV/0!</v>
      </c>
      <c r="O47" s="2358" t="s">
        <v>2410</v>
      </c>
      <c r="P47" s="1578"/>
      <c r="Q47" s="1589"/>
      <c r="R47" s="1578"/>
    </row>
    <row r="48" spans="1:18" s="2044" customFormat="1" ht="18" customHeight="1" thickBot="1">
      <c r="A48" s="2069"/>
      <c r="C48" s="2072"/>
      <c r="D48" s="2073"/>
      <c r="E48" s="2073"/>
      <c r="F48" s="2074"/>
      <c r="G48" s="2075"/>
      <c r="I48" s="3099" t="s">
        <v>2344</v>
      </c>
      <c r="J48" s="2345" t="s">
        <v>3009</v>
      </c>
      <c r="K48" s="3106" t="s">
        <v>2349</v>
      </c>
      <c r="L48" s="3110">
        <f ca="1">INDIRECT("'数据-取费表'!d"&amp;$G$1)</f>
        <v>40</v>
      </c>
      <c r="M48" s="3073"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8" t="s">
        <v>2345</v>
      </c>
      <c r="J49" s="2346" t="s">
        <v>3010</v>
      </c>
      <c r="K49" s="3107" t="s">
        <v>2351</v>
      </c>
      <c r="L49" s="1893">
        <f ca="1">INDIRECT("'数据-取费表'!f"&amp;$G$1)</f>
        <v>40</v>
      </c>
      <c r="O49" s="2362" t="s">
        <v>2379</v>
      </c>
      <c r="P49" s="2363" t="s">
        <v>2405</v>
      </c>
      <c r="Q49" s="2364">
        <f ca="1">C41+J31</f>
        <v>0</v>
      </c>
      <c r="R49" s="2363" t="s">
        <v>2380</v>
      </c>
    </row>
    <row r="50" spans="1:18" s="2044" customFormat="1" ht="18" customHeight="1" thickBot="1">
      <c r="A50" s="2069"/>
      <c r="D50" s="2079"/>
      <c r="E50" s="2079"/>
      <c r="F50" s="2073"/>
      <c r="G50" s="2080"/>
      <c r="H50" s="2078"/>
      <c r="I50" s="3078" t="s">
        <v>2346</v>
      </c>
      <c r="J50" s="2347">
        <v>2019</v>
      </c>
      <c r="K50" s="3108" t="s">
        <v>2352</v>
      </c>
      <c r="L50" s="2348"/>
      <c r="O50" s="2362" t="s">
        <v>2381</v>
      </c>
      <c r="P50" s="2363" t="s">
        <v>2406</v>
      </c>
      <c r="Q50" s="2364" t="e">
        <f ca="1">J61</f>
        <v>#DIV/0!</v>
      </c>
      <c r="R50" s="2363" t="s">
        <v>2382</v>
      </c>
    </row>
    <row r="51" spans="1:18" s="2044" customFormat="1" ht="18" customHeight="1" thickBot="1">
      <c r="A51" s="2081"/>
      <c r="D51" s="2079"/>
      <c r="E51" s="2079"/>
      <c r="F51" s="2070"/>
      <c r="H51" s="2078"/>
      <c r="I51" s="3078" t="s">
        <v>2347</v>
      </c>
      <c r="J51" s="3103">
        <f>SUMPRODUCT((I64:I66=J48)*(J63:L63=J49)*(J64:L66))</f>
        <v>0</v>
      </c>
      <c r="K51" s="3108" t="s">
        <v>2353</v>
      </c>
      <c r="L51" s="2348"/>
      <c r="O51" s="2365" t="s">
        <v>2383</v>
      </c>
      <c r="P51" s="2363" t="s">
        <v>2407</v>
      </c>
      <c r="Q51" s="2364">
        <f ca="1">C31</f>
        <v>36417</v>
      </c>
      <c r="R51" s="2363" t="s">
        <v>2380</v>
      </c>
    </row>
    <row r="52" spans="1:18" s="2044" customFormat="1" ht="18" customHeight="1" thickBot="1">
      <c r="A52" s="2081"/>
      <c r="F52" s="2070"/>
      <c r="I52" s="3100" t="s">
        <v>2348</v>
      </c>
      <c r="J52" s="3104">
        <f>IF(J50="",J51,J50+J51-YEAR('数据-取费表'!B3))</f>
        <v>119</v>
      </c>
      <c r="K52" s="3078" t="s">
        <v>2354</v>
      </c>
      <c r="L52" s="3111">
        <f ca="1">ROUND(-PV(INDIRECT("'数据-取费表'!h"&amp;$G$1),L49,(C40-C14*J36),0),0)</f>
        <v>273</v>
      </c>
      <c r="O52" s="2365" t="s">
        <v>2384</v>
      </c>
      <c r="P52" s="2363" t="s">
        <v>2385</v>
      </c>
      <c r="Q52" s="2366" t="e">
        <f ca="1">J59</f>
        <v>#DIV/0!</v>
      </c>
      <c r="R52" s="2367"/>
    </row>
    <row r="53" spans="1:18" s="2044" customFormat="1" ht="18" customHeight="1" thickBot="1">
      <c r="A53" s="2081"/>
      <c r="F53" s="2070"/>
      <c r="I53" s="3101" t="s">
        <v>2421</v>
      </c>
      <c r="J53" s="2349">
        <v>0.05</v>
      </c>
      <c r="K53" s="3101" t="s">
        <v>2420</v>
      </c>
      <c r="L53" s="2349"/>
      <c r="O53" s="2365" t="s">
        <v>2386</v>
      </c>
      <c r="P53" s="2363" t="s">
        <v>2387</v>
      </c>
      <c r="Q53" s="2366">
        <f>J53</f>
        <v>0.05</v>
      </c>
      <c r="R53" s="2367"/>
    </row>
    <row r="54" spans="1:18" s="2044" customFormat="1" ht="29.25" thickBot="1">
      <c r="A54" s="2081"/>
      <c r="I54" s="3102" t="s">
        <v>2979</v>
      </c>
      <c r="J54" s="3105">
        <f ca="1">IF(M48="住宅",MAX(J52,L49-'数据-取费表'!B20),MIN(J52,L49-'数据-取费表'!B20))</f>
        <v>39</v>
      </c>
      <c r="K54" s="3572"/>
      <c r="L54" s="3573"/>
      <c r="O54" s="2365" t="s">
        <v>2388</v>
      </c>
      <c r="P54" s="2363" t="s">
        <v>2389</v>
      </c>
      <c r="Q54" s="2364">
        <f ca="1">J54</f>
        <v>39</v>
      </c>
      <c r="R54" s="2363" t="s">
        <v>2390</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3112"/>
      <c r="K55" s="3113"/>
      <c r="O55" s="2362" t="s">
        <v>2391</v>
      </c>
      <c r="P55" s="2363" t="s">
        <v>2408</v>
      </c>
      <c r="Q55" s="2364" t="e">
        <f ca="1">Q49+Q50</f>
        <v>#DIV/0!</v>
      </c>
      <c r="R55" s="2367" t="s">
        <v>2392</v>
      </c>
    </row>
    <row r="56" spans="1:18" s="2044" customFormat="1" ht="16.5" thickBot="1">
      <c r="A56" s="2081"/>
      <c r="B56" s="2082"/>
      <c r="C56" s="2082"/>
      <c r="I56" s="3114" t="s">
        <v>2355</v>
      </c>
      <c r="J56" s="3053" t="e">
        <f ca="1">ROUND(IF(J48="钢混",J58/J51,1-(1-2%)*(J51-J58)/J51),3)</f>
        <v>#DIV/0!</v>
      </c>
      <c r="K56" s="3115" t="s">
        <v>2356</v>
      </c>
      <c r="L56" s="2350"/>
      <c r="O56" s="2368" t="s">
        <v>2411</v>
      </c>
      <c r="P56" s="1578"/>
      <c r="Q56" s="1589"/>
      <c r="R56" s="1578"/>
    </row>
    <row r="57" spans="1:18" s="2044" customFormat="1" ht="43.5" thickBot="1">
      <c r="A57" s="2081"/>
      <c r="B57" s="2082"/>
      <c r="C57" s="2082"/>
      <c r="I57" s="3116" t="s">
        <v>2357</v>
      </c>
      <c r="J57" s="3126" t="s">
        <v>952</v>
      </c>
      <c r="K57" s="3078" t="s">
        <v>2362</v>
      </c>
      <c r="L57" s="1893" t="str">
        <f ca="1">IF(L49&lt;J52,"——",L49-J52)</f>
        <v>——</v>
      </c>
      <c r="O57" s="2359" t="s">
        <v>2375</v>
      </c>
      <c r="P57" s="2360" t="s">
        <v>2376</v>
      </c>
      <c r="Q57" s="2361" t="s">
        <v>2377</v>
      </c>
      <c r="R57" s="2360" t="s">
        <v>2378</v>
      </c>
    </row>
    <row r="58" spans="1:18" s="2044" customFormat="1" ht="29.25" thickBot="1">
      <c r="A58" s="2081"/>
      <c r="B58" s="2082"/>
      <c r="C58" s="2082"/>
      <c r="I58" s="3117" t="s">
        <v>2358</v>
      </c>
      <c r="J58" s="3118">
        <f ca="1">IF(OR(M48="住宅",J52&lt;L49,J57="是"),"——",J52-L49)</f>
        <v>79</v>
      </c>
      <c r="K58" s="3078" t="s">
        <v>2363</v>
      </c>
      <c r="L58" s="1893" t="str">
        <f ca="1">IF(L49&lt;J52,"——",IF(L56="比较法",L50,IF(L56="基准地价",L51,L52)))</f>
        <v>——</v>
      </c>
      <c r="O58" s="2362" t="s">
        <v>2379</v>
      </c>
      <c r="P58" s="2363" t="s">
        <v>2405</v>
      </c>
      <c r="Q58" s="2364">
        <f ca="1">C41+J31</f>
        <v>0</v>
      </c>
      <c r="R58" s="2363" t="s">
        <v>2380</v>
      </c>
    </row>
    <row r="59" spans="1:18" s="2044" customFormat="1" ht="29.25" thickBot="1">
      <c r="A59" s="2081"/>
      <c r="B59" s="2082"/>
      <c r="C59" s="2082"/>
      <c r="I59" s="3117" t="s">
        <v>2359</v>
      </c>
      <c r="J59" s="3054" t="e">
        <f ca="1">IF(J56&lt;0.4,0.4,J56)</f>
        <v>#DIV/0!</v>
      </c>
      <c r="K59" s="3078" t="s">
        <v>2364</v>
      </c>
      <c r="L59" s="1893">
        <f ca="1">IF(ISERROR(POWER(1+L53,L48-L49)*(POWER(1+L53,L49)-1)/(POWER(1+L53,L48)-1)),0,POWER(1+L53,L48-L49)*(POWER(1+L53,L49)-1)/(POWER(1+L53,L48)-1))</f>
        <v>0</v>
      </c>
      <c r="O59" s="2362" t="s">
        <v>2381</v>
      </c>
      <c r="P59" s="2363" t="s">
        <v>2412</v>
      </c>
      <c r="Q59" s="2364">
        <f ca="1">L61</f>
        <v>0</v>
      </c>
      <c r="R59" s="2367" t="s">
        <v>2414</v>
      </c>
    </row>
    <row r="60" spans="1:18" s="2044" customFormat="1" ht="29.25" thickBot="1">
      <c r="A60" s="2081"/>
      <c r="B60" s="2082"/>
      <c r="C60" s="2082"/>
      <c r="I60" s="3117" t="s">
        <v>2360</v>
      </c>
      <c r="J60" s="3118" t="e">
        <f ca="1">IF(OR(M48="住宅",J52&lt;L49,J57="是"),"——",ROUND(C30*J59,0))</f>
        <v>#DIV/0!</v>
      </c>
      <c r="K60" s="3078"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9" t="s">
        <v>2361</v>
      </c>
      <c r="J61" s="3120" t="e">
        <f ca="1">IF(OR(M48="住宅",J52&lt;L49,J57="是"),"0",ROUND(J60/(1+J53)^J54,0))</f>
        <v>#DIV/0!</v>
      </c>
      <c r="K61" s="3121" t="s">
        <v>2366</v>
      </c>
      <c r="L61" s="3120">
        <f ca="1">IF(OR(M48="住宅",L49&lt;J52),0,ROUND(L58*(L59/L60-1),0))</f>
        <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2" t="s">
        <v>2367</v>
      </c>
      <c r="J63" s="3123" t="s">
        <v>2368</v>
      </c>
      <c r="K63" s="3123" t="s">
        <v>2369</v>
      </c>
      <c r="L63" s="3123" t="s">
        <v>2350</v>
      </c>
      <c r="M63" s="3124" t="s">
        <v>2943</v>
      </c>
      <c r="O63" s="2365" t="s">
        <v>2388</v>
      </c>
      <c r="P63" s="2363" t="s">
        <v>2396</v>
      </c>
      <c r="Q63" s="2364">
        <f ca="1">L60</f>
        <v>0</v>
      </c>
      <c r="R63" s="2367" t="s">
        <v>2397</v>
      </c>
    </row>
    <row r="64" spans="1:18" s="2044" customFormat="1" ht="15.75" thickBot="1">
      <c r="A64" s="2081"/>
      <c r="B64" s="2082"/>
      <c r="C64" s="2082"/>
      <c r="I64" s="3122" t="s">
        <v>2370</v>
      </c>
      <c r="J64" s="3123">
        <v>70</v>
      </c>
      <c r="K64" s="3123">
        <v>50</v>
      </c>
      <c r="L64" s="3123">
        <v>80</v>
      </c>
      <c r="M64" s="3125">
        <v>0.02</v>
      </c>
      <c r="O64" s="2362" t="s">
        <v>2391</v>
      </c>
      <c r="P64" s="2363" t="s">
        <v>2408</v>
      </c>
      <c r="Q64" s="2364">
        <f ca="1">Q58+Q59</f>
        <v>0</v>
      </c>
      <c r="R64" s="2367" t="s">
        <v>2392</v>
      </c>
    </row>
    <row r="65" spans="1:18" s="2044" customFormat="1" ht="16.5" thickBot="1">
      <c r="A65" s="2081"/>
      <c r="B65" s="2082"/>
      <c r="C65" s="2082"/>
      <c r="I65" s="3122" t="s">
        <v>2371</v>
      </c>
      <c r="J65" s="3123">
        <v>50</v>
      </c>
      <c r="K65" s="3123">
        <v>35</v>
      </c>
      <c r="L65" s="3123">
        <v>60</v>
      </c>
      <c r="M65" s="845">
        <v>0</v>
      </c>
      <c r="O65" s="2368" t="s">
        <v>2415</v>
      </c>
      <c r="P65" s="1578"/>
      <c r="Q65" s="1589"/>
      <c r="R65" s="1578"/>
    </row>
    <row r="66" spans="1:18" s="2044" customFormat="1" ht="15.75" thickBot="1">
      <c r="A66" s="2081"/>
      <c r="B66" s="2082"/>
      <c r="C66" s="2082"/>
      <c r="I66" s="3122" t="s">
        <v>2372</v>
      </c>
      <c r="J66" s="3123">
        <v>40</v>
      </c>
      <c r="K66" s="3123">
        <v>30</v>
      </c>
      <c r="L66" s="3123">
        <v>50</v>
      </c>
      <c r="M66" s="3125">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f ca="1">L61</f>
        <v>0</v>
      </c>
      <c r="R68" s="2367" t="s">
        <v>2414</v>
      </c>
    </row>
    <row r="69" spans="1:18" s="2044" customFormat="1" ht="21.75" thickBot="1">
      <c r="A69" s="2081"/>
      <c r="B69" s="2082"/>
      <c r="C69" s="2082"/>
      <c r="K69" s="2071"/>
      <c r="O69" s="2365" t="s">
        <v>2383</v>
      </c>
      <c r="P69" s="2363" t="s">
        <v>2413</v>
      </c>
      <c r="Q69" s="2369">
        <f ca="1">L52</f>
        <v>273</v>
      </c>
      <c r="R69" s="2370" t="s">
        <v>2416</v>
      </c>
    </row>
    <row r="70" spans="1:18" s="2044" customFormat="1" ht="20.25" thickBot="1">
      <c r="A70" s="2081"/>
      <c r="B70" s="2082"/>
      <c r="C70" s="2082"/>
      <c r="K70" s="2071"/>
      <c r="O70" s="2365" t="s">
        <v>2384</v>
      </c>
      <c r="P70" s="2371" t="s">
        <v>2398</v>
      </c>
      <c r="Q70" s="2364">
        <f ca="1">ROUND(Q71-Q72*Q73,0)</f>
        <v>217</v>
      </c>
      <c r="R70" s="2367"/>
    </row>
    <row r="71" spans="1:18" s="2044" customFormat="1" ht="15.75" thickBot="1">
      <c r="A71" s="2081"/>
      <c r="B71" s="2082"/>
      <c r="C71" s="2082"/>
      <c r="K71" s="2071"/>
      <c r="O71" s="2365" t="s">
        <v>2399</v>
      </c>
      <c r="P71" s="2371" t="s">
        <v>2400</v>
      </c>
      <c r="Q71" s="2364">
        <f ca="1">C42</f>
        <v>1856</v>
      </c>
      <c r="R71" s="2363" t="s">
        <v>2380</v>
      </c>
    </row>
    <row r="72" spans="1:18" s="2044" customFormat="1" ht="15.75" thickBot="1">
      <c r="A72" s="2081"/>
      <c r="B72" s="2082"/>
      <c r="C72" s="2082"/>
      <c r="K72" s="2071"/>
      <c r="O72" s="2365" t="s">
        <v>2401</v>
      </c>
      <c r="P72" s="2371" t="s">
        <v>2402</v>
      </c>
      <c r="Q72" s="2364">
        <f ca="1">C15</f>
        <v>36417</v>
      </c>
      <c r="R72" s="2363" t="s">
        <v>2380</v>
      </c>
    </row>
    <row r="73" spans="1:18" s="2044" customFormat="1" ht="15.75" thickBot="1">
      <c r="A73" s="2081"/>
      <c r="B73" s="2082"/>
      <c r="C73" s="2082"/>
      <c r="K73" s="2071"/>
      <c r="O73" s="2365" t="s">
        <v>2403</v>
      </c>
      <c r="P73" s="2371" t="s">
        <v>2404</v>
      </c>
      <c r="Q73" s="2366">
        <f ca="1">F43</f>
        <v>4.4999999999999998E-2</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f ca="1">Q67+Q68</f>
        <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5" priority="6">
      <formula>$F$12="自定义"</formula>
    </cfRule>
  </conditionalFormatting>
  <conditionalFormatting sqref="J13">
    <cfRule type="expression" dxfId="4" priority="5">
      <formula>$M$10="自定义"</formula>
    </cfRule>
  </conditionalFormatting>
  <conditionalFormatting sqref="K56">
    <cfRule type="expression" dxfId="3" priority="3">
      <formula>$L$48&gt;$J$51</formula>
    </cfRule>
  </conditionalFormatting>
  <conditionalFormatting sqref="I56">
    <cfRule type="expression" dxfId="2" priority="4">
      <formula>$J$51&gt;$L$48</formula>
    </cfRule>
  </conditionalFormatting>
  <conditionalFormatting sqref="I61">
    <cfRule type="expression" dxfId="1" priority="2">
      <formula>$J$51&gt;$L$48</formula>
    </cfRule>
  </conditionalFormatting>
  <conditionalFormatting sqref="K61">
    <cfRule type="expression" dxfId="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7" t="s">
        <v>2038</v>
      </c>
      <c r="B1" s="3257"/>
      <c r="C1" s="3257"/>
      <c r="D1" s="3257"/>
      <c r="E1" s="3257"/>
      <c r="F1" s="3257"/>
      <c r="G1" s="3257"/>
      <c r="H1" s="3257"/>
      <c r="I1" s="3257"/>
      <c r="J1" s="3257"/>
      <c r="K1" s="3257"/>
      <c r="L1" s="3257"/>
      <c r="M1" s="3257"/>
      <c r="N1" s="3257"/>
      <c r="O1" s="3257"/>
      <c r="P1" s="3257"/>
      <c r="Q1" s="3257"/>
      <c r="R1" s="3257"/>
    </row>
    <row r="2" spans="1:18">
      <c r="A2" s="1792" t="s">
        <v>2040</v>
      </c>
      <c r="B2" s="1792"/>
      <c r="C2" s="1792"/>
      <c r="D2" s="1792"/>
      <c r="E2" s="1792"/>
      <c r="F2" s="1792"/>
      <c r="G2" s="1792"/>
      <c r="H2" s="1792"/>
      <c r="I2" s="1793"/>
      <c r="J2" s="1793"/>
      <c r="K2" s="1794" t="str">
        <f>"估价期日："&amp;TEXT(项目基本情况!D3,"yyyy年m月d日;;")</f>
        <v>估价期日：2019年6月30日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58" t="s">
        <v>2029</v>
      </c>
      <c r="B3" s="3258" t="s">
        <v>2731</v>
      </c>
      <c r="C3" s="3259" t="s">
        <v>2030</v>
      </c>
      <c r="D3" s="3258" t="s">
        <v>2735</v>
      </c>
      <c r="E3" s="3261" t="s">
        <v>2031</v>
      </c>
      <c r="F3" s="3261"/>
      <c r="G3" s="3261"/>
      <c r="H3" s="3261" t="s">
        <v>2032</v>
      </c>
      <c r="I3" s="3261"/>
      <c r="J3" s="3261"/>
      <c r="K3" s="3259" t="s">
        <v>2033</v>
      </c>
      <c r="L3" s="3259" t="s">
        <v>2034</v>
      </c>
      <c r="M3" s="3258" t="s">
        <v>2732</v>
      </c>
      <c r="N3" s="3260" t="str">
        <f>"（分摊）"&amp;项目基本情况!B16&amp;"国有建设用地使用权面积/㎡"</f>
        <v>（分摊）出让国有建设用地使用权面积/㎡</v>
      </c>
      <c r="O3" s="3258" t="s">
        <v>2063</v>
      </c>
      <c r="P3" s="3259" t="s">
        <v>2043</v>
      </c>
      <c r="Q3" s="3259" t="s">
        <v>2064</v>
      </c>
      <c r="R3" s="3259" t="s">
        <v>2035</v>
      </c>
    </row>
    <row r="4" spans="1:18" ht="36.75" customHeight="1">
      <c r="A4" s="3258"/>
      <c r="B4" s="3258"/>
      <c r="C4" s="3259"/>
      <c r="D4" s="3258"/>
      <c r="E4" s="2613" t="s">
        <v>2042</v>
      </c>
      <c r="F4" s="2613" t="s">
        <v>2744</v>
      </c>
      <c r="G4" s="2613" t="s">
        <v>2036</v>
      </c>
      <c r="H4" s="2613" t="s">
        <v>2037</v>
      </c>
      <c r="I4" s="2613" t="s">
        <v>2745</v>
      </c>
      <c r="J4" s="2613" t="s">
        <v>2036</v>
      </c>
      <c r="K4" s="3259"/>
      <c r="L4" s="3259"/>
      <c r="M4" s="3258"/>
      <c r="N4" s="3260"/>
      <c r="O4" s="3258"/>
      <c r="P4" s="3259"/>
      <c r="Q4" s="3259"/>
      <c r="R4" s="3259"/>
    </row>
    <row r="5" spans="1:18" ht="135" customHeight="1">
      <c r="A5" s="1928" t="s">
        <v>2655</v>
      </c>
      <c r="B5" s="2822" t="s">
        <v>2653</v>
      </c>
      <c r="C5" s="2612">
        <v>22</v>
      </c>
      <c r="D5" s="2611" t="s">
        <v>2654</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303666</v>
      </c>
      <c r="O5" s="1795">
        <f>项目基本情况!C21</f>
        <v>182200</v>
      </c>
      <c r="P5" s="1795">
        <f ca="1">结果表!E42</f>
        <v>488</v>
      </c>
      <c r="Q5" s="1795">
        <f ca="1">结果表!D42</f>
        <v>814</v>
      </c>
      <c r="R5" s="1796">
        <f ca="1">结果表!C42</f>
        <v>14834</v>
      </c>
    </row>
    <row r="6" spans="1:18">
      <c r="A6" s="3262" t="str">
        <f>IF(项目基本情况!B9="市场价格","——","抵押价格")</f>
        <v>——</v>
      </c>
      <c r="B6" s="3263"/>
      <c r="C6" s="3263"/>
      <c r="D6" s="3263"/>
      <c r="E6" s="3263"/>
      <c r="F6" s="3263"/>
      <c r="G6" s="3263"/>
      <c r="H6" s="3263"/>
      <c r="I6" s="3263"/>
      <c r="J6" s="3263"/>
      <c r="K6" s="3263"/>
      <c r="L6" s="3263"/>
      <c r="M6" s="3263"/>
      <c r="N6" s="3263"/>
      <c r="O6" s="3263"/>
      <c r="P6" s="3263"/>
      <c r="Q6" s="3264"/>
      <c r="R6" s="1797" t="str">
        <f>结果表!O39</f>
        <v>——</v>
      </c>
    </row>
    <row r="7" spans="1:18">
      <c r="A7" s="3262" t="str">
        <f>IF(项目基本情况!B9="市场价格","——",IF(项目基本情况!E8="已注销及未注销","抵押担保权已注销时的抵押价格","——"))</f>
        <v>——</v>
      </c>
      <c r="B7" s="3263"/>
      <c r="C7" s="3263"/>
      <c r="D7" s="3263"/>
      <c r="E7" s="3263"/>
      <c r="F7" s="3263"/>
      <c r="G7" s="3263"/>
      <c r="H7" s="3263"/>
      <c r="I7" s="3263"/>
      <c r="J7" s="3263"/>
      <c r="K7" s="3263"/>
      <c r="L7" s="3263"/>
      <c r="M7" s="3263"/>
      <c r="N7" s="3263"/>
      <c r="O7" s="3263"/>
      <c r="P7" s="3263"/>
      <c r="Q7" s="3264"/>
      <c r="R7" s="1797" t="str">
        <f>结果表!O40</f>
        <v>——</v>
      </c>
    </row>
    <row r="8" spans="1:18">
      <c r="A8" s="3262" t="str">
        <f>IF(项目基本情况!B9="市场价格","——",项目基本情况!E9)</f>
        <v>——</v>
      </c>
      <c r="B8" s="3263"/>
      <c r="C8" s="3263"/>
      <c r="D8" s="3263"/>
      <c r="E8" s="3263"/>
      <c r="F8" s="3263"/>
      <c r="G8" s="3263"/>
      <c r="H8" s="3263"/>
      <c r="I8" s="3263"/>
      <c r="J8" s="3263"/>
      <c r="K8" s="3263"/>
      <c r="L8" s="3263"/>
      <c r="M8" s="3263"/>
      <c r="N8" s="3263"/>
      <c r="O8" s="3263"/>
      <c r="P8" s="3263"/>
      <c r="Q8" s="3264"/>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65" t="s">
        <v>2065</v>
      </c>
      <c r="B1" s="3265"/>
      <c r="C1" s="3265"/>
      <c r="D1" s="3265"/>
    </row>
    <row r="2" spans="1:4" ht="47.25" customHeight="1">
      <c r="A2" s="3269" t="str">
        <f>"1.权利限制："&amp;项目基本情况!L24&amp;"未设定租赁等其他他项权利。"</f>
        <v>1.权利限制：根据估价对象《不动产权证书》原件、《国有土地使用权》复印件，截至估价期日，估价对象抵押权未见登记。未设定租赁等其他他项权利。</v>
      </c>
      <c r="B2" s="3269"/>
      <c r="C2" s="3269"/>
      <c r="D2" s="3269"/>
    </row>
    <row r="3" spans="1:4" ht="48" customHeight="1">
      <c r="A3" s="326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5"/>
      <c r="C3" s="3265"/>
      <c r="D3" s="3265"/>
    </row>
    <row r="4" spans="1:4" ht="36.75" customHeight="1">
      <c r="A4" s="3265" t="str">
        <f>"3.估价规划限制条件：详见"&amp;项目基本情况!E21&amp;"。"</f>
        <v>3.估价规划限制条件：详见《建设工程规划许可证》[]、《出让合同》[]。</v>
      </c>
      <c r="B4" s="3265"/>
      <c r="C4" s="3265"/>
      <c r="D4" s="3265"/>
    </row>
    <row r="5" spans="1:4">
      <c r="A5" s="3268" t="s">
        <v>2066</v>
      </c>
      <c r="B5" s="3268"/>
      <c r="C5" s="3268"/>
      <c r="D5" s="3268"/>
    </row>
    <row r="6" spans="1:4">
      <c r="A6" s="3265" t="s">
        <v>2044</v>
      </c>
      <c r="B6" s="3265"/>
      <c r="C6" s="3265"/>
      <c r="D6" s="3265"/>
    </row>
    <row r="7" spans="1:4" ht="33" customHeight="1">
      <c r="A7" s="3265" t="s">
        <v>2575</v>
      </c>
      <c r="B7" s="3265"/>
      <c r="C7" s="3265"/>
      <c r="D7" s="3265"/>
    </row>
    <row r="8" spans="1:4" ht="32.25" customHeight="1">
      <c r="A8" s="32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5"/>
      <c r="C8" s="3265"/>
      <c r="D8" s="3265"/>
    </row>
    <row r="9" spans="1:4" ht="33.75" customHeight="1">
      <c r="A9" s="3265" t="str">
        <f>IF(项目基本情况!B8="抵押","3.抵押双方在办理抵押登记手续时，应使用本公司出具的正式《土地估价报告》，特提请报告使用者注意。","——")</f>
        <v>——</v>
      </c>
      <c r="B9" s="3265"/>
      <c r="C9" s="3265"/>
      <c r="D9" s="3265"/>
    </row>
    <row r="10" spans="1:4">
      <c r="A10" s="3265" t="str">
        <f>IF(项目基本情况!B8="抵押","4.估价师所知悉的法定优先受偿款情况为：","——")</f>
        <v>——</v>
      </c>
      <c r="B10" s="3265"/>
      <c r="C10" s="3265"/>
      <c r="D10" s="3265"/>
    </row>
    <row r="11" spans="1:4" ht="37.5" customHeight="1">
      <c r="A11" s="3267" t="str">
        <f>IF(项目基本情况!B8="抵押","（1）"&amp;CONCATENATE(项目基本情况!L24,项目基本情况!L25,项目基本情况!L26),"——")</f>
        <v>——</v>
      </c>
      <c r="B11" s="3267"/>
      <c r="C11" s="3267"/>
      <c r="D11" s="3267"/>
    </row>
    <row r="12" spans="1:4" ht="168" customHeight="1">
      <c r="A12" s="3268" t="s">
        <v>2068</v>
      </c>
      <c r="B12" s="3268"/>
      <c r="C12" s="3268"/>
      <c r="D12" s="3268"/>
    </row>
    <row r="13" spans="1:4">
      <c r="A13" s="3266" t="s">
        <v>2746</v>
      </c>
      <c r="B13" s="3266"/>
      <c r="C13" s="3266"/>
      <c r="D13" s="3266"/>
    </row>
    <row r="14" spans="1:4">
      <c r="A14" s="3267" t="str">
        <f>IF(项目基本情况!B8="抵押","综上，"&amp;结果表!K47,"——")</f>
        <v>——</v>
      </c>
      <c r="B14" s="3267"/>
      <c r="C14" s="3267"/>
      <c r="D14" s="3267"/>
    </row>
    <row r="15" spans="1:4" ht="58.5" customHeight="1">
      <c r="A15" s="32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5"/>
      <c r="C15" s="3265"/>
      <c r="D15" s="3265"/>
    </row>
    <row r="16" spans="1:4" ht="70.5" customHeight="1">
      <c r="A16" s="32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5"/>
      <c r="C16" s="3265"/>
      <c r="D16" s="3265"/>
    </row>
    <row r="17" spans="1:4">
      <c r="A17" s="3265" t="s">
        <v>2702</v>
      </c>
      <c r="B17" s="3265"/>
      <c r="C17" s="3265"/>
      <c r="D17" s="3265"/>
    </row>
    <row r="18" spans="1:4">
      <c r="A18" s="3265" t="s">
        <v>2694</v>
      </c>
      <c r="B18" s="3265"/>
      <c r="C18" s="3265"/>
      <c r="D18" s="3265"/>
    </row>
    <row r="19" spans="1:4">
      <c r="A19" s="2823" t="s">
        <v>2695</v>
      </c>
      <c r="B19" s="2823" t="s">
        <v>2696</v>
      </c>
      <c r="C19" s="2823" t="s">
        <v>2697</v>
      </c>
      <c r="D19" s="2823" t="s">
        <v>2698</v>
      </c>
    </row>
    <row r="20" spans="1:4">
      <c r="A20" s="2823" t="str">
        <f>项目基本情况!B4</f>
        <v>土地估价师</v>
      </c>
      <c r="B20" s="2823">
        <f>项目基本情况!C4</f>
        <v>0</v>
      </c>
      <c r="C20" s="2825"/>
      <c r="D20" s="1785" t="s">
        <v>2703</v>
      </c>
    </row>
    <row r="21" spans="1:4">
      <c r="A21" s="2823" t="str">
        <f>项目基本情况!D4</f>
        <v>土地估价师</v>
      </c>
      <c r="B21" s="2823">
        <f>项目基本情况!E4</f>
        <v>0</v>
      </c>
      <c r="C21" s="2825"/>
      <c r="D21" s="1785" t="s">
        <v>2704</v>
      </c>
    </row>
    <row r="23" spans="1:4">
      <c r="A23" s="3265" t="s">
        <v>2699</v>
      </c>
      <c r="B23" s="3265"/>
      <c r="C23" s="3265"/>
      <c r="D23" s="3265"/>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77" t="s">
        <v>53</v>
      </c>
      <c r="B15" s="3278" t="s">
        <v>846</v>
      </c>
      <c r="C15" s="3274"/>
    </row>
    <row r="16" spans="1:7" ht="14.25">
      <c r="A16" s="3277"/>
      <c r="B16" s="3275" t="s">
        <v>54</v>
      </c>
      <c r="C16" s="1167" t="s">
        <v>53</v>
      </c>
    </row>
    <row r="17" spans="1:3" ht="14.25">
      <c r="A17" s="3277"/>
      <c r="B17" s="3275"/>
      <c r="C17" s="1167" t="s">
        <v>55</v>
      </c>
    </row>
    <row r="18" spans="1:3" ht="14.25">
      <c r="A18" s="3277"/>
      <c r="B18" s="3275"/>
      <c r="C18" s="1167" t="s">
        <v>56</v>
      </c>
    </row>
    <row r="19" spans="1:3" ht="14.25">
      <c r="A19" s="3277"/>
      <c r="B19" s="3273" t="s">
        <v>57</v>
      </c>
      <c r="C19" s="3274"/>
    </row>
    <row r="20" spans="1:3" ht="14.25">
      <c r="A20" s="1168" t="s">
        <v>58</v>
      </c>
      <c r="B20" s="1169"/>
      <c r="C20" s="1170"/>
    </row>
    <row r="21" spans="1:3" ht="14.25">
      <c r="A21" s="3276" t="s">
        <v>59</v>
      </c>
      <c r="B21" s="3273" t="s">
        <v>60</v>
      </c>
      <c r="C21" s="3274"/>
    </row>
    <row r="22" spans="1:3" ht="14.25">
      <c r="A22" s="3276"/>
      <c r="B22" s="3273" t="s">
        <v>61</v>
      </c>
      <c r="C22" s="3274"/>
    </row>
    <row r="23" spans="1:3" ht="14.25">
      <c r="A23" s="3276"/>
      <c r="B23" s="3273" t="s">
        <v>62</v>
      </c>
      <c r="C23" s="3274"/>
    </row>
    <row r="24" spans="1:3" ht="14.25">
      <c r="A24" s="3276"/>
      <c r="B24" s="3279" t="s">
        <v>63</v>
      </c>
      <c r="C24" s="1171" t="s">
        <v>837</v>
      </c>
    </row>
    <row r="25" spans="1:3" ht="14.25">
      <c r="A25" s="3276"/>
      <c r="B25" s="3280"/>
      <c r="C25" s="1171" t="s">
        <v>838</v>
      </c>
    </row>
    <row r="26" spans="1:3" ht="14.25">
      <c r="A26" s="3276"/>
      <c r="B26" s="3280"/>
      <c r="C26" s="1171" t="s">
        <v>839</v>
      </c>
    </row>
    <row r="27" spans="1:3" ht="14.25">
      <c r="A27" s="3276"/>
      <c r="B27" s="3280"/>
      <c r="C27" s="1171" t="s">
        <v>840</v>
      </c>
    </row>
    <row r="28" spans="1:3" ht="14.25">
      <c r="A28" s="3276"/>
      <c r="B28" s="3280"/>
      <c r="C28" s="1171" t="s">
        <v>841</v>
      </c>
    </row>
    <row r="29" spans="1:3" ht="14.25">
      <c r="A29" s="3276"/>
      <c r="B29" s="3280"/>
      <c r="C29" s="1171" t="s">
        <v>842</v>
      </c>
    </row>
    <row r="30" spans="1:3" ht="14.25">
      <c r="A30" s="3276"/>
      <c r="B30" s="3280"/>
      <c r="C30" s="1171" t="s">
        <v>843</v>
      </c>
    </row>
    <row r="31" spans="1:3" ht="14.25">
      <c r="A31" s="3276"/>
      <c r="B31" s="3280"/>
      <c r="C31" s="1171" t="s">
        <v>844</v>
      </c>
    </row>
    <row r="32" spans="1:3" ht="14.25">
      <c r="A32" s="3276"/>
      <c r="B32" s="3280"/>
      <c r="C32" s="1171" t="s">
        <v>1646</v>
      </c>
    </row>
    <row r="33" spans="1:3" ht="14.25">
      <c r="A33" s="3276"/>
      <c r="B33" s="3270" t="s">
        <v>1652</v>
      </c>
      <c r="C33" s="1171" t="s">
        <v>1647</v>
      </c>
    </row>
    <row r="34" spans="1:3" ht="14.25">
      <c r="A34" s="3276"/>
      <c r="B34" s="3271"/>
      <c r="C34" s="1176" t="s">
        <v>1648</v>
      </c>
    </row>
    <row r="35" spans="1:3" ht="14.25">
      <c r="A35" s="3276"/>
      <c r="B35" s="3271"/>
      <c r="C35" s="1177" t="s">
        <v>1649</v>
      </c>
    </row>
    <row r="36" spans="1:3" ht="14.25">
      <c r="A36" s="3276"/>
      <c r="B36" s="3271"/>
      <c r="C36" s="1177" t="s">
        <v>1650</v>
      </c>
    </row>
    <row r="37" spans="1:3" ht="14.25">
      <c r="A37" s="3276"/>
      <c r="B37" s="3272"/>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43749</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t="str">
        <f ca="1">IF(C11&lt;B2,"已过期",1120100036)</f>
        <v>已过期</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81" t="s">
        <v>1926</v>
      </c>
      <c r="B25" s="3281"/>
      <c r="C25" s="3281"/>
      <c r="D25" s="3281"/>
      <c r="E25" s="3281"/>
      <c r="F25" s="3281"/>
      <c r="G25" s="3281"/>
    </row>
    <row r="26" spans="1:7" ht="20.25" customHeight="1">
      <c r="A26" s="3282" t="s">
        <v>1927</v>
      </c>
      <c r="B26" s="3282"/>
      <c r="C26" s="3282"/>
      <c r="D26" s="3282" t="s">
        <v>1928</v>
      </c>
      <c r="E26" s="3282"/>
      <c r="F26" s="3282"/>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2944</v>
      </c>
      <c r="F29" s="3147">
        <v>43281</v>
      </c>
    </row>
    <row r="30" spans="1:7" ht="20.25" customHeight="1">
      <c r="C30" s="3148"/>
      <c r="D30" s="3148"/>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3" sqref="Y23"/>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2956</v>
      </c>
      <c r="C18" s="1540"/>
    </row>
    <row r="19" spans="1:3">
      <c r="A19" s="8" t="s">
        <v>120</v>
      </c>
      <c r="B19" s="3064" t="s">
        <v>2964</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83"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30日，在规划利用条件下、设定土地开发程度为红线外“七通”、宗地内场地，设定用途为，剩余土地使用年限为的出让国有建设用地使用权价格。</v>
      </c>
      <c r="D53" s="1752"/>
      <c r="E53" s="1752"/>
    </row>
    <row r="54" spans="1:5">
      <c r="A54" s="3283"/>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83"/>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83"/>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83"/>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4"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土地比较法</vt:lpstr>
      <vt:lpstr>土地案例</vt:lpstr>
      <vt:lpstr>剩余法-待开发</vt:lpstr>
      <vt:lpstr>不动产收益法</vt:lpstr>
      <vt:lpstr>收益还原法</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2019-10-11T06:29:31Z</dcterms:modified>
</cp:coreProperties>
</file>